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24226"/>
  <mc:AlternateContent xmlns:mc="http://schemas.openxmlformats.org/markup-compatibility/2006">
    <mc:Choice Requires="x15">
      <x15ac:absPath xmlns:x15ac="http://schemas.microsoft.com/office/spreadsheetml/2010/11/ac" url="D:\桌面\吴姐永乐店联东U谷\结果\"/>
    </mc:Choice>
  </mc:AlternateContent>
  <xr:revisionPtr revIDLastSave="0" documentId="13_ncr:1_{5E47D150-C8DA-43CA-8D4D-8BB18B20A403}" xr6:coauthVersionLast="47" xr6:coauthVersionMax="47" xr10:uidLastSave="{00000000-0000-0000-0000-000000000000}"/>
  <bookViews>
    <workbookView xWindow="-120" yWindow="-120" windowWidth="19440" windowHeight="1500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37" state="hidden" r:id="rId19"/>
    <sheet name="比较案例" sheetId="78" state="hidden" r:id="rId20"/>
    <sheet name="成本法" sheetId="68" state="hidden" r:id="rId21"/>
    <sheet name="基准地价修正" sheetId="43" state="hidden" r:id="rId22"/>
    <sheet name="成本法 (元)" sheetId="69"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1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基准地价修正!$A$1:$J$41,基准地价修正!$A$45:$H$88,基准地价修正!$R$1:$V$16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11">'数据-基础表'!$A$1:$I$13</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3" i="69" l="1"/>
  <c r="H1" i="67"/>
  <c r="H2" i="67"/>
  <c r="D54" i="69"/>
  <c r="H41" i="69"/>
  <c r="H33" i="69"/>
  <c r="H34" i="69"/>
  <c r="H27" i="69"/>
  <c r="O20" i="1" l="1"/>
  <c r="N18" i="1"/>
  <c r="N19" i="1"/>
  <c r="E44" i="15" l="1"/>
  <c r="H43" i="15"/>
  <c r="G12" i="15"/>
  <c r="C33" i="37" l="1"/>
  <c r="G33" i="37" s="1"/>
  <c r="E53" i="37"/>
  <c r="F53" i="37"/>
  <c r="G53" i="37" s="1"/>
  <c r="H53" i="37" s="1"/>
  <c r="I53" i="37" s="1"/>
  <c r="J53" i="37" s="1"/>
  <c r="K53" i="37" s="1"/>
  <c r="L53" i="37" s="1"/>
  <c r="M53" i="37" s="1"/>
  <c r="D53" i="37"/>
  <c r="I33" i="37"/>
  <c r="E33" i="37"/>
  <c r="C30" i="37"/>
  <c r="D14" i="9"/>
  <c r="Y6" i="1"/>
  <c r="F19" i="6"/>
  <c r="D29" i="43" s="1"/>
  <c r="D3" i="4" l="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A12" i="62"/>
  <c r="B58" i="72" s="1"/>
  <c r="A120" i="9"/>
  <c r="H2" i="52"/>
  <c r="A1" i="52"/>
  <c r="A3" i="53"/>
  <c r="Q23" i="71"/>
  <c r="P23" i="71"/>
  <c r="O23" i="71"/>
  <c r="Y21" i="71" s="1"/>
  <c r="Z21" i="71" s="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c r="B44" i="72"/>
  <c r="B42" i="72"/>
  <c r="B69" i="72"/>
  <c r="B68" i="72"/>
  <c r="B63" i="72"/>
  <c r="B62" i="72"/>
  <c r="B16" i="72"/>
  <c r="B65" i="72"/>
  <c r="B10" i="72"/>
  <c r="C53" i="10"/>
  <c r="B51" i="10"/>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O34" i="71"/>
  <c r="N34" i="71"/>
  <c r="B35" i="71" s="1"/>
  <c r="B36" i="71" s="1"/>
  <c r="B37" i="71" s="1"/>
  <c r="S37" i="71" s="1"/>
  <c r="D34" i="71"/>
  <c r="Q33" i="71"/>
  <c r="AB33" i="71" s="1"/>
  <c r="P33" i="71"/>
  <c r="AA32" i="71" s="1"/>
  <c r="O33" i="71"/>
  <c r="Y33" i="71"/>
  <c r="Z33" i="71" s="1"/>
  <c r="N33" i="71"/>
  <c r="Q32" i="71"/>
  <c r="AB32" i="7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X26" i="71"/>
  <c r="B31" i="71"/>
  <c r="B32" i="71" s="1"/>
  <c r="B33" i="71" s="1"/>
  <c r="S33" i="71" s="1"/>
  <c r="X30" i="71"/>
  <c r="E35" i="71"/>
  <c r="E36" i="71" s="1"/>
  <c r="E37" i="71" s="1"/>
  <c r="U37" i="71" s="1"/>
  <c r="AA34" i="71"/>
  <c r="E31" i="71"/>
  <c r="E32" i="71" s="1"/>
  <c r="E33" i="71" s="1"/>
  <c r="U33" i="71" s="1"/>
  <c r="AA30" i="71"/>
  <c r="C27" i="71"/>
  <c r="Y26" i="71"/>
  <c r="Z26" i="71" s="1"/>
  <c r="AB26" i="71"/>
  <c r="AA27" i="71"/>
  <c r="AA28" i="71"/>
  <c r="AA29" i="71"/>
  <c r="C31" i="71"/>
  <c r="C32" i="71"/>
  <c r="C33" i="71" s="1"/>
  <c r="X31" i="71"/>
  <c r="X32" i="71"/>
  <c r="X33" i="71"/>
  <c r="C35" i="71"/>
  <c r="D35" i="71" s="1"/>
  <c r="Y34" i="71"/>
  <c r="Z34" i="71"/>
  <c r="AB34" i="71"/>
  <c r="X35" i="71"/>
  <c r="AA35" i="7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C48" i="71"/>
  <c r="D47" i="71"/>
  <c r="P25" i="71"/>
  <c r="E52" i="71"/>
  <c r="E53" i="71" s="1"/>
  <c r="U53" i="71" s="1"/>
  <c r="E56" i="71"/>
  <c r="E57" i="71"/>
  <c r="U57" i="71" s="1"/>
  <c r="U65" i="71"/>
  <c r="E64" i="71"/>
  <c r="Q25" i="71"/>
  <c r="AB22" i="71" s="1"/>
  <c r="C56" i="71"/>
  <c r="D55" i="71"/>
  <c r="Q64" i="7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2" i="71"/>
  <c r="AA23" i="71"/>
  <c r="AA24" i="71"/>
  <c r="AA25" i="71"/>
  <c r="C63" i="71"/>
  <c r="O64" i="71"/>
  <c r="D64" i="71"/>
  <c r="D80" i="71"/>
  <c r="C79" i="71"/>
  <c r="D79" i="71"/>
  <c r="D72" i="71"/>
  <c r="C71" i="71"/>
  <c r="D71" i="71" s="1"/>
  <c r="D84" i="71"/>
  <c r="D76" i="71"/>
  <c r="C75" i="71"/>
  <c r="D75" i="71" s="1"/>
  <c r="D68" i="71"/>
  <c r="C67" i="71"/>
  <c r="D67" i="71"/>
  <c r="C57" i="71"/>
  <c r="D56" i="71"/>
  <c r="P64" i="71"/>
  <c r="E63" i="71"/>
  <c r="P62" i="71" s="1"/>
  <c r="C49" i="71"/>
  <c r="D48" i="71"/>
  <c r="D40" i="71"/>
  <c r="D36" i="71"/>
  <c r="D32" i="71"/>
  <c r="C29" i="71"/>
  <c r="D28" i="71"/>
  <c r="V25" i="71"/>
  <c r="P63" i="71"/>
  <c r="O63" i="71"/>
  <c r="D63" i="71"/>
  <c r="O62" i="71"/>
  <c r="T29" i="71"/>
  <c r="D29" i="71"/>
  <c r="T49" i="71"/>
  <c r="D49"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H18" i="35"/>
  <c r="AB18" i="35" s="1"/>
  <c r="S18" i="35"/>
  <c r="G68" i="35"/>
  <c r="J18" i="35"/>
  <c r="H21" i="37"/>
  <c r="AB21" i="37" s="1"/>
  <c r="F21" i="37"/>
  <c r="AA21" i="37" s="1"/>
  <c r="F84" i="34"/>
  <c r="H21" i="34"/>
  <c r="AB21" i="34" s="1"/>
  <c r="H21" i="33"/>
  <c r="U21" i="33" s="1"/>
  <c r="F21" i="33"/>
  <c r="E83" i="21"/>
  <c r="F83" i="21" s="1"/>
  <c r="G83" i="21" s="1"/>
  <c r="S21" i="21"/>
  <c r="H1" i="69"/>
  <c r="AC25" i="40"/>
  <c r="W25" i="40"/>
  <c r="AB25" i="40"/>
  <c r="U25" i="40"/>
  <c r="AB29" i="39"/>
  <c r="U29" i="39"/>
  <c r="AC29" i="39"/>
  <c r="W29" i="39"/>
  <c r="AC18" i="36"/>
  <c r="W18" i="36"/>
  <c r="U21" i="37"/>
  <c r="S21" i="37"/>
  <c r="U21" i="34"/>
  <c r="AB21" i="33"/>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67" i="43"/>
  <c r="D60" i="43"/>
  <c r="D61" i="43"/>
  <c r="D62" i="43"/>
  <c r="D63" i="43"/>
  <c r="D64" i="43"/>
  <c r="D65" i="43"/>
  <c r="D66" i="43"/>
  <c r="D59" i="43"/>
  <c r="E59" i="43" s="1"/>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I15" i="4"/>
  <c r="H15" i="4"/>
  <c r="G15" i="4"/>
  <c r="E15" i="4"/>
  <c r="D15" i="4"/>
  <c r="F7" i="1"/>
  <c r="G7" i="1" s="1"/>
  <c r="L21" i="4"/>
  <c r="A15" i="62" s="1"/>
  <c r="B61" i="72" s="1"/>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G105" i="37" s="1"/>
  <c r="D103"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c r="D73" i="37"/>
  <c r="E73" i="37" s="1"/>
  <c r="D71" i="37"/>
  <c r="H15" i="37"/>
  <c r="AB15" i="37" s="1"/>
  <c r="B68" i="37"/>
  <c r="H14" i="37" s="1"/>
  <c r="B66" i="37"/>
  <c r="B64" i="37"/>
  <c r="D63" i="37"/>
  <c r="E63" i="37"/>
  <c r="M61" i="37"/>
  <c r="L61" i="37"/>
  <c r="K61" i="37"/>
  <c r="J61" i="37"/>
  <c r="I61" i="37"/>
  <c r="H61" i="37"/>
  <c r="G61" i="37"/>
  <c r="F61" i="37"/>
  <c r="E61" i="37"/>
  <c r="D61" i="37"/>
  <c r="C61" i="37"/>
  <c r="F60" i="37"/>
  <c r="G60" i="37" s="1"/>
  <c r="H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E103" i="37"/>
  <c r="F103" i="37" s="1"/>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s="1"/>
  <c r="S10" i="37"/>
  <c r="AA39"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s="1"/>
  <c r="F33" i="37"/>
  <c r="AA33" i="37" s="1"/>
  <c r="W33"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s="1"/>
  <c r="J28" i="37"/>
  <c r="AC28" i="37" s="1"/>
  <c r="H28" i="37"/>
  <c r="U28" i="37" s="1"/>
  <c r="H38" i="37"/>
  <c r="AB38" i="37" s="1"/>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s="1"/>
  <c r="F27" i="37"/>
  <c r="AA27" i="37" s="1"/>
  <c r="F13" i="39"/>
  <c r="J13" i="39"/>
  <c r="W13" i="39" s="1"/>
  <c r="H13" i="39"/>
  <c r="H14" i="40"/>
  <c r="AB14" i="40"/>
  <c r="J14" i="40"/>
  <c r="W14" i="40"/>
  <c r="F14" i="40"/>
  <c r="AA14" i="40"/>
  <c r="J14" i="37"/>
  <c r="AC14" i="37"/>
  <c r="J27" i="37"/>
  <c r="AC27" i="37" s="1"/>
  <c r="AA13" i="35"/>
  <c r="U31" i="34"/>
  <c r="U46" i="33"/>
  <c r="J36" i="37"/>
  <c r="AC36" i="37" s="1"/>
  <c r="AB11" i="35"/>
  <c r="J10" i="36"/>
  <c r="AC10" i="36"/>
  <c r="AB26" i="33"/>
  <c r="AB30" i="21"/>
  <c r="W31" i="34"/>
  <c r="W13"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s="1"/>
  <c r="J32" i="37"/>
  <c r="AC32" i="37" s="1"/>
  <c r="F37" i="37"/>
  <c r="AA37" i="37" s="1"/>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H9" i="37"/>
  <c r="AB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s="1"/>
  <c r="B16" i="53"/>
  <c r="B33" i="72" s="1"/>
  <c r="C7" i="37"/>
  <c r="C7" i="34"/>
  <c r="C7" i="36"/>
  <c r="W35" i="40"/>
  <c r="A118" i="9"/>
  <c r="A4" i="52"/>
  <c r="B41" i="72" s="1"/>
  <c r="J11" i="39"/>
  <c r="W11" i="39"/>
  <c r="F11" i="39"/>
  <c r="AA11" i="39"/>
  <c r="S11" i="39"/>
  <c r="G4" i="4"/>
  <c r="I4" i="4"/>
  <c r="A2" i="9"/>
  <c r="F59" i="43"/>
  <c r="H62" i="43" s="1"/>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E8" i="6"/>
  <c r="F27" i="6" s="1"/>
  <c r="G509" i="3"/>
  <c r="BL493" i="3"/>
  <c r="AZ493" i="3" s="1"/>
  <c r="AZ491" i="3"/>
  <c r="AZ376" i="3"/>
  <c r="AZ382" i="3"/>
  <c r="U36" i="40"/>
  <c r="F36" i="43"/>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F20" i="36"/>
  <c r="AA20" i="36"/>
  <c r="J33" i="34"/>
  <c r="AC33" i="34"/>
  <c r="H23" i="39"/>
  <c r="U23" i="39"/>
  <c r="D48" i="9"/>
  <c r="M52" i="9" s="1"/>
  <c r="K9" i="1"/>
  <c r="M9" i="1" s="1"/>
  <c r="AE9" i="1"/>
  <c r="D93" i="9"/>
  <c r="E12" i="6"/>
  <c r="E57" i="40" s="1"/>
  <c r="K6" i="1"/>
  <c r="M6" i="1" s="1"/>
  <c r="O6" i="1" s="1"/>
  <c r="P6" i="1" s="1"/>
  <c r="G29" i="6"/>
  <c r="AC26" i="33"/>
  <c r="W26" i="33"/>
  <c r="W27" i="34"/>
  <c r="AC27" i="34"/>
  <c r="AC12" i="39"/>
  <c r="W12" i="39"/>
  <c r="AC39" i="40"/>
  <c r="W39" i="40"/>
  <c r="AZ401" i="3"/>
  <c r="AZ412" i="3"/>
  <c r="AZ417" i="3"/>
  <c r="AZ428" i="3"/>
  <c r="AZ433" i="3"/>
  <c r="AZ465" i="3"/>
  <c r="W12" i="33"/>
  <c r="AC12" i="33"/>
  <c r="AZ550" i="3"/>
  <c r="AZ408" i="3"/>
  <c r="AZ437" i="3"/>
  <c r="AZ441" i="3"/>
  <c r="AZ457" i="3"/>
  <c r="AZ473" i="3"/>
  <c r="AZ490" i="3"/>
  <c r="AA39" i="34"/>
  <c r="F28" i="6"/>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AZ80" i="3"/>
  <c r="AZ84" i="3"/>
  <c r="AZ88" i="3"/>
  <c r="AZ107" i="3"/>
  <c r="AZ111" i="3"/>
  <c r="K12" i="1"/>
  <c r="M12" i="1" s="1"/>
  <c r="S13" i="1"/>
  <c r="AR13" i="1" s="1"/>
  <c r="R13" i="1"/>
  <c r="S11" i="1"/>
  <c r="AQ11" i="1" s="1"/>
  <c r="R11" i="1"/>
  <c r="S9" i="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29" i="37"/>
  <c r="AB31" i="37"/>
  <c r="AA38" i="37"/>
  <c r="U32" i="37"/>
  <c r="W38" i="37"/>
  <c r="W39" i="37"/>
  <c r="S30" i="37"/>
  <c r="S37" i="37"/>
  <c r="F75" i="37"/>
  <c r="F19" i="37"/>
  <c r="S19" i="37" s="1"/>
  <c r="F23" i="37"/>
  <c r="S23" i="37" s="1"/>
  <c r="AC13" i="37"/>
  <c r="U9" i="37"/>
  <c r="AA13" i="37"/>
  <c r="H10" i="37"/>
  <c r="U10" i="37" s="1"/>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BA13" i="3"/>
  <c r="E10" i="6"/>
  <c r="BA5" i="3"/>
  <c r="E11" i="6"/>
  <c r="E61" i="39" s="1"/>
  <c r="BL17" i="3"/>
  <c r="AZ17" i="3" s="1"/>
  <c r="BL13" i="3"/>
  <c r="G30" i="6"/>
  <c r="G31" i="6" s="1"/>
  <c r="J56" i="9"/>
  <c r="J57" i="9" s="1"/>
  <c r="J59" i="9" s="1"/>
  <c r="J61" i="9" s="1"/>
  <c r="A24" i="51"/>
  <c r="B18" i="72" s="1"/>
  <c r="U29" i="34"/>
  <c r="E14" i="6"/>
  <c r="E64" i="39" s="1"/>
  <c r="E5" i="6"/>
  <c r="D9" i="11" s="1"/>
  <c r="E32" i="6"/>
  <c r="L19" i="6"/>
  <c r="G1" i="68"/>
  <c r="K1" i="12"/>
  <c r="E28" i="6"/>
  <c r="AQ12" i="1"/>
  <c r="T10" i="1"/>
  <c r="E19" i="69"/>
  <c r="E19" i="68"/>
  <c r="E19" i="11"/>
  <c r="G22" i="69"/>
  <c r="G26" i="12"/>
  <c r="C100" i="43"/>
  <c r="E11" i="43"/>
  <c r="E10" i="43"/>
  <c r="E9" i="43"/>
  <c r="E8" i="43"/>
  <c r="C7" i="43" s="1"/>
  <c r="E48" i="43"/>
  <c r="B46" i="43"/>
  <c r="E70" i="43"/>
  <c r="B68" i="43"/>
  <c r="F100" i="43"/>
  <c r="H17" i="43"/>
  <c r="G6" i="1"/>
  <c r="H53" i="43"/>
  <c r="H71" i="43"/>
  <c r="C17" i="43"/>
  <c r="F33" i="43"/>
  <c r="K17" i="43"/>
  <c r="F34" i="43"/>
  <c r="N6" i="43"/>
  <c r="N3" i="43"/>
  <c r="F38" i="43"/>
  <c r="F37" i="43"/>
  <c r="M9" i="43"/>
  <c r="C6" i="43" s="1"/>
  <c r="N5" i="43"/>
  <c r="M12" i="43"/>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55" i="43"/>
  <c r="H56" i="43"/>
  <c r="H72" i="43"/>
  <c r="L20" i="6"/>
  <c r="E62" i="39"/>
  <c r="E51" i="40"/>
  <c r="B6" i="1"/>
  <c r="E6" i="1" s="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S27" i="37"/>
  <c r="U36" i="37"/>
  <c r="S40" i="37"/>
  <c r="U38" i="37"/>
  <c r="AC34" i="37"/>
  <c r="AA11"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K101" i="21"/>
  <c r="L101" i="21" s="1"/>
  <c r="M101" i="21"/>
  <c r="F33" i="21"/>
  <c r="J33" i="21"/>
  <c r="H33" i="21"/>
  <c r="AB33" i="21"/>
  <c r="F37" i="21"/>
  <c r="AA37" i="21"/>
  <c r="AA26" i="21"/>
  <c r="AB14" i="21"/>
  <c r="AB46" i="21"/>
  <c r="U40" i="21"/>
  <c r="U31" i="21"/>
  <c r="AC15" i="21"/>
  <c r="U13" i="21"/>
  <c r="AB13"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U30" i="40"/>
  <c r="B54" i="43"/>
  <c r="B65" i="43"/>
  <c r="B49" i="43"/>
  <c r="B52" i="43"/>
  <c r="B56" i="43"/>
  <c r="B60" i="43"/>
  <c r="B63" i="43"/>
  <c r="D22" i="15"/>
  <c r="E4" i="4"/>
  <c r="B5" i="62" s="1"/>
  <c r="B73" i="72" s="1"/>
  <c r="C4" i="4"/>
  <c r="AZ13" i="3"/>
  <c r="F30" i="11"/>
  <c r="C48" i="11" s="1"/>
  <c r="F30" i="69"/>
  <c r="F48" i="69" s="1"/>
  <c r="D9" i="69"/>
  <c r="C9" i="69" s="1"/>
  <c r="D19" i="12"/>
  <c r="AR11" i="1"/>
  <c r="D9" i="68"/>
  <c r="S7" i="1"/>
  <c r="AQ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J19" i="37"/>
  <c r="AC19" i="37" s="1"/>
  <c r="G75" i="37"/>
  <c r="AA19" i="37"/>
  <c r="J23" i="37"/>
  <c r="AC23" i="37" s="1"/>
  <c r="J10" i="37"/>
  <c r="W10" i="37" s="1"/>
  <c r="I60" i="37"/>
  <c r="G63" i="37"/>
  <c r="H11" i="37"/>
  <c r="AB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K14" i="1"/>
  <c r="M14" i="1" s="1"/>
  <c r="O14" i="1" s="1"/>
  <c r="P14" i="1" s="1"/>
  <c r="BL5" i="3"/>
  <c r="AR8" i="1"/>
  <c r="T8" i="1"/>
  <c r="R22" i="31"/>
  <c r="L27" i="6"/>
  <c r="AP7" i="1"/>
  <c r="H16" i="1"/>
  <c r="AB45" i="21"/>
  <c r="AC33" i="21"/>
  <c r="W33" i="21"/>
  <c r="S33" i="21"/>
  <c r="AA33" i="21"/>
  <c r="W32" i="21"/>
  <c r="AC32" i="21"/>
  <c r="AB9" i="21"/>
  <c r="U9" i="21"/>
  <c r="AA32" i="21"/>
  <c r="S32" i="21"/>
  <c r="W9" i="21"/>
  <c r="AC9" i="21"/>
  <c r="AB32" i="21"/>
  <c r="U32" i="21"/>
  <c r="AA10" i="21"/>
  <c r="S10" i="21"/>
  <c r="C36" i="69"/>
  <c r="U32" i="39"/>
  <c r="AB32" i="39"/>
  <c r="AC32" i="39"/>
  <c r="W32" i="39"/>
  <c r="W23" i="37"/>
  <c r="AB11" i="37"/>
  <c r="U11" i="37"/>
  <c r="H63" i="37"/>
  <c r="I63" i="37"/>
  <c r="J63" i="37" s="1"/>
  <c r="K63" i="37" s="1"/>
  <c r="L63" i="37" s="1"/>
  <c r="M63" i="37" s="1"/>
  <c r="J11"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R7" i="1"/>
  <c r="F34" i="11"/>
  <c r="F34" i="68"/>
  <c r="R8" i="1"/>
  <c r="AE7" i="1"/>
  <c r="AE8" i="1"/>
  <c r="AG6" i="1"/>
  <c r="H109" i="9"/>
  <c r="H110" i="9"/>
  <c r="D18" i="53" s="1"/>
  <c r="B35" i="72" s="1"/>
  <c r="D16" i="53"/>
  <c r="B34" i="72" s="1"/>
  <c r="H111" i="9"/>
  <c r="D126" i="9" s="1"/>
  <c r="AD3" i="71"/>
  <c r="J1" i="73"/>
  <c r="C77" i="9"/>
  <c r="C74" i="9" s="1"/>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G20" i="43"/>
  <c r="E41" i="43"/>
  <c r="C41" i="43" s="1"/>
  <c r="I59" i="34"/>
  <c r="J59" i="34" s="1"/>
  <c r="E10" i="76"/>
  <c r="C76" i="67"/>
  <c r="L47" i="67"/>
  <c r="M24" i="15"/>
  <c r="L47" i="15"/>
  <c r="D2" i="33"/>
  <c r="E7" i="76"/>
  <c r="AO11" i="1"/>
  <c r="F37" i="15"/>
  <c r="M27" i="15"/>
  <c r="E12" i="76"/>
  <c r="AO7" i="1"/>
  <c r="D6" i="73"/>
  <c r="M22" i="67"/>
  <c r="J15" i="15"/>
  <c r="D2" i="21"/>
  <c r="M9" i="67"/>
  <c r="M23" i="67"/>
  <c r="F13" i="67"/>
  <c r="E2" i="68"/>
  <c r="M28" i="67"/>
  <c r="D2" i="36"/>
  <c r="F40" i="67"/>
  <c r="E11" i="76"/>
  <c r="D3" i="73"/>
  <c r="M23" i="15"/>
  <c r="F36" i="67"/>
  <c r="F7" i="67"/>
  <c r="F6" i="73"/>
  <c r="F3" i="73"/>
  <c r="F9" i="15"/>
  <c r="M6" i="67"/>
  <c r="F42" i="15"/>
  <c r="F16" i="67"/>
  <c r="F20" i="31"/>
  <c r="L48" i="67"/>
  <c r="F7" i="73"/>
  <c r="F6" i="15"/>
  <c r="F8" i="67"/>
  <c r="F5" i="73"/>
  <c r="B9" i="76"/>
  <c r="AO13" i="1"/>
  <c r="F38" i="15"/>
  <c r="M22" i="15"/>
  <c r="M24" i="67"/>
  <c r="F8" i="15"/>
  <c r="D7" i="73"/>
  <c r="B10" i="76"/>
  <c r="E9" i="76"/>
  <c r="C76" i="15"/>
  <c r="F36" i="15"/>
  <c r="F43" i="67"/>
  <c r="AO12" i="1"/>
  <c r="B8" i="76"/>
  <c r="D2" i="34"/>
  <c r="D2" i="37"/>
  <c r="B7" i="76"/>
  <c r="F26" i="15"/>
  <c r="L48" i="15"/>
  <c r="M9" i="15"/>
  <c r="M28" i="15"/>
  <c r="D5" i="73"/>
  <c r="M6" i="15"/>
  <c r="M29" i="67"/>
  <c r="E13" i="76"/>
  <c r="D2" i="35"/>
  <c r="AO10" i="1"/>
  <c r="E8" i="76"/>
  <c r="F7" i="15"/>
  <c r="F26" i="67"/>
  <c r="F16" i="15"/>
  <c r="F13" i="15"/>
  <c r="M27" i="67"/>
  <c r="E2" i="69"/>
  <c r="B13" i="76"/>
  <c r="M26" i="15"/>
  <c r="F9" i="67"/>
  <c r="M29" i="15"/>
  <c r="F37" i="67"/>
  <c r="B12" i="76"/>
  <c r="F43" i="15"/>
  <c r="M26" i="67"/>
  <c r="J15" i="67"/>
  <c r="AO9" i="1"/>
  <c r="F40" i="15"/>
  <c r="M8" i="67"/>
  <c r="D4" i="73"/>
  <c r="F38" i="67"/>
  <c r="AO8" i="1"/>
  <c r="F4" i="73"/>
  <c r="F42" i="67"/>
  <c r="M8" i="15"/>
  <c r="F6" i="67"/>
  <c r="B11" i="76"/>
  <c r="J51" i="15" l="1"/>
  <c r="C9" i="68"/>
  <c r="C19" i="12"/>
  <c r="C9" i="11"/>
  <c r="W30" i="37"/>
  <c r="U29" i="37"/>
  <c r="J35" i="37"/>
  <c r="W35" i="37" s="1"/>
  <c r="S33" i="37"/>
  <c r="W32" i="37"/>
  <c r="W36" i="37"/>
  <c r="S32" i="37"/>
  <c r="H35" i="37"/>
  <c r="F36" i="37"/>
  <c r="W31" i="37"/>
  <c r="AB37" i="37"/>
  <c r="S34" i="37"/>
  <c r="U34" i="37"/>
  <c r="AC35" i="37"/>
  <c r="S28" i="37"/>
  <c r="W28" i="37"/>
  <c r="AB25" i="37"/>
  <c r="AA23" i="37"/>
  <c r="U23" i="37"/>
  <c r="W19" i="37"/>
  <c r="F73" i="37"/>
  <c r="G73" i="37" s="1"/>
  <c r="H17" i="37"/>
  <c r="F17" i="37"/>
  <c r="J17" i="37"/>
  <c r="AC15" i="37"/>
  <c r="U15" i="37"/>
  <c r="S15" i="37"/>
  <c r="AA12" i="37"/>
  <c r="AC12" i="37"/>
  <c r="AA14" i="37"/>
  <c r="W9" i="37"/>
  <c r="AC9" i="37"/>
  <c r="F9" i="37"/>
  <c r="AA8" i="37"/>
  <c r="AC10" i="37"/>
  <c r="U30" i="37"/>
  <c r="C23" i="40"/>
  <c r="C15" i="40"/>
  <c r="H78" i="43"/>
  <c r="H83" i="43"/>
  <c r="G83" i="43" s="1"/>
  <c r="H86" i="43"/>
  <c r="G86" i="43" s="1"/>
  <c r="H81" i="43"/>
  <c r="G81" i="43" s="1"/>
  <c r="H88" i="43"/>
  <c r="G88" i="43" s="1"/>
  <c r="H87" i="43"/>
  <c r="G87" i="43" s="1"/>
  <c r="H85" i="43"/>
  <c r="G85" i="43" s="1"/>
  <c r="H84" i="43"/>
  <c r="G84" i="43" s="1"/>
  <c r="H75" i="43"/>
  <c r="G17" i="43"/>
  <c r="C16" i="43" s="1"/>
  <c r="P61" i="15"/>
  <c r="C21" i="40"/>
  <c r="C17" i="40"/>
  <c r="B67" i="43"/>
  <c r="C15" i="39"/>
  <c r="C30" i="11"/>
  <c r="F54" i="9"/>
  <c r="F52" i="9"/>
  <c r="F28" i="15"/>
  <c r="C28" i="15" s="1"/>
  <c r="F32" i="67"/>
  <c r="F60" i="67" s="1"/>
  <c r="F28" i="67"/>
  <c r="C48" i="69"/>
  <c r="C13" i="12"/>
  <c r="D68" i="9"/>
  <c r="M18" i="15"/>
  <c r="F32" i="15"/>
  <c r="F60" i="15" s="1"/>
  <c r="M18" i="67"/>
  <c r="F31" i="12"/>
  <c r="C31" i="12" s="1"/>
  <c r="F30" i="68"/>
  <c r="F53" i="9"/>
  <c r="C23" i="12"/>
  <c r="C21" i="69"/>
  <c r="D23" i="15"/>
  <c r="G22" i="11"/>
  <c r="G22" i="68"/>
  <c r="E1" i="73"/>
  <c r="K1" i="73" s="1"/>
  <c r="C34" i="69"/>
  <c r="C35" i="69" s="1"/>
  <c r="AR7" i="1"/>
  <c r="T13" i="1"/>
  <c r="T11" i="1"/>
  <c r="AQ13" i="1"/>
  <c r="E56" i="39"/>
  <c r="AR10" i="1"/>
  <c r="E27" i="6"/>
  <c r="C23" i="43"/>
  <c r="S6" i="43"/>
  <c r="S7" i="43"/>
  <c r="S4" i="43"/>
  <c r="H5" i="3"/>
  <c r="G13" i="3"/>
  <c r="T7" i="1"/>
  <c r="AR9" i="1"/>
  <c r="T9" i="1"/>
  <c r="G5" i="3"/>
  <c r="B3" i="3" s="1"/>
  <c r="Q16" i="1"/>
  <c r="J22" i="43"/>
  <c r="S3" i="43"/>
  <c r="E59" i="40"/>
  <c r="AQ9" i="1"/>
  <c r="T12" i="1"/>
  <c r="E60" i="40"/>
  <c r="E65" i="39"/>
  <c r="O9" i="1"/>
  <c r="P9" i="1" s="1"/>
  <c r="M16" i="1"/>
  <c r="C34" i="68" s="1"/>
  <c r="E13" i="6"/>
  <c r="H82" i="43"/>
  <c r="G82" i="43" s="1"/>
  <c r="H50" i="43"/>
  <c r="G13" i="1"/>
  <c r="G16" i="1" s="1"/>
  <c r="H112" i="9"/>
  <c r="D21" i="53" s="1"/>
  <c r="B39" i="72" s="1"/>
  <c r="B19" i="53"/>
  <c r="B37" i="72" s="1"/>
  <c r="D19" i="53"/>
  <c r="D68" i="39"/>
  <c r="C70" i="39"/>
  <c r="C20" i="43"/>
  <c r="C24" i="12"/>
  <c r="C28" i="67"/>
  <c r="C30" i="69"/>
  <c r="C36" i="11"/>
  <c r="I14" i="74"/>
  <c r="B8" i="74" s="1"/>
  <c r="D127" i="9"/>
  <c r="D13" i="52" s="1"/>
  <c r="D12" i="52"/>
  <c r="D17" i="53"/>
  <c r="B36" i="72" s="1"/>
  <c r="D124" i="9"/>
  <c r="P7" i="1"/>
  <c r="F27" i="68"/>
  <c r="AZ521" i="3"/>
  <c r="F22" i="43"/>
  <c r="K101" i="43"/>
  <c r="F101" i="43"/>
  <c r="N101" i="43"/>
  <c r="E22" i="43"/>
  <c r="H22" i="43"/>
  <c r="D101" i="43"/>
  <c r="M101" i="43"/>
  <c r="I101" i="43"/>
  <c r="E101" i="43"/>
  <c r="S5" i="43"/>
  <c r="B113" i="43"/>
  <c r="G101" i="43"/>
  <c r="C101" i="43"/>
  <c r="J101" i="43"/>
  <c r="N104" i="46"/>
  <c r="L101" i="43"/>
  <c r="H101" i="43"/>
  <c r="G22" i="43"/>
  <c r="S2" i="43"/>
  <c r="AJ11" i="43"/>
  <c r="AJ13" i="43" s="1"/>
  <c r="AH11" i="43"/>
  <c r="AF11" i="43"/>
  <c r="AF13" i="43" s="1"/>
  <c r="AD11" i="43"/>
  <c r="AB11" i="43"/>
  <c r="AB13" i="43" s="1"/>
  <c r="Z11" i="43"/>
  <c r="Z7" i="43"/>
  <c r="AI11" i="43"/>
  <c r="AI13" i="43" s="1"/>
  <c r="AG11" i="43"/>
  <c r="AE11" i="43"/>
  <c r="AE13" i="43" s="1"/>
  <c r="AC11" i="43"/>
  <c r="AA11" i="43"/>
  <c r="AA13" i="43" s="1"/>
  <c r="Y11" i="43"/>
  <c r="Y13" i="43" s="1"/>
  <c r="S12" i="34"/>
  <c r="AA12" i="34"/>
  <c r="U34" i="36"/>
  <c r="AB34" i="36"/>
  <c r="U33" i="36"/>
  <c r="AB33" i="36"/>
  <c r="AB14" i="37"/>
  <c r="U14" i="37"/>
  <c r="O12" i="1"/>
  <c r="P12" i="1" s="1"/>
  <c r="E29" i="6"/>
  <c r="F30" i="6"/>
  <c r="F31" i="6" s="1"/>
  <c r="W9" i="34"/>
  <c r="AC9" i="34"/>
  <c r="AC24" i="35"/>
  <c r="W24" i="35"/>
  <c r="AC34" i="35"/>
  <c r="W34" i="35"/>
  <c r="U36" i="35"/>
  <c r="AB36" i="35"/>
  <c r="AA32" i="36"/>
  <c r="S32" i="36"/>
  <c r="AB40" i="40"/>
  <c r="U40" i="40"/>
  <c r="E56" i="40"/>
  <c r="AZ399" i="3"/>
  <c r="K5" i="4"/>
  <c r="B47" i="48" s="1"/>
  <c r="U12" i="37"/>
  <c r="S11" i="36"/>
  <c r="AB11" i="36"/>
  <c r="AA14" i="33"/>
  <c r="AA44" i="33"/>
  <c r="H9" i="34"/>
  <c r="F34" i="35"/>
  <c r="H34" i="35"/>
  <c r="J36" i="35"/>
  <c r="P8" i="1"/>
  <c r="O8" i="1"/>
  <c r="AZ409" i="3"/>
  <c r="AZ421" i="3"/>
  <c r="AZ423" i="3"/>
  <c r="AZ425" i="3"/>
  <c r="AZ427" i="3"/>
  <c r="AZ440" i="3"/>
  <c r="AZ442" i="3"/>
  <c r="AZ446" i="3"/>
  <c r="AZ450" i="3"/>
  <c r="AZ454" i="3"/>
  <c r="AZ459" i="3"/>
  <c r="AZ468" i="3"/>
  <c r="AZ470" i="3"/>
  <c r="AZ479" i="3"/>
  <c r="AZ485" i="3"/>
  <c r="AZ216" i="3"/>
  <c r="AZ221" i="3"/>
  <c r="AZ226" i="3"/>
  <c r="AZ230" i="3"/>
  <c r="AZ242" i="3"/>
  <c r="AZ246" i="3"/>
  <c r="AZ258" i="3"/>
  <c r="AZ262" i="3"/>
  <c r="AZ267" i="3"/>
  <c r="AZ278" i="3"/>
  <c r="AZ284" i="3"/>
  <c r="AZ292" i="3"/>
  <c r="AZ302" i="3"/>
  <c r="AZ113" i="3"/>
  <c r="AZ126" i="3"/>
  <c r="AZ129" i="3"/>
  <c r="AZ153" i="3"/>
  <c r="AZ205" i="3"/>
  <c r="AZ18" i="3"/>
  <c r="AZ23" i="3"/>
  <c r="AZ27" i="3"/>
  <c r="AZ52" i="3"/>
  <c r="AZ56" i="3"/>
  <c r="AZ68" i="3"/>
  <c r="AZ73" i="3"/>
  <c r="AZ90" i="3"/>
  <c r="AZ92" i="3"/>
  <c r="AZ103" i="3"/>
  <c r="M100" i="43"/>
  <c r="I100" i="43"/>
  <c r="E100" i="43"/>
  <c r="D100" i="43"/>
  <c r="C40" i="68"/>
  <c r="C21" i="68"/>
  <c r="D37" i="71"/>
  <c r="T37" i="71"/>
  <c r="D33" i="71"/>
  <c r="T33" i="71"/>
  <c r="Q62" i="71"/>
  <c r="Q63" i="71"/>
  <c r="Y5" i="71"/>
  <c r="Z5" i="71" s="1"/>
  <c r="X5" i="71"/>
  <c r="AB5" i="71"/>
  <c r="AA5" i="71"/>
  <c r="S18" i="36"/>
  <c r="D41" i="71"/>
  <c r="T41" i="71"/>
  <c r="T25" i="71"/>
  <c r="D25" i="71"/>
  <c r="U25" i="71" s="1"/>
  <c r="C24" i="71"/>
  <c r="C52" i="71"/>
  <c r="D51" i="71"/>
  <c r="C60" i="71"/>
  <c r="D59" i="71"/>
  <c r="X6" i="71"/>
  <c r="X7" i="71"/>
  <c r="AB6" i="71"/>
  <c r="Z12" i="43"/>
  <c r="Z10" i="43"/>
  <c r="AD12" i="43"/>
  <c r="AD10" i="43"/>
  <c r="AH12" i="43"/>
  <c r="AH10" i="43"/>
  <c r="AA20" i="71"/>
  <c r="AA21" i="71"/>
  <c r="X19" i="71"/>
  <c r="B21" i="71"/>
  <c r="AA18" i="71"/>
  <c r="X18" i="71"/>
  <c r="Y15" i="71"/>
  <c r="Z15" i="71" s="1"/>
  <c r="X14" i="71"/>
  <c r="Y14" i="71"/>
  <c r="Z14" i="71" s="1"/>
  <c r="AA14" i="71"/>
  <c r="AB15" i="71"/>
  <c r="Y11" i="71"/>
  <c r="Z11" i="71" s="1"/>
  <c r="AB7" i="71"/>
  <c r="AB24" i="71"/>
  <c r="S25" i="71"/>
  <c r="X24" i="71"/>
  <c r="AA33" i="71"/>
  <c r="AB30" i="71"/>
  <c r="Y30" i="71"/>
  <c r="Z30" i="71" s="1"/>
  <c r="X29" i="71"/>
  <c r="N65" i="71"/>
  <c r="X34" i="71"/>
  <c r="AA26" i="71"/>
  <c r="X36" i="71"/>
  <c r="Y6" i="71"/>
  <c r="Z6" i="71" s="1"/>
  <c r="Y7" i="71"/>
  <c r="Z7" i="71" s="1"/>
  <c r="AA6" i="71"/>
  <c r="AA7" i="71"/>
  <c r="AB36" i="71"/>
  <c r="B64" i="71"/>
  <c r="AF10" i="43"/>
  <c r="AC12" i="43"/>
  <c r="AC10" i="43"/>
  <c r="AG12" i="43"/>
  <c r="AG10" i="43"/>
  <c r="X21" i="71"/>
  <c r="E21" i="71"/>
  <c r="Y19" i="71"/>
  <c r="Z19" i="71" s="1"/>
  <c r="Y20" i="71"/>
  <c r="Z20" i="71" s="1"/>
  <c r="C21" i="71"/>
  <c r="AB20" i="71"/>
  <c r="AB21" i="71"/>
  <c r="AB18" i="71"/>
  <c r="X15" i="71"/>
  <c r="AA15" i="71"/>
  <c r="Y18" i="71"/>
  <c r="Z18" i="71" s="1"/>
  <c r="AA19" i="71"/>
  <c r="X12" i="71"/>
  <c r="AA12" i="71"/>
  <c r="AB9" i="71"/>
  <c r="AB10" i="71"/>
  <c r="Y8" i="71"/>
  <c r="Z8" i="71" s="1"/>
  <c r="Y10" i="71"/>
  <c r="Z10" i="71" s="1"/>
  <c r="AA9" i="71"/>
  <c r="AA8" i="71"/>
  <c r="AA11" i="71"/>
  <c r="X10" i="71"/>
  <c r="X9" i="71"/>
  <c r="AB12" i="71"/>
  <c r="AB14" i="71"/>
  <c r="AB8" i="71"/>
  <c r="AB11" i="71"/>
  <c r="Y9" i="71"/>
  <c r="Z9" i="71" s="1"/>
  <c r="AA10" i="71"/>
  <c r="X8" i="71"/>
  <c r="X11" i="71"/>
  <c r="C5" i="43"/>
  <c r="D5"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4" i="67"/>
  <c r="G1" i="73"/>
  <c r="C17" i="67"/>
  <c r="C16" i="15"/>
  <c r="C16" i="67"/>
  <c r="M82" i="43" l="1"/>
  <c r="N82" i="43" s="1"/>
  <c r="K82" i="43"/>
  <c r="J82" i="43" s="1"/>
  <c r="M84" i="43"/>
  <c r="N84" i="43" s="1"/>
  <c r="K84" i="43"/>
  <c r="J84" i="43" s="1"/>
  <c r="M85" i="43"/>
  <c r="N85" i="43" s="1"/>
  <c r="K85" i="43"/>
  <c r="J85" i="43" s="1"/>
  <c r="M87" i="43"/>
  <c r="N87" i="43" s="1"/>
  <c r="K87" i="43"/>
  <c r="M88" i="43"/>
  <c r="N88" i="43" s="1"/>
  <c r="K88" i="43"/>
  <c r="M81" i="43"/>
  <c r="N81" i="43" s="1"/>
  <c r="K81" i="43"/>
  <c r="M86" i="43"/>
  <c r="N86" i="43" s="1"/>
  <c r="K86" i="43"/>
  <c r="J86" i="43" s="1"/>
  <c r="M83" i="43"/>
  <c r="N83" i="43" s="1"/>
  <c r="K83" i="43"/>
  <c r="J83" i="43" s="1"/>
  <c r="J7" i="34"/>
  <c r="U35" i="37"/>
  <c r="AB35" i="37"/>
  <c r="AA36" i="37"/>
  <c r="S36" i="37"/>
  <c r="W17" i="37"/>
  <c r="AC17" i="37"/>
  <c r="U17" i="37"/>
  <c r="AB17" i="37"/>
  <c r="AA17" i="37"/>
  <c r="S17" i="37"/>
  <c r="S9" i="37"/>
  <c r="AA9" i="37"/>
  <c r="AH13" i="43"/>
  <c r="AD13" i="43"/>
  <c r="Z13" i="43"/>
  <c r="AG13" i="43"/>
  <c r="AC13" i="43"/>
  <c r="C38" i="69"/>
  <c r="F48" i="68"/>
  <c r="C30" i="68"/>
  <c r="C48" i="68"/>
  <c r="C29" i="68"/>
  <c r="D27" i="68" s="1"/>
  <c r="L16" i="1"/>
  <c r="K20" i="6"/>
  <c r="M20" i="6" s="1"/>
  <c r="I20" i="6" s="1"/>
  <c r="S20" i="6" s="1"/>
  <c r="K24" i="6"/>
  <c r="M24" i="6" s="1"/>
  <c r="I24" i="6" s="1"/>
  <c r="S24" i="6" s="1"/>
  <c r="K26" i="6"/>
  <c r="M26" i="6" s="1"/>
  <c r="I26" i="6" s="1"/>
  <c r="S26" i="6" s="1"/>
  <c r="K19" i="6"/>
  <c r="S6" i="1" s="1"/>
  <c r="K25" i="6"/>
  <c r="M25" i="6" s="1"/>
  <c r="I25" i="6" s="1"/>
  <c r="S25" i="6" s="1"/>
  <c r="K21" i="6"/>
  <c r="M21" i="6" s="1"/>
  <c r="I21" i="6" s="1"/>
  <c r="S21" i="6" s="1"/>
  <c r="K22" i="6"/>
  <c r="M22" i="6" s="1"/>
  <c r="I22" i="6" s="1"/>
  <c r="S22" i="6" s="1"/>
  <c r="K23" i="6"/>
  <c r="M23" i="6" s="1"/>
  <c r="I23" i="6" s="1"/>
  <c r="S23" i="6"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17" i="3"/>
  <c r="E526" i="3"/>
  <c r="E268" i="3"/>
  <c r="E322" i="3"/>
  <c r="AJ6" i="3"/>
  <c r="E239" i="3"/>
  <c r="E516" i="3"/>
  <c r="E569" i="3"/>
  <c r="E396" i="3"/>
  <c r="E229" i="3"/>
  <c r="E151" i="3"/>
  <c r="E358" i="3"/>
  <c r="E559" i="3"/>
  <c r="E551" i="3"/>
  <c r="V6" i="3"/>
  <c r="E407" i="3"/>
  <c r="E320" i="3"/>
  <c r="E294" i="3"/>
  <c r="E230" i="3"/>
  <c r="E130"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366" i="3"/>
  <c r="E553" i="3"/>
  <c r="E282" i="3"/>
  <c r="N6" i="3"/>
  <c r="E509" i="3"/>
  <c r="E579" i="3"/>
  <c r="E431" i="3"/>
  <c r="E247" i="3"/>
  <c r="E201" i="3"/>
  <c r="E311" i="3"/>
  <c r="E514" i="3"/>
  <c r="E570" i="3"/>
  <c r="M6" i="3"/>
  <c r="AB6" i="3"/>
  <c r="E387" i="3"/>
  <c r="E335" i="3"/>
  <c r="E215" i="3"/>
  <c r="E189"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123" i="3"/>
  <c r="E147" i="3"/>
  <c r="E289" i="3"/>
  <c r="E340" i="3"/>
  <c r="E364" i="3"/>
  <c r="E50" i="3"/>
  <c r="E20" i="3"/>
  <c r="E62" i="3"/>
  <c r="E176" i="3"/>
  <c r="E218" i="3"/>
  <c r="E265" i="3"/>
  <c r="E365" i="3"/>
  <c r="E524" i="3"/>
  <c r="E101" i="3"/>
  <c r="E49" i="3"/>
  <c r="E206" i="3"/>
  <c r="E232" i="3"/>
  <c r="E251" i="3"/>
  <c r="E370" i="3"/>
  <c r="AF6" i="3"/>
  <c r="E102" i="3"/>
  <c r="E80" i="3"/>
  <c r="E113" i="3"/>
  <c r="E158" i="3"/>
  <c r="E287" i="3"/>
  <c r="E308" i="3"/>
  <c r="E326" i="3"/>
  <c r="E22" i="3"/>
  <c r="E83" i="3"/>
  <c r="E13" i="3"/>
  <c r="I6" i="3"/>
  <c r="H6" i="3" s="1"/>
  <c r="C35" i="68"/>
  <c r="C38" i="68"/>
  <c r="F27" i="69"/>
  <c r="F28" i="12"/>
  <c r="C29" i="12" s="1"/>
  <c r="D28" i="12" s="1"/>
  <c r="F27" i="11"/>
  <c r="E16" i="6"/>
  <c r="E58" i="40"/>
  <c r="E63" i="39"/>
  <c r="E66" i="39" s="1"/>
  <c r="N16" i="1"/>
  <c r="C34" i="11"/>
  <c r="O16" i="1"/>
  <c r="F10" i="39"/>
  <c r="AA10" i="39" s="1"/>
  <c r="F10" i="40"/>
  <c r="AA10" i="40" s="1"/>
  <c r="H10" i="39"/>
  <c r="U10" i="39" s="1"/>
  <c r="J10" i="40"/>
  <c r="W10" i="40" s="1"/>
  <c r="F45" i="68"/>
  <c r="C47" i="68"/>
  <c r="D45" i="68" s="1"/>
  <c r="B38" i="72"/>
  <c r="D20" i="53"/>
  <c r="B40" i="72" s="1"/>
  <c r="D70" i="39"/>
  <c r="E68" i="39"/>
  <c r="P16" i="1"/>
  <c r="C11" i="12" s="1"/>
  <c r="J10" i="39"/>
  <c r="W10" i="39" s="1"/>
  <c r="H10" i="40"/>
  <c r="AB10" i="40" s="1"/>
  <c r="F7" i="36"/>
  <c r="J7" i="37"/>
  <c r="AC7" i="37" s="1"/>
  <c r="H7" i="36"/>
  <c r="H7" i="34"/>
  <c r="U7" i="34" s="1"/>
  <c r="F7" i="34"/>
  <c r="E20" i="71"/>
  <c r="E19" i="71" s="1"/>
  <c r="E18" i="71" s="1"/>
  <c r="E17" i="71" s="1"/>
  <c r="V21" i="71"/>
  <c r="C23" i="71"/>
  <c r="D23" i="71" s="1"/>
  <c r="D24" i="71"/>
  <c r="AZ5" i="3"/>
  <c r="W36" i="35"/>
  <c r="AC36" i="35"/>
  <c r="S34" i="35"/>
  <c r="AA34" i="35"/>
  <c r="K15" i="1"/>
  <c r="K16" i="1" s="1"/>
  <c r="E30" i="6"/>
  <c r="E31" i="6" s="1"/>
  <c r="H107" i="43"/>
  <c r="H106" i="43"/>
  <c r="H105" i="43"/>
  <c r="H102"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6" i="43"/>
  <c r="E103" i="43"/>
  <c r="M109" i="43"/>
  <c r="M104" i="43"/>
  <c r="M107" i="43"/>
  <c r="M105" i="43"/>
  <c r="M102" i="43"/>
  <c r="M106" i="43"/>
  <c r="M103" i="43"/>
  <c r="N103" i="43"/>
  <c r="N106" i="43"/>
  <c r="N107" i="43"/>
  <c r="N109" i="43"/>
  <c r="N102" i="43"/>
  <c r="N105" i="43"/>
  <c r="N104" i="43"/>
  <c r="K107" i="43"/>
  <c r="K104" i="43"/>
  <c r="K106" i="43"/>
  <c r="K109" i="43"/>
  <c r="K103" i="43"/>
  <c r="K102" i="43"/>
  <c r="K105" i="43"/>
  <c r="H14" i="74"/>
  <c r="B7" i="74" s="1"/>
  <c r="D10" i="52"/>
  <c r="D125" i="9"/>
  <c r="D11" i="52" s="1"/>
  <c r="C20" i="71"/>
  <c r="D21" i="71"/>
  <c r="U21" i="71" s="1"/>
  <c r="T21" i="71"/>
  <c r="N64" i="71"/>
  <c r="B63" i="71"/>
  <c r="B20" i="71"/>
  <c r="B19" i="71" s="1"/>
  <c r="B18" i="71" s="1"/>
  <c r="B17" i="71" s="1"/>
  <c r="S21" i="71"/>
  <c r="D60" i="71"/>
  <c r="C61" i="71"/>
  <c r="C53" i="71"/>
  <c r="D52" i="71"/>
  <c r="AB34" i="35"/>
  <c r="U34" i="35"/>
  <c r="AB9" i="34"/>
  <c r="U9" i="34"/>
  <c r="L109" i="43"/>
  <c r="L102" i="43"/>
  <c r="L105" i="43"/>
  <c r="L104" i="43"/>
  <c r="L106" i="43"/>
  <c r="L107" i="43"/>
  <c r="L103" i="43"/>
  <c r="J104" i="43"/>
  <c r="J105" i="43"/>
  <c r="J103" i="43"/>
  <c r="J106" i="43"/>
  <c r="J109" i="43"/>
  <c r="J107" i="43"/>
  <c r="J102" i="43"/>
  <c r="G105" i="43"/>
  <c r="G102" i="43"/>
  <c r="G103" i="43"/>
  <c r="G107" i="43"/>
  <c r="G104" i="43"/>
  <c r="G106" i="43"/>
  <c r="G109" i="43"/>
  <c r="I109" i="43"/>
  <c r="I102" i="43"/>
  <c r="I106" i="43"/>
  <c r="I103" i="43"/>
  <c r="I104" i="43"/>
  <c r="I107" i="43"/>
  <c r="I105" i="43"/>
  <c r="D109" i="43"/>
  <c r="D103" i="43"/>
  <c r="D104" i="43"/>
  <c r="D107" i="43"/>
  <c r="D105" i="43"/>
  <c r="D106" i="43"/>
  <c r="D102" i="43"/>
  <c r="D22" i="43"/>
  <c r="C21" i="43" s="1"/>
  <c r="F107" i="43"/>
  <c r="F106" i="43"/>
  <c r="F103" i="43"/>
  <c r="F109" i="43"/>
  <c r="F104" i="43"/>
  <c r="F102" i="43"/>
  <c r="F105" i="43"/>
  <c r="F59" i="67"/>
  <c r="H7" i="37"/>
  <c r="AB7" i="37" s="1"/>
  <c r="T42" i="37" s="1"/>
  <c r="G42" i="37" s="1"/>
  <c r="B40" i="1"/>
  <c r="AC10" i="39"/>
  <c r="S10" i="39"/>
  <c r="H7" i="33"/>
  <c r="J7" i="33"/>
  <c r="D65" i="40"/>
  <c r="E63" i="40"/>
  <c r="F48" i="35"/>
  <c r="S7" i="36"/>
  <c r="AA7" i="36"/>
  <c r="R36" i="36" s="1"/>
  <c r="W7" i="37"/>
  <c r="AB7" i="36"/>
  <c r="T36" i="36" s="1"/>
  <c r="G36" i="36" s="1"/>
  <c r="U7" i="36"/>
  <c r="AB7" i="34"/>
  <c r="T49" i="34" s="1"/>
  <c r="G49" i="34" s="1"/>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67" s="1"/>
  <c r="F69" i="67" s="1"/>
  <c r="E6" i="70" l="1"/>
  <c r="E2" i="70" s="1"/>
  <c r="C17" i="15"/>
  <c r="J81" i="43"/>
  <c r="D81" i="43"/>
  <c r="J88" i="43"/>
  <c r="D88" i="43"/>
  <c r="J87" i="43"/>
  <c r="D87" i="43"/>
  <c r="V42" i="37"/>
  <c r="I42" i="37" s="1"/>
  <c r="G47" i="37" s="1"/>
  <c r="H47" i="37" s="1"/>
  <c r="S10" i="40"/>
  <c r="AC10" i="40"/>
  <c r="AQ6" i="1"/>
  <c r="S16" i="1"/>
  <c r="AR6" i="1"/>
  <c r="T6" i="1"/>
  <c r="AC6" i="3"/>
  <c r="E6" i="3" s="1"/>
  <c r="M19" i="6"/>
  <c r="K27" i="6"/>
  <c r="C47" i="11"/>
  <c r="D45" i="11" s="1"/>
  <c r="C29" i="11"/>
  <c r="D27" i="11" s="1"/>
  <c r="F45" i="69"/>
  <c r="C47" i="69"/>
  <c r="D45" i="69" s="1"/>
  <c r="C29" i="69"/>
  <c r="D27" i="69" s="1"/>
  <c r="F50" i="11"/>
  <c r="F50" i="69"/>
  <c r="F50" i="68"/>
  <c r="C38" i="11"/>
  <c r="C35" i="11"/>
  <c r="AB10" i="39"/>
  <c r="U10" i="40"/>
  <c r="F68" i="39"/>
  <c r="E70" i="39"/>
  <c r="U7" i="37"/>
  <c r="D61" i="71"/>
  <c r="T61" i="71"/>
  <c r="N63" i="71"/>
  <c r="N62" i="71"/>
  <c r="C19" i="71"/>
  <c r="D20" i="71"/>
  <c r="AY6" i="3"/>
  <c r="E3" i="6"/>
  <c r="E16" i="71"/>
  <c r="E15" i="71" s="1"/>
  <c r="E14" i="71" s="1"/>
  <c r="E13" i="71" s="1"/>
  <c r="V17" i="71"/>
  <c r="D53" i="71"/>
  <c r="T53" i="71"/>
  <c r="B16" i="71"/>
  <c r="B15" i="71" s="1"/>
  <c r="B14" i="71" s="1"/>
  <c r="B13" i="71" s="1"/>
  <c r="S17" i="71"/>
  <c r="C115" i="43"/>
  <c r="D113" i="43" s="1"/>
  <c r="C15" i="12"/>
  <c r="C12"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T16" i="1" l="1"/>
  <c r="C14" i="15"/>
  <c r="E81" i="43"/>
  <c r="B79" i="43" s="1"/>
  <c r="C24" i="43" s="1"/>
  <c r="F69" i="15"/>
  <c r="J29" i="15"/>
  <c r="I46" i="37"/>
  <c r="J46" i="37" s="1"/>
  <c r="M27" i="6"/>
  <c r="I19" i="6"/>
  <c r="F70" i="39"/>
  <c r="G68" i="39"/>
  <c r="B12" i="71"/>
  <c r="B11" i="71" s="1"/>
  <c r="B10" i="71" s="1"/>
  <c r="B9" i="71" s="1"/>
  <c r="S13" i="71"/>
  <c r="E12" i="71"/>
  <c r="E11" i="71" s="1"/>
  <c r="E10" i="71" s="1"/>
  <c r="E9" i="71" s="1"/>
  <c r="V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33"/>
  <c r="E6" i="6"/>
  <c r="D37" i="11"/>
  <c r="C37" i="11" s="1"/>
  <c r="C33" i="11" s="1"/>
  <c r="C39" i="11" s="1"/>
  <c r="C46" i="11" s="1"/>
  <c r="C45" i="11" s="1"/>
  <c r="D14" i="12"/>
  <c r="M18" i="9"/>
  <c r="B118" i="9" s="1"/>
  <c r="B14" i="74" s="1"/>
  <c r="B1" i="74" s="1"/>
  <c r="D3" i="21"/>
  <c r="D19" i="11"/>
  <c r="C19" i="11" s="1"/>
  <c r="C17" i="4"/>
  <c r="B4" i="52" s="1"/>
  <c r="B43" i="72" s="1"/>
  <c r="L18" i="9"/>
  <c r="D3" i="37"/>
  <c r="C18" i="71"/>
  <c r="D19"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J44" i="67" s="1"/>
  <c r="C18" i="15" l="1"/>
  <c r="C15" i="15"/>
  <c r="C19" i="15"/>
  <c r="C42" i="11"/>
  <c r="C43" i="11"/>
  <c r="I27" i="6"/>
  <c r="S19" i="6"/>
  <c r="S27" i="6" s="1"/>
  <c r="H68" i="39"/>
  <c r="G70" i="39"/>
  <c r="C17" i="71"/>
  <c r="D18" i="71"/>
  <c r="D17" i="12"/>
  <c r="C17" i="12" s="1"/>
  <c r="C14" i="12"/>
  <c r="C16" i="12" s="1"/>
  <c r="D10" i="11"/>
  <c r="C10" i="11" s="1"/>
  <c r="D20" i="12"/>
  <c r="C20"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H19" i="6"/>
  <c r="H27" i="6" s="1"/>
  <c r="C20" i="11"/>
  <c r="C25" i="11" s="1"/>
  <c r="C22" i="11" s="1"/>
  <c r="C8" i="74"/>
  <c r="C7" i="74"/>
  <c r="E8" i="71"/>
  <c r="E7" i="71" s="1"/>
  <c r="E6" i="71" s="1"/>
  <c r="E5" i="71" s="1"/>
  <c r="V9" i="71"/>
  <c r="B8" i="71"/>
  <c r="B7" i="71" s="1"/>
  <c r="B6" i="71" s="1"/>
  <c r="B5" i="71" s="1"/>
  <c r="S9" i="71"/>
  <c r="G65" i="40"/>
  <c r="H63" i="40"/>
  <c r="C43" i="37"/>
  <c r="B2" i="37" s="1"/>
  <c r="C42" i="37"/>
  <c r="I48" i="35"/>
  <c r="C48" i="33"/>
  <c r="C49" i="33"/>
  <c r="B2" i="33" s="1"/>
  <c r="B3" i="33" s="1"/>
  <c r="H58" i="21"/>
  <c r="E47" i="37"/>
  <c r="F47" i="37" s="1"/>
  <c r="E46" i="37"/>
  <c r="F46" i="37" s="1"/>
  <c r="I47" i="37"/>
  <c r="J47" i="37" s="1"/>
  <c r="E53" i="33"/>
  <c r="F53" i="33" s="1"/>
  <c r="E52" i="33"/>
  <c r="F52" i="33" s="1"/>
  <c r="C33" i="15"/>
  <c r="C36" i="67"/>
  <c r="C33" i="67"/>
  <c r="J14" i="67"/>
  <c r="C13" i="67"/>
  <c r="J19" i="67"/>
  <c r="C57" i="67"/>
  <c r="C61" i="67" s="1"/>
  <c r="Q49" i="67"/>
  <c r="J59" i="67"/>
  <c r="J60" i="67" s="1"/>
  <c r="C6" i="69" l="1"/>
  <c r="C7" i="69" s="1"/>
  <c r="C20" i="15"/>
  <c r="C26" i="15" s="1"/>
  <c r="C23" i="15"/>
  <c r="C29" i="15" s="1"/>
  <c r="B3" i="37"/>
  <c r="C41" i="11"/>
  <c r="C49" i="11" s="1"/>
  <c r="C51" i="11" s="1"/>
  <c r="D16" i="6"/>
  <c r="C28" i="11"/>
  <c r="C27" i="11" s="1"/>
  <c r="C31" i="11" s="1"/>
  <c r="H70" i="39"/>
  <c r="I68" i="39"/>
  <c r="R26" i="6"/>
  <c r="D8" i="74"/>
  <c r="D7" i="74"/>
  <c r="R20" i="6"/>
  <c r="R21" i="6"/>
  <c r="C10" i="69"/>
  <c r="C8" i="69" s="1"/>
  <c r="C5" i="69" s="1"/>
  <c r="D19" i="69"/>
  <c r="R23" i="6"/>
  <c r="A7" i="51"/>
  <c r="B7" i="72" s="1"/>
  <c r="C4" i="52"/>
  <c r="B45" i="72" s="1"/>
  <c r="A10" i="51"/>
  <c r="B9" i="72" s="1"/>
  <c r="D27" i="6"/>
  <c r="D31" i="6" s="1"/>
  <c r="R19" i="6"/>
  <c r="R24" i="6"/>
  <c r="R22" i="6"/>
  <c r="R25" i="6"/>
  <c r="C10" i="68"/>
  <c r="B29" i="1" s="1"/>
  <c r="D19" i="68"/>
  <c r="C16" i="71"/>
  <c r="T17" i="71"/>
  <c r="D17" i="71"/>
  <c r="U17" i="71" s="1"/>
  <c r="I63" i="40"/>
  <c r="H65" i="40"/>
  <c r="I58" i="21"/>
  <c r="J58" i="21" s="1"/>
  <c r="K58" i="21" s="1"/>
  <c r="L58" i="21" s="1"/>
  <c r="M58" i="21" s="1"/>
  <c r="N58" i="21" s="1"/>
  <c r="O58" i="21" s="1"/>
  <c r="H7" i="21" s="1"/>
  <c r="F7" i="21"/>
  <c r="J48" i="35"/>
  <c r="J13" i="67"/>
  <c r="J23" i="67" s="1"/>
  <c r="J22" i="67"/>
  <c r="C64" i="67"/>
  <c r="Q48" i="67"/>
  <c r="C56" i="67"/>
  <c r="C65" i="67" s="1"/>
  <c r="C75" i="67"/>
  <c r="Q70" i="67"/>
  <c r="C37" i="67"/>
  <c r="C8" i="68" l="1"/>
  <c r="C6" i="68"/>
  <c r="J14" i="15"/>
  <c r="C57" i="15"/>
  <c r="C36" i="15"/>
  <c r="C13" i="15"/>
  <c r="Q49" i="15"/>
  <c r="J19" i="15"/>
  <c r="J59" i="15"/>
  <c r="J60" i="15" s="1"/>
  <c r="Q48" i="15" s="1"/>
  <c r="C18" i="12"/>
  <c r="C21" i="12" s="1"/>
  <c r="C52" i="11"/>
  <c r="B2" i="11" s="1"/>
  <c r="B3" i="11" s="1"/>
  <c r="R27" i="6"/>
  <c r="R6" i="1"/>
  <c r="I70" i="39"/>
  <c r="J68" i="39"/>
  <c r="J7" i="21"/>
  <c r="C19" i="68"/>
  <c r="D37" i="68"/>
  <c r="C37" i="68" s="1"/>
  <c r="C33" i="68" s="1"/>
  <c r="I6" i="6"/>
  <c r="I5" i="6"/>
  <c r="C19" i="69"/>
  <c r="C24" i="69" s="1"/>
  <c r="D37" i="69"/>
  <c r="C37" i="69" s="1"/>
  <c r="C33" i="69" s="1"/>
  <c r="C15" i="71"/>
  <c r="D16" i="71"/>
  <c r="C22" i="12"/>
  <c r="C30" i="12" s="1"/>
  <c r="C28" i="12" s="1"/>
  <c r="C23" i="69"/>
  <c r="U7" i="21"/>
  <c r="AB7" i="21"/>
  <c r="T48" i="21" s="1"/>
  <c r="G48" i="21" s="1"/>
  <c r="S7" i="21"/>
  <c r="AA7" i="21"/>
  <c r="R48" i="21" s="1"/>
  <c r="J63" i="40"/>
  <c r="I65" i="40"/>
  <c r="K48" i="35"/>
  <c r="L48" i="35" s="1"/>
  <c r="M48" i="35" s="1"/>
  <c r="N48" i="35" s="1"/>
  <c r="O48" i="35" s="1"/>
  <c r="H7" i="35" s="1"/>
  <c r="AC7" i="21"/>
  <c r="V48" i="21" s="1"/>
  <c r="I48" i="21" s="1"/>
  <c r="W7" i="21"/>
  <c r="M21" i="15"/>
  <c r="F35" i="15"/>
  <c r="M21" i="67" l="1"/>
  <c r="J20" i="67" s="1"/>
  <c r="J17" i="67" s="1"/>
  <c r="J16" i="67" s="1"/>
  <c r="J25" i="67" s="1"/>
  <c r="F35" i="67"/>
  <c r="C56" i="15"/>
  <c r="C65" i="15" s="1"/>
  <c r="Q70" i="15"/>
  <c r="C37" i="15"/>
  <c r="C75" i="15"/>
  <c r="C61" i="15"/>
  <c r="C64" i="15"/>
  <c r="J22" i="15"/>
  <c r="J13" i="15"/>
  <c r="J23" i="15" s="1"/>
  <c r="C56" i="11"/>
  <c r="C57" i="11" s="1"/>
  <c r="F63" i="15"/>
  <c r="C62" i="15" s="1"/>
  <c r="C59" i="15" s="1"/>
  <c r="C58" i="15" s="1"/>
  <c r="C67" i="15" s="1"/>
  <c r="C68" i="15" s="1"/>
  <c r="C71" i="15" s="1"/>
  <c r="C34" i="15"/>
  <c r="C31" i="15" s="1"/>
  <c r="C30" i="15" s="1"/>
  <c r="C39" i="15" s="1"/>
  <c r="J20" i="15"/>
  <c r="J17" i="15" s="1"/>
  <c r="J16" i="15" s="1"/>
  <c r="J25" i="15" s="1"/>
  <c r="R16" i="1"/>
  <c r="C20" i="69"/>
  <c r="C28" i="69" s="1"/>
  <c r="C27" i="69" s="1"/>
  <c r="K68" i="39"/>
  <c r="J70" i="39"/>
  <c r="J7" i="35"/>
  <c r="W7" i="35" s="1"/>
  <c r="C27" i="12"/>
  <c r="C25" i="12" s="1"/>
  <c r="C32" i="12" s="1"/>
  <c r="B2" i="12" s="1"/>
  <c r="B3" i="12" s="1"/>
  <c r="C39" i="69"/>
  <c r="C43" i="69" s="1"/>
  <c r="C42" i="69"/>
  <c r="C39" i="68"/>
  <c r="C42" i="68"/>
  <c r="C14" i="71"/>
  <c r="D15" i="71"/>
  <c r="C24" i="68"/>
  <c r="J65" i="40"/>
  <c r="K63" i="40"/>
  <c r="I52" i="21"/>
  <c r="J52" i="21" s="1"/>
  <c r="U7" i="35"/>
  <c r="AB7" i="35"/>
  <c r="T38" i="35" s="1"/>
  <c r="G38" i="35" s="1"/>
  <c r="R49" i="21"/>
  <c r="E48" i="21"/>
  <c r="G52" i="21"/>
  <c r="H52" i="21" s="1"/>
  <c r="G53" i="21"/>
  <c r="H53" i="21" s="1"/>
  <c r="F7" i="35"/>
  <c r="L51" i="15"/>
  <c r="F63" i="67" l="1"/>
  <c r="C62" i="67" s="1"/>
  <c r="C59" i="67" s="1"/>
  <c r="C58" i="67" s="1"/>
  <c r="C67" i="67" s="1"/>
  <c r="C68" i="67" s="1"/>
  <c r="C34" i="67"/>
  <c r="C31" i="67" s="1"/>
  <c r="C30" i="67" s="1"/>
  <c r="C39" i="67" s="1"/>
  <c r="AC7" i="35"/>
  <c r="V38" i="35" s="1"/>
  <c r="I38" i="35" s="1"/>
  <c r="Q67" i="15"/>
  <c r="L57" i="15"/>
  <c r="L60" i="15" s="1"/>
  <c r="L46" i="15" s="1"/>
  <c r="C40" i="15"/>
  <c r="C80" i="15"/>
  <c r="C79" i="15" s="1"/>
  <c r="Q69" i="15"/>
  <c r="Q68" i="15" s="1"/>
  <c r="C25" i="69"/>
  <c r="C22" i="69" s="1"/>
  <c r="C31" i="69" s="1"/>
  <c r="L68" i="39"/>
  <c r="K70" i="39"/>
  <c r="C41" i="69"/>
  <c r="C46" i="69"/>
  <c r="C45" i="69" s="1"/>
  <c r="C13" i="71"/>
  <c r="D14" i="7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L51" i="67" l="1"/>
  <c r="C80" i="67"/>
  <c r="C79" i="67" s="1"/>
  <c r="Q69" i="67"/>
  <c r="Q68" i="67" s="1"/>
  <c r="C40" i="67"/>
  <c r="C45" i="67"/>
  <c r="C46" i="67" s="1"/>
  <c r="C71" i="67"/>
  <c r="Q57" i="15"/>
  <c r="Q66" i="15"/>
  <c r="B2" i="15"/>
  <c r="Q65" i="15"/>
  <c r="Q75" i="15" s="1"/>
  <c r="Q47" i="15"/>
  <c r="Q53" i="15" s="1"/>
  <c r="C46" i="15"/>
  <c r="Q56" i="15"/>
  <c r="Q62" i="15" s="1"/>
  <c r="C43" i="15"/>
  <c r="C83" i="15"/>
  <c r="C82" i="15" s="1"/>
  <c r="C49" i="69"/>
  <c r="C51" i="69" s="1"/>
  <c r="C52" i="69" s="1"/>
  <c r="B2" i="69" s="1"/>
  <c r="B3" i="69" s="1"/>
  <c r="M68" i="39"/>
  <c r="L70" i="39"/>
  <c r="C49" i="68"/>
  <c r="C51" i="68" s="1"/>
  <c r="C12" i="71"/>
  <c r="T13" i="71"/>
  <c r="D13" i="71"/>
  <c r="U13" i="71" s="1"/>
  <c r="R39" i="35"/>
  <c r="E38" i="35"/>
  <c r="M63" i="40"/>
  <c r="L65" i="40"/>
  <c r="C43" i="67" l="1"/>
  <c r="Q47" i="67"/>
  <c r="Q53" i="67" s="1"/>
  <c r="Q56" i="67"/>
  <c r="Q65" i="67"/>
  <c r="C83" i="67"/>
  <c r="C82" i="67" s="1"/>
  <c r="Q67" i="67"/>
  <c r="L57" i="67"/>
  <c r="L60" i="67" s="1"/>
  <c r="B3" i="15"/>
  <c r="N68" i="39"/>
  <c r="M70" i="39"/>
  <c r="C57" i="69"/>
  <c r="C56" i="69" s="1"/>
  <c r="D12" i="71"/>
  <c r="C11" i="71"/>
  <c r="C39" i="35"/>
  <c r="B2" i="35" s="1"/>
  <c r="B3" i="35" s="1"/>
  <c r="C38" i="35"/>
  <c r="N63" i="40"/>
  <c r="M65" i="40"/>
  <c r="E43" i="35"/>
  <c r="F43" i="35" s="1"/>
  <c r="E42" i="35"/>
  <c r="F42" i="35" s="1"/>
  <c r="I43" i="35"/>
  <c r="J43" i="35" s="1"/>
  <c r="D34" i="9"/>
  <c r="D35" i="9"/>
  <c r="L46" i="67" l="1"/>
  <c r="D2" i="67" s="1"/>
  <c r="Q66" i="67"/>
  <c r="Q75" i="67" s="1"/>
  <c r="Q57" i="67"/>
  <c r="Q62" i="67" s="1"/>
  <c r="O68" i="39"/>
  <c r="O70" i="39" s="1"/>
  <c r="N70" i="39"/>
  <c r="F7" i="39" s="1"/>
  <c r="D11" i="71"/>
  <c r="C10" i="71"/>
  <c r="O63" i="40"/>
  <c r="O65" i="40" s="1"/>
  <c r="N65" i="40"/>
  <c r="B2" i="67" l="1"/>
  <c r="B3" i="67"/>
  <c r="D20" i="9" s="1"/>
  <c r="D103" i="9" s="1"/>
  <c r="S7" i="39"/>
  <c r="AA7" i="39"/>
  <c r="R47" i="39" s="1"/>
  <c r="H7" i="39"/>
  <c r="J7" i="39"/>
  <c r="D10" i="71"/>
  <c r="C9" i="71"/>
  <c r="J7" i="40"/>
  <c r="F7" i="40"/>
  <c r="H7" i="40"/>
  <c r="AO6" i="1" l="1"/>
  <c r="B6" i="70" s="1"/>
  <c r="B2" i="70" s="1"/>
  <c r="B3" i="70" s="1"/>
  <c r="D19" i="9"/>
  <c r="W7" i="39"/>
  <c r="AC7" i="39"/>
  <c r="V47" i="39" s="1"/>
  <c r="I47" i="39" s="1"/>
  <c r="E47" i="39"/>
  <c r="R48" i="39"/>
  <c r="U7" i="39"/>
  <c r="AB7" i="39"/>
  <c r="T47" i="39" s="1"/>
  <c r="G47" i="39" s="1"/>
  <c r="C8" i="71"/>
  <c r="T9" i="71"/>
  <c r="D9" i="71"/>
  <c r="U9" i="71" s="1"/>
  <c r="U7" i="40"/>
  <c r="AB7" i="40"/>
  <c r="T42" i="40" s="1"/>
  <c r="G42" i="40" s="1"/>
  <c r="AA7" i="40"/>
  <c r="R42" i="40" s="1"/>
  <c r="S7" i="40"/>
  <c r="AC7" i="40"/>
  <c r="V42" i="40" s="1"/>
  <c r="I42" i="40" s="1"/>
  <c r="W7" i="40"/>
  <c r="D21" i="9" l="1"/>
  <c r="D102" i="9"/>
  <c r="C48" i="39"/>
  <c r="C47" i="39"/>
  <c r="I51" i="39"/>
  <c r="J51" i="39" s="1"/>
  <c r="I52" i="39"/>
  <c r="J52" i="39" s="1"/>
  <c r="G51" i="39"/>
  <c r="H51" i="39" s="1"/>
  <c r="G52" i="39"/>
  <c r="H52" i="39" s="1"/>
  <c r="E52" i="39"/>
  <c r="F52" i="39" s="1"/>
  <c r="E51" i="39"/>
  <c r="F51" i="39" s="1"/>
  <c r="C7" i="71"/>
  <c r="D8"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19" i="43" s="1"/>
  <c r="C33" i="43" l="1"/>
  <c r="C39" i="43"/>
  <c r="T6" i="43"/>
  <c r="V6" i="43" s="1"/>
  <c r="C34" i="43"/>
  <c r="T2" i="43"/>
  <c r="V2" i="43" s="1"/>
  <c r="C37" i="43"/>
  <c r="T13" i="43"/>
  <c r="V13" i="43" s="1"/>
  <c r="T4" i="43"/>
  <c r="V4" i="43" s="1"/>
  <c r="C35" i="43"/>
  <c r="T11" i="43"/>
  <c r="V11" i="43" s="1"/>
  <c r="T16" i="43"/>
  <c r="V16" i="43" s="1"/>
  <c r="C29" i="43"/>
  <c r="C36" i="43"/>
  <c r="C38" i="43"/>
  <c r="T3" i="43"/>
  <c r="V3" i="43" s="1"/>
  <c r="T14" i="43"/>
  <c r="V14" i="43" s="1"/>
  <c r="T12" i="43"/>
  <c r="V12" i="43" s="1"/>
  <c r="T5" i="43"/>
  <c r="V5" i="43" s="1"/>
  <c r="T10" i="43"/>
  <c r="V10" i="43" s="1"/>
  <c r="T9" i="43"/>
  <c r="V9" i="43" s="1"/>
  <c r="T8" i="43"/>
  <c r="V8" i="43" s="1"/>
  <c r="T7" i="43"/>
  <c r="V7" i="43" s="1"/>
  <c r="T15" i="43"/>
  <c r="V15" i="43" s="1"/>
  <c r="G38" i="43" l="1"/>
  <c r="I38" i="43" s="1"/>
  <c r="E38" i="43"/>
  <c r="E29" i="43"/>
  <c r="C30" i="43"/>
  <c r="E30" i="43" s="1"/>
  <c r="E37" i="43"/>
  <c r="G37" i="43"/>
  <c r="I37" i="43" s="1"/>
  <c r="E34" i="43"/>
  <c r="G34" i="43"/>
  <c r="I34" i="43" s="1"/>
  <c r="G39" i="43"/>
  <c r="I39" i="43" s="1"/>
  <c r="E39" i="43"/>
  <c r="E36" i="43"/>
  <c r="G36" i="43"/>
  <c r="I36" i="43" s="1"/>
  <c r="E35" i="43"/>
  <c r="G35" i="43"/>
  <c r="I35" i="43" s="1"/>
  <c r="E33" i="43"/>
  <c r="G33" i="43"/>
  <c r="I33" i="43" s="1"/>
  <c r="C27" i="43" l="1"/>
  <c r="C26" i="43"/>
  <c r="E6" i="76"/>
  <c r="E2" i="76" l="1"/>
  <c r="B2" i="43"/>
  <c r="B6" i="76"/>
  <c r="B2" i="76" l="1"/>
  <c r="B3" i="76" s="1"/>
  <c r="B3" i="43"/>
  <c r="C7" i="68" l="1"/>
  <c r="C5" i="68" s="1"/>
  <c r="C23" i="68" l="1"/>
  <c r="C20" i="68"/>
  <c r="C25" i="68" s="1"/>
  <c r="C28" i="68"/>
  <c r="C27" i="68" s="1"/>
  <c r="C22" i="68" l="1"/>
  <c r="C31" i="68" s="1"/>
  <c r="C52" i="68" s="1"/>
  <c r="B2" i="68"/>
  <c r="C57" i="68"/>
  <c r="C56" i="68" s="1"/>
  <c r="B3" i="68" l="1"/>
  <c r="C20" i="9" s="1"/>
  <c r="C19" i="9"/>
  <c r="C102" i="9" l="1"/>
  <c r="C21" i="9"/>
  <c r="D22" i="9"/>
  <c r="G19" i="9"/>
  <c r="C103" i="9"/>
  <c r="G20" i="9"/>
  <c r="C32" i="9" s="1"/>
  <c r="G21" i="9" l="1"/>
  <c r="P20" i="1"/>
  <c r="C35" i="9"/>
  <c r="H118" i="9"/>
  <c r="C104" i="9" l="1"/>
  <c r="D14" i="74"/>
  <c r="H119" i="9"/>
  <c r="H5" i="52" s="1"/>
  <c r="I118" i="9"/>
  <c r="H4" i="52"/>
  <c r="H101" i="9"/>
  <c r="C34" i="9"/>
  <c r="D118" i="9" s="1"/>
  <c r="F118" i="9"/>
  <c r="F4" i="52" l="1"/>
  <c r="B51" i="72" s="1"/>
  <c r="G118" i="9"/>
  <c r="G4" i="52" s="1"/>
  <c r="B52" i="72" s="1"/>
  <c r="F119" i="9"/>
  <c r="F5" i="52" s="1"/>
  <c r="B53" i="72" s="1"/>
  <c r="D4" i="52"/>
  <c r="B47" i="72" s="1"/>
  <c r="D119" i="9"/>
  <c r="D5" i="52" s="1"/>
  <c r="B49" i="72" s="1"/>
  <c r="M48" i="9"/>
  <c r="D45" i="9"/>
  <c r="D5" i="53"/>
  <c r="H107" i="9"/>
  <c r="H102" i="9"/>
  <c r="D7" i="53" s="1"/>
  <c r="B21" i="72" s="1"/>
  <c r="C105" i="9"/>
  <c r="I4" i="52"/>
  <c r="E118" i="9"/>
  <c r="E4" i="52" s="1"/>
  <c r="B48" i="72" s="1"/>
  <c r="F14" i="74"/>
  <c r="E14" i="74"/>
  <c r="B5" i="74"/>
  <c r="D5" i="74" l="1"/>
  <c r="C5" i="74"/>
  <c r="D13" i="53"/>
  <c r="D122" i="9"/>
  <c r="H108" i="9"/>
  <c r="D15" i="53" s="1"/>
  <c r="B31" i="72" s="1"/>
  <c r="M49" i="9"/>
  <c r="D6" i="53"/>
  <c r="B22" i="72" s="1"/>
  <c r="B20" i="72"/>
  <c r="C85" i="9"/>
  <c r="C93" i="9"/>
  <c r="C86" i="9" s="1"/>
  <c r="D55" i="9"/>
  <c r="M53" i="9" s="1"/>
  <c r="C78" i="9"/>
  <c r="C73" i="9" s="1"/>
  <c r="C64" i="9"/>
  <c r="C63" i="9" s="1"/>
  <c r="C67" i="9" s="1"/>
  <c r="C72" i="9"/>
  <c r="C79" i="9" s="1"/>
  <c r="D53" i="9"/>
  <c r="D52" i="9"/>
  <c r="C80" i="9" l="1"/>
  <c r="E80" i="9" s="1"/>
  <c r="E81" i="9" s="1"/>
  <c r="C81" i="9"/>
  <c r="D59" i="9"/>
  <c r="M55" i="9" s="1"/>
  <c r="C68" i="9"/>
  <c r="D54" i="9" s="1"/>
  <c r="C95" i="9"/>
  <c r="L65" i="9"/>
  <c r="M65" i="9" s="1"/>
  <c r="L64" i="9"/>
  <c r="M64" i="9" s="1"/>
  <c r="L67" i="9"/>
  <c r="M67" i="9" s="1"/>
  <c r="L63" i="9"/>
  <c r="M63" i="9" s="1"/>
  <c r="L68" i="9"/>
  <c r="M68" i="9" s="1"/>
  <c r="L66" i="9"/>
  <c r="M66" i="9" s="1"/>
  <c r="D123" i="9"/>
  <c r="D9" i="52" s="1"/>
  <c r="G14" i="74"/>
  <c r="B6" i="74" s="1"/>
  <c r="D8" i="52"/>
  <c r="D14" i="53"/>
  <c r="B32" i="72" s="1"/>
  <c r="B30" i="72"/>
  <c r="C6" i="74" l="1"/>
  <c r="D6" i="74"/>
  <c r="M69" i="9"/>
  <c r="N69" i="9" s="1"/>
  <c r="C96" i="9"/>
  <c r="E96" i="9" s="1"/>
  <c r="E97" i="9" s="1"/>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<sst xmlns="http://schemas.openxmlformats.org/spreadsheetml/2006/main" count="7474" uniqueCount="3178">
  <si>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</si>
  <si>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</si>
  <si>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</si>
  <si>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</si>
  <si>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</si>
  <si>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</si>
  <si>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</si>
  <si>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</si>
  <si>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</si>
  <si>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</si>
  <si>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</si>
  <si>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</si>
  <si>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</si>
  <si>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</si>
  <si>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</si>
  <si>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</si>
  <si>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</si>
  <si>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</si>
  <si>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</si>
  <si>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</si>
  <si>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</si>
  <si>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</si>
  <si>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</si>
  <si>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</si>
  <si>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</si>
  <si>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</si>
  <si>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</si>
  <si>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</si>
  <si>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</si>
  <si>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</si>
  <si>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</si>
  <si>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</si>
  <si>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</si>
  <si>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</si>
  <si>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</si>
  <si>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</si>
  <si>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</si>
  <si>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</si>
  <si>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</si>
  <si>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</si>
  <si>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</si>
  <si>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</si>
  <si>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</si>
  <si>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</si>
  <si>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</si>
  <si>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</si>
  <si>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</si>
  <si>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</si>
  <si>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</si>
  <si>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</si>
  <si>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</si>
  <si>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</si>
  <si>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</si>
  <si>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</si>
  <si>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</si>
  <si>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</si>
  <si>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</si>
  <si>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</si>
  <si>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</si>
  <si>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</si>
  <si>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</si>
  <si>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</si>
  <si>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</si>
  <si>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</si>
  <si>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</si>
  <si>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</si>
  <si>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</si>
  <si>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</si>
  <si>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</si>
  <si>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</si>
  <si>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</si>
  <si>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</si>
  <si>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</si>
  <si>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</si>
  <si>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</si>
  <si>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</si>
  <si>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</si>
  <si>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</si>
  <si>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</si>
  <si>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</si>
  <si>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</si>
  <si>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</si>
  <si>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</si>
  <si>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</si>
  <si>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</si>
  <si>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</si>
  <si>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</si>
  <si>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</si>
  <si>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</si>
  <si>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</si>
  <si>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</si>
  <si>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</si>
  <si>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</si>
  <si>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</si>
  <si>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</si>
  <si>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</si>
  <si>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</si>
  <si>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</si>
  <si>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</si>
  <si>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</si>
  <si>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</si>
  <si>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</si>
  <si>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</si>
  <si>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</si>
  <si>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</si>
  <si>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</si>
  <si>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</si>
  <si>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</si>
  <si>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</si>
  <si>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</si>
  <si>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</si>
  <si>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</si>
  <si>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</si>
  <si>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</si>
  <si>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</si>
  <si>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</si>
  <si>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</si>
  <si>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</si>
  <si>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</si>
  <si>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</si>
  <si>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</si>
  <si>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</si>
  <si>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</si>
  <si>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</si>
  <si>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</si>
  <si>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</si>
  <si>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</si>
  <si>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</si>
  <si>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</si>
  <si>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</si>
  <si>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</si>
  <si>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</si>
  <si>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</si>
  <si>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</si>
  <si>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</si>
  <si>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</si>
  <si>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</si>
  <si>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</si>
  <si>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</si>
  <si>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</si>
  <si>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</si>
  <si>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</si>
  <si>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</si>
  <si>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</si>
  <si>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</si>
  <si>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</si>
  <si>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</si>
  <si>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</si>
  <si>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</si>
  <si>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</si>
  <si>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</si>
  <si>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</si>
  <si>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</si>
  <si>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</si>
  <si>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</si>
  <si>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</si>
  <si>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</si>
  <si>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</si>
  <si>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</si>
  <si>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</si>
  <si>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</si>
  <si>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</si>
  <si>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</si>
  <si>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</si>
  <si>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</si>
  <si>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</si>
  <si>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</si>
  <si>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</si>
  <si>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</si>
  <si>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</si>
  <si>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</si>
  <si>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</si>
  <si>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</si>
  <si>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</si>
  <si>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</si>
  <si>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</si>
  <si>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</si>
  <si>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</si>
  <si>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</si>
  <si>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</si>
  <si>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</si>
  <si>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</si>
  <si>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</si>
  <si>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</si>
  <si>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</si>
  <si>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</si>
  <si>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</si>
  <si>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</si>
  <si>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</si>
  <si>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</si>
  <si>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</si>
  <si>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</si>
  <si>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</si>
  <si>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</si>
  <si>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</si>
  <si>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</si>
  <si>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</si>
  <si>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</si>
  <si>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</si>
  <si>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</si>
  <si>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</si>
  <si>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</si>
  <si>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</si>
  <si>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</si>
  <si>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</si>
  <si>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</si>
  <si>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</si>
  <si>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</si>
  <si>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</si>
  <si>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</si>
  <si>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</si>
  <si>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</si>
  <si>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</si>
  <si>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</si>
  <si>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</si>
  <si>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</si>
  <si>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</si>
  <si>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</si>
  <si>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</si>
  <si>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</si>
  <si>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</si>
  <si>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</si>
  <si>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</si>
  <si>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</si>
  <si>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</si>
  <si>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</si>
  <si>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</si>
  <si>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</si>
  <si>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</si>
  <si>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</si>
  <si>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</si>
  <si>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</si>
  <si>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</si>
  <si>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</si>
  <si>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</si>
  <si>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</si>
  <si>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</si>
  <si>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</si>
  <si>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</si>
  <si>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</si>
  <si>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</si>
  <si>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</si>
  <si>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</si>
  <si>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</si>
  <si>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</si>
  <si>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</si>
  <si>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</si>
  <si>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</si>
  <si>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</si>
  <si>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</si>
  <si>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</si>
  <si>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</si>
  <si>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</si>
  <si>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</si>
  <si>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</si>
  <si>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</si>
  <si>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</si>
  <si>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</si>
  <si>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</si>
  <si>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</si>
  <si>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</si>
  <si>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</si>
  <si>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</si>
  <si>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</si>
  <si>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</si>
  <si>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</si>
  <si>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</si>
  <si>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</si>
  <si>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</si>
  <si>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</si>
  <si>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</si>
  <si>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</si>
  <si>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</si>
  <si>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</si>
  <si>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</si>
  <si>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</si>
  <si>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</si>
  <si>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</si>
  <si>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</si>
  <si>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</si>
  <si>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</si>
  <si>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</si>
  <si>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</si>
  <si>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</si>
  <si>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</si>
  <si>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</si>
  <si>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</si>
  <si>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</si>
  <si>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</si>
  <si>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</si>
  <si>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</si>
  <si>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</si>
  <si>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</si>
  <si>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</si>
  <si>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</si>
  <si>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</si>
  <si>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</si>
  <si>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</si>
  <si>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</si>
  <si>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</si>
  <si>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</si>
  <si>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</si>
  <si>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</si>
  <si>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</si>
  <si>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</si>
  <si>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</si>
  <si>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</si>
  <si>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</si>
  <si>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</si>
  <si>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</si>
  <si>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</si>
  <si>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</si>
  <si>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</si>
  <si>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</si>
  <si>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</si>
  <si>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</si>
  <si>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</si>
  <si>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</si>
  <si>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</si>
  <si>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</si>
  <si>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</si>
  <si>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</si>
  <si>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</si>
  <si>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</si>
  <si>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</si>
  <si>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</si>
  <si>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</si>
  <si>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</si>
  <si>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</si>
  <si>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</si>
  <si>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</si>
  <si>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</si>
  <si>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</si>
  <si>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</si>
  <si>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</si>
  <si>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</si>
  <si>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</si>
  <si>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</si>
  <si>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</si>
  <si>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</si>
  <si>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</si>
  <si>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</si>
  <si>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</si>
  <si>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</si>
  <si>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</si>
  <si>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</si>
  <si>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</si>
  <si>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</si>
  <si>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</si>
  <si>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</si>
  <si>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</si>
  <si>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</si>
  <si>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</si>
  <si>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</si>
  <si>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</si>
  <si>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</si>
  <si>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</si>
  <si>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</si>
  <si>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</si>
  <si>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</si>
  <si>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</si>
  <si>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</si>
  <si>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</si>
  <si>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</si>
  <si>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</si>
  <si>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</si>
  <si>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</si>
  <si>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</si>
  <si>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</si>
  <si>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</si>
  <si>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</si>
  <si>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</si>
  <si>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</si>
  <si>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</si>
  <si>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</si>
  <si>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</si>
  <si>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</si>
  <si>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</si>
  <si>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</si>
  <si>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</si>
  <si>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</si>
  <si>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</si>
  <si>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</si>
  <si>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</si>
  <si>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</si>
  <si>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</si>
  <si>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</si>
  <si>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</si>
  <si>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</si>
  <si>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</si>
  <si>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</si>
  <si>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</si>
  <si>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</si>
  <si>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</si>
  <si>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</si>
  <si>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</si>
  <si>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</si>
  <si>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</si>
  <si>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</si>
  <si>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</si>
  <si>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</si>
  <si>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</si>
  <si>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</si>
  <si>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</si>
  <si>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</si>
  <si>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</si>
  <si>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</si>
  <si>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</si>
  <si>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</si>
  <si>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</si>
  <si>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</si>
  <si>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</si>
  <si>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</si>
  <si>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</si>
  <si>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</si>
  <si>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</si>
  <si>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</si>
  <si>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</si>
  <si>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</si>
  <si>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</si>
  <si>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</si>
  <si>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</si>
  <si>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</si>
  <si>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</si>
  <si>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</si>
  <si>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</si>
  <si>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</si>
  <si>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</si>
  <si>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</si>
  <si>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</si>
  <si>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</si>
  <si>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</si>
  <si>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</si>
  <si>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</si>
  <si>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</si>
  <si>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</si>
  <si>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</si>
  <si>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</si>
  <si>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</si>
  <si>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</si>
  <si>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</si>
  <si>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</si>
  <si>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</si>
  <si>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</si>
  <si>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</si>
  <si>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</si>
  <si>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</si>
  <si>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</si>
  <si>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</si>
  <si>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</si>
  <si>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</si>
  <si>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</si>
  <si>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</si>
  <si>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</si>
  <si>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</si>
  <si>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</si>
  <si>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</si>
  <si>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</si>
  <si>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</si>
  <si>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</si>
  <si>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</si>
  <si>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</si>
  <si>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</si>
  <si>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</si>
  <si>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</si>
  <si>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</si>
  <si>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</si>
  <si>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</si>
  <si>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</si>
  <si>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</si>
  <si>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</si>
  <si>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</si>
  <si>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</si>
  <si>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</si>
  <si>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</si>
  <si>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</si>
  <si>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</si>
  <si>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</si>
  <si>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</si>
  <si>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</si>
  <si>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</si>
  <si>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</si>
  <si>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</si>
  <si>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</si>
  <si>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</si>
  <si>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</si>
  <si>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</si>
  <si>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</si>
  <si>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</si>
  <si>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</si>
  <si>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</si>
  <si>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</si>
  <si>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</si>
  <si>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</si>
  <si>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</si>
  <si>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</si>
  <si>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</si>
  <si>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</si>
  <si>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</si>
  <si>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</si>
  <si>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</si>
  <si>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</si>
  <si>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</si>
  <si>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</si>
  <si>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</si>
  <si>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</si>
  <si>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</si>
  <si>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</si>
  <si>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</si>
  <si>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</si>
  <si>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</si>
  <si>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</si>
  <si>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</si>
  <si>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</si>
  <si>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</si>
  <si>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</si>
  <si>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</si>
  <si>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</si>
  <si>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</si>
  <si>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</si>
  <si>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</si>
  <si>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</si>
  <si>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</si>
  <si>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</si>
  <si>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</si>
  <si>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</si>
  <si>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</si>
  <si>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</si>
  <si>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</si>
  <si>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</si>
  <si>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</si>
  <si>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</si>
  <si>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</si>
  <si>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</si>
  <si>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</si>
  <si>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</si>
  <si>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</si>
  <si>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</si>
  <si>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</si>
  <si>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</si>
  <si>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</si>
  <si>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</si>
  <si>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</si>
  <si>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</si>
  <si>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</si>
  <si>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</si>
  <si>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</si>
  <si>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</si>
  <si>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</si>
  <si>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</si>
  <si>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</si>
  <si>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</si>
  <si>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</si>
  <si>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</si>
  <si>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</si>
  <si>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</si>
  <si>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</si>
  <si>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</si>
  <si>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</si>
  <si>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</si>
  <si>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</si>
  <si>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</si>
  <si>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</si>
  <si>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</si>
  <si>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</si>
  <si>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</si>
  <si>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</si>
  <si>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</si>
  <si>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</si>
  <si>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</si>
  <si>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</si>
  <si>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</si>
  <si>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</si>
  <si>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</si>
  <si>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</si>
  <si>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</si>
  <si>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</si>
  <si>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</si>
  <si>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</si>
  <si>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</si>
  <si>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</si>
  <si>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</si>
  <si>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</si>
  <si>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</si>
  <si>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</si>
  <si>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</si>
  <si>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</si>
  <si>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</si>
  <si>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</si>
  <si>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</si>
  <si>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</si>
  <si>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</si>
  <si>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</si>
  <si>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</si>
  <si>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</si>
  <si>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</si>
  <si>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</si>
  <si>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</si>
  <si>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</si>
  <si>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</si>
  <si>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</si>
  <si>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</si>
  <si>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</si>
  <si>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</si>
  <si>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</si>
  <si>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</si>
  <si>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</si>
  <si>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</si>
  <si>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</si>
  <si>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</si>
  <si>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</si>
  <si>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</si>
  <si>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</si>
  <si>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</si>
  <si>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</si>
  <si>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</si>
  <si>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</si>
  <si>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</si>
  <si>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</si>
  <si>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</si>
  <si>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</si>
  <si>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</si>
  <si>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</si>
  <si>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</si>
  <si>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</si>
  <si>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</si>
  <si>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</si>
  <si>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</si>
  <si>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</si>
  <si>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</si>
  <si>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</si>
  <si>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</si>
  <si>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</si>
  <si>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</si>
  <si>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</si>
  <si>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</si>
  <si>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</si>
  <si>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</si>
  <si>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</si>
  <si>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</si>
  <si>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</si>
  <si>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</si>
  <si>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</si>
  <si>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</si>
  <si>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</si>
  <si>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</si>
  <si>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</si>
  <si>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</si>
  <si>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</si>
  <si>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</si>
  <si>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</si>
  <si>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</si>
  <si>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</si>
  <si>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</si>
  <si>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</si>
  <si>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</si>
  <si>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</si>
  <si>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</si>
  <si>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</si>
  <si>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</si>
  <si>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</si>
  <si>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</si>
  <si>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</si>
  <si>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</si>
  <si>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</si>
  <si>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</si>
  <si>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</si>
  <si>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</si>
  <si>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</si>
  <si>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</si>
  <si>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</si>
  <si>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</si>
  <si>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</si>
  <si>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</si>
  <si>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</si>
  <si>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</si>
  <si>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</si>
  <si>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</si>
  <si>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</si>
  <si>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</si>
  <si>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</si>
  <si>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</si>
  <si>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</si>
  <si>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</si>
  <si>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</si>
  <si>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</si>
  <si>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</si>
  <si>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</si>
  <si>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</si>
  <si>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</si>
  <si>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</si>
  <si>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</si>
  <si>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</si>
  <si>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</si>
  <si>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</si>
  <si>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</si>
  <si>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</si>
  <si>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</si>
  <si>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</si>
  <si>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</si>
  <si>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</si>
  <si>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</si>
  <si>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</si>
  <si>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</si>
  <si>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</si>
  <si>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</si>
  <si>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</si>
  <si>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</si>
  <si>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</si>
  <si>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</si>
  <si>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</si>
  <si>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</si>
  <si>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</si>
  <si>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</si>
  <si>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</si>
  <si>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</si>
  <si>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</si>
  <si>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</si>
  <si>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</si>
  <si>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</si>
  <si>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</si>
  <si>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</si>
  <si>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</si>
  <si>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</si>
  <si>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</si>
  <si>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</si>
  <si>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</si>
  <si>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</si>
  <si>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</si>
  <si>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</si>
  <si>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</si>
  <si>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</si>
  <si>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</si>
  <si>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</si>
  <si>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</si>
  <si>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</si>
  <si>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</si>
  <si>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</si>
  <si>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</si>
  <si>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</si>
  <si>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</si>
  <si>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</si>
  <si>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</si>
  <si>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</si>
  <si>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</si>
  <si>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</si>
  <si>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</si>
  <si>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</si>
  <si>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</si>
  <si>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</si>
  <si>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</si>
  <si>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</si>
  <si>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</si>
  <si>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</si>
  <si>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</si>
  <si>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</si>
  <si>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</si>
  <si>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</si>
  <si>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</si>
  <si>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</si>
  <si>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</si>
  <si>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</si>
  <si>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</si>
  <si>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</si>
  <si>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</si>
  <si>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</si>
  <si>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</si>
  <si>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</si>
  <si>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</si>
  <si>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</si>
  <si>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</si>
  <si>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</si>
  <si>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</si>
  <si>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</si>
  <si>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</si>
  <si>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</si>
  <si>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</si>
  <si>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</si>
  <si>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</si>
  <si>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</si>
  <si>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</si>
  <si>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</si>
  <si>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</si>
  <si>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</si>
  <si>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</si>
  <si>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</si>
  <si>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</si>
  <si>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</si>
  <si>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</si>
  <si>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</si>
  <si>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</si>
  <si>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</si>
  <si>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</si>
  <si>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</si>
  <si>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</si>
  <si>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</si>
  <si>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</si>
  <si>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</si>
  <si>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</si>
  <si>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</si>
  <si>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</si>
  <si>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</si>
  <si>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</si>
  <si>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</si>
  <si>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</si>
  <si>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</si>
  <si>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</si>
  <si>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</si>
  <si>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</si>
  <si>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</si>
  <si>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</si>
  <si>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</si>
  <si>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</si>
  <si>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</si>
  <si>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</si>
  <si>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</si>
  <si>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</si>
  <si>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</si>
  <si>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</si>
  <si>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</si>
  <si>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</si>
  <si>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</si>
  <si>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</si>
  <si>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</si>
  <si>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</si>
  <si>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</si>
  <si>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</si>
  <si>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</si>
  <si>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</si>
  <si>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</si>
  <si>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</si>
  <si>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</si>
  <si>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</si>
  <si>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</si>
  <si>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</si>
  <si>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</si>
  <si>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</si>
  <si>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</si>
  <si>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</si>
  <si>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</si>
  <si>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</si>
  <si>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</si>
  <si>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</si>
  <si>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</si>
  <si>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</si>
  <si>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</si>
  <si>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</si>
  <si>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</si>
  <si>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</si>
  <si>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</si>
  <si>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</si>
  <si>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</si>
  <si>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</si>
  <si>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</si>
  <si>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</si>
  <si>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</si>
  <si>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</si>
  <si>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</si>
  <si>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</si>
  <si>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</si>
  <si>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</si>
  <si>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</si>
  <si>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</si>
  <si>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</si>
  <si>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</si>
  <si>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</si>
  <si>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</si>
  <si>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</si>
  <si>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</si>
  <si>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</si>
  <si>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</si>
  <si>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</si>
  <si>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</si>
  <si>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</si>
  <si>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</si>
  <si>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</si>
  <si>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</si>
  <si>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</si>
  <si>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</si>
  <si>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</si>
  <si>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</si>
  <si>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</si>
  <si>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</si>
  <si>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</si>
  <si>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</si>
  <si>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</si>
  <si>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</si>
  <si>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</si>
  <si>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</si>
  <si>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</si>
  <si>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</si>
  <si>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</si>
  <si>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</si>
  <si>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</si>
  <si>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</si>
  <si>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</si>
  <si>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</si>
  <si>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</si>
  <si>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</si>
  <si>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</si>
  <si>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</si>
  <si>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</si>
  <si>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</si>
  <si>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</si>
  <si>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</si>
  <si>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</si>
  <si>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</si>
  <si>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</si>
  <si>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</si>
  <si>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</si>
  <si>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</si>
  <si>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</si>
  <si>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</si>
  <si>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</si>
  <si>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</si>
  <si>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</si>
  <si>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</si>
  <si>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</si>
  <si>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</si>
  <si>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</si>
  <si>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</si>
  <si>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</si>
  <si>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</si>
  <si>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</si>
  <si>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</si>
  <si>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</si>
  <si>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</si>
  <si>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</si>
  <si>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</si>
  <si>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</si>
  <si>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</si>
  <si>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</si>
  <si>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</si>
  <si>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</si>
  <si>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</si>
  <si>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</si>
  <si>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</si>
  <si>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</si>
  <si>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</si>
  <si>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</si>
  <si>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</si>
  <si>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</si>
  <si>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</si>
  <si>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</si>
  <si>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</si>
  <si>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</si>
  <si>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</si>
  <si>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</si>
  <si>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</si>
  <si>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</si>
  <si>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</si>
  <si>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</si>
  <si>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</si>
  <si>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</si>
  <si>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</si>
  <si>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</si>
  <si>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</si>
  <si>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</si>
  <si>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</si>
  <si>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</si>
  <si>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</si>
  <si>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</si>
  <si>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</si>
  <si>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</si>
  <si>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</si>
  <si>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</si>
  <si>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</si>
  <si>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</si>
  <si>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</si>
  <si>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</si>
  <si>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</si>
  <si>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</si>
  <si>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</si>
  <si>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</si>
  <si>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</si>
  <si>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</si>
  <si>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</si>
  <si>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</si>
  <si>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</si>
  <si>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</si>
  <si>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</si>
  <si>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</si>
  <si>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</si>
  <si>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</si>
  <si>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</si>
  <si>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</si>
  <si>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</si>
  <si>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</si>
  <si>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</si>
  <si>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</si>
  <si>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</si>
  <si>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</si>
  <si>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</si>
  <si>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</si>
  <si>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</si>
  <si>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</si>
  <si>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</si>
  <si>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</si>
  <si>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</si>
  <si>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</si>
  <si>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</si>
  <si>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</si>
  <si>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</si>
  <si>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</si>
  <si>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</si>
  <si>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</si>
  <si>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</si>
  <si>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</si>
  <si>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</si>
  <si>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</si>
  <si>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</si>
  <si>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</si>
  <si>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</si>
  <si>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</si>
  <si>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</si>
  <si>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</si>
  <si>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</si>
  <si>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</si>
  <si>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</si>
  <si>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</si>
  <si>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</si>
  <si>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</si>
  <si>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</si>
  <si>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</si>
  <si>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</si>
  <si>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</si>
  <si>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</si>
  <si>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</si>
  <si>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</si>
  <si>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</si>
  <si>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</si>
  <si>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</si>
  <si>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</si>
  <si>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</si>
  <si>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</si>
  <si>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</si>
  <si>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</si>
  <si>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</si>
  <si>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</si>
  <si>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</si>
  <si>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</si>
  <si>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</si>
  <si>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</si>
  <si>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</si>
  <si>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</si>
  <si>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</si>
  <si>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</si>
  <si>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</si>
  <si>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</si>
  <si>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</si>
  <si>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</si>
  <si>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</si>
  <si>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</si>
  <si>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</si>
  <si>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</si>
  <si>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</si>
  <si>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</si>
  <si>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</si>
  <si>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</si>
  <si>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</si>
  <si>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</si>
  <si>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</si>
  <si>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</si>
  <si>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</si>
  <si>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</si>
  <si>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</si>
  <si>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</si>
  <si>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</si>
  <si>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</si>
  <si>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</si>
  <si>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</si>
  <si>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</si>
  <si>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</si>
  <si>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</si>
  <si>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</si>
  <si>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</si>
  <si>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</si>
  <si>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</si>
  <si>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</si>
  <si>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</si>
  <si>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</si>
  <si>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</si>
  <si>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</si>
  <si>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</si>
  <si>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</si>
  <si>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</si>
  <si>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</si>
  <si>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</si>
  <si>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</si>
  <si>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</si>
  <si>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</si>
  <si>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</si>
  <si>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</si>
  <si>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</si>
  <si>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</si>
  <si>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</si>
  <si>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</si>
  <si>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</si>
  <si>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</si>
  <si>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</si>
  <si>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</si>
  <si>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</si>
  <si>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</si>
  <si>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</si>
  <si>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</si>
  <si>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</si>
  <si>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</si>
  <si>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</si>
  <si>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</si>
  <si>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</si>
  <si>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</si>
  <si>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</si>
  <si>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</si>
  <si>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</si>
  <si>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</si>
  <si>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</si>
  <si>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</si>
  <si>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</si>
  <si>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</si>
  <si>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</si>
  <si>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</si>
  <si>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</si>
  <si>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</si>
  <si>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</si>
  <si>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</si>
  <si>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</si>
  <si>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</si>
  <si>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</si>
  <si>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</si>
  <si>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</si>
  <si>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</si>
  <si>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</si>
  <si>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</si>
  <si>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</si>
  <si>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</si>
  <si>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</si>
  <si>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</si>
  <si>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</si>
  <si>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</si>
  <si>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</si>
  <si>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</si>
  <si>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</si>
  <si>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</si>
  <si>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</si>
  <si>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</si>
  <si>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</si>
  <si>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</si>
  <si>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</si>
  <si>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</si>
  <si>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</si>
  <si>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</si>
  <si>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</si>
  <si>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</si>
  <si>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</si>
  <si>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</si>
  <si>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</si>
  <si>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</si>
  <si>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</si>
  <si>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</si>
  <si>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</si>
  <si>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</si>
  <si>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</si>
  <si>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</si>
  <si>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</si>
  <si>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</si>
  <si>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</si>
  <si>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</si>
  <si>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</si>
  <si>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</si>
  <si>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</si>
  <si>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</si>
  <si>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</si>
  <si>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</si>
  <si>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</si>
  <si>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</si>
  <si>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</si>
  <si>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</si>
  <si>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</si>
  <si>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</si>
  <si>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</si>
  <si>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</si>
  <si>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</si>
  <si>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</si>
  <si>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</si>
  <si>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</si>
  <si>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</si>
  <si>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</si>
  <si>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</si>
  <si>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</si>
  <si>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</si>
  <si>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</si>
  <si>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</si>
  <si>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</si>
  <si>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</si>
  <si>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</si>
  <si>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</si>
  <si>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</si>
  <si>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</si>
  <si>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</si>
  <si>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</si>
  <si>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</si>
  <si>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</si>
  <si>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</si>
  <si>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</si>
  <si>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</si>
  <si>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</si>
  <si>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</si>
  <si>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</si>
  <si>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</si>
  <si>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</si>
  <si>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</si>
  <si>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</si>
  <si>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</si>
  <si>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</si>
  <si>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</si>
  <si>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</si>
  <si>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</si>
  <si>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</si>
  <si>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</si>
  <si>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</si>
  <si>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</si>
  <si>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</si>
  <si>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</si>
  <si>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</si>
  <si>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</si>
  <si>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</si>
  <si>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</si>
  <si>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</si>
  <si>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</si>
  <si>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</si>
  <si>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</si>
  <si>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</si>
  <si>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</si>
  <si>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</si>
  <si>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</si>
  <si>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</si>
  <si>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</si>
  <si>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</si>
  <si>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</si>
  <si>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</si>
  <si>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</si>
  <si>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</si>
  <si>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</si>
  <si>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</si>
  <si>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</si>
  <si>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</si>
  <si>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</si>
  <si>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</si>
  <si>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</si>
  <si>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</si>
  <si>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</si>
  <si>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</si>
  <si>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</si>
  <si>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</si>
  <si>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</si>
  <si>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</si>
  <si>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</si>
  <si>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</si>
  <si>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</si>
  <si>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</si>
  <si>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</si>
  <si>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</si>
  <si>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</si>
  <si>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</si>
  <si>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</si>
  <si>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</si>
  <si>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</si>
  <si>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</si>
  <si>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</si>
  <si>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</si>
  <si>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</si>
  <si>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</si>
  <si>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</si>
  <si>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</si>
  <si>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</si>
  <si>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</si>
  <si>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</si>
  <si>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</si>
  <si>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</si>
  <si>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</si>
  <si>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</si>
  <si>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</si>
  <si>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</si>
  <si>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</si>
  <si>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</si>
  <si>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</si>
  <si>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</si>
  <si>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</si>
  <si>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</si>
  <si>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</si>
  <si>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</si>
  <si>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</si>
  <si>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</si>
  <si>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</si>
  <si>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</si>
  <si>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</si>
  <si>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</si>
  <si>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</si>
  <si>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</si>
  <si>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</si>
  <si>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</si>
  <si>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</si>
  <si>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</si>
  <si>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</si>
  <si>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</si>
  <si>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</si>
  <si>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</si>
  <si>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</si>
  <si>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</si>
  <si>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</si>
  <si>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</si>
  <si>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</si>
  <si>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</si>
  <si>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</si>
  <si>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</si>
  <si>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</si>
  <si>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</si>
  <si>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</si>
  <si>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</si>
  <si>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</si>
  <si>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</si>
  <si>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</si>
  <si>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</si>
  <si>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</si>
  <si>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</si>
  <si>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</si>
  <si>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</si>
  <si>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</si>
  <si>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</si>
  <si>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</si>
  <si>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</si>
  <si>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</si>
  <si>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</si>
  <si>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</si>
  <si>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</si>
  <si>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</si>
  <si>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</si>
  <si>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</si>
  <si>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</si>
  <si>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</si>
  <si>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</si>
  <si>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</si>
  <si>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</si>
  <si>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</si>
  <si>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</si>
  <si>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</si>
  <si>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</si>
  <si>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</si>
  <si>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</si>
  <si>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</si>
  <si>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</si>
  <si>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</si>
  <si>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</si>
  <si>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</si>
  <si>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</si>
  <si>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</si>
  <si>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</si>
  <si>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</si>
  <si>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</si>
  <si>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</si>
  <si>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</si>
  <si>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</si>
  <si>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</si>
  <si>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</si>
  <si>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</si>
  <si>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</si>
  <si>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</si>
  <si>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</si>
  <si>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</si>
  <si>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</si>
  <si>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</si>
  <si>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</si>
  <si>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</si>
  <si>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</si>
  <si>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</si>
  <si>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</si>
  <si>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</si>
  <si>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</si>
  <si>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</si>
  <si>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</si>
  <si>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</si>
  <si>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</si>
  <si>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</si>
  <si>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</si>
  <si>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</si>
  <si>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</si>
  <si>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</si>
  <si>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</si>
  <si>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</si>
  <si>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</si>
  <si>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</si>
  <si>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</si>
  <si>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</si>
  <si>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</si>
  <si>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</si>
  <si>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</si>
  <si>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</si>
  <si>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</si>
  <si>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</si>
  <si>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</si>
  <si>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</si>
  <si>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</si>
  <si>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</si>
  <si>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</si>
  <si>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</si>
  <si>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</si>
  <si>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</si>
  <si>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</si>
  <si>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</si>
  <si>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</si>
  <si>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</si>
  <si>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</si>
  <si>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</si>
  <si>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</si>
  <si>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</si>
  <si>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</si>
  <si>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</si>
  <si>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</si>
  <si>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</si>
  <si>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</si>
  <si>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</si>
  <si>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</si>
  <si>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</si>
  <si>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</si>
  <si>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</si>
  <si>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</si>
  <si>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</si>
  <si>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</si>
  <si>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</si>
  <si>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</si>
  <si>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</si>
  <si>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</si>
  <si>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</si>
  <si>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</si>
  <si>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</si>
  <si>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</si>
  <si>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</si>
  <si>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</si>
  <si>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</si>
  <si>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</si>
  <si>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</si>
  <si>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</si>
  <si>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</si>
  <si>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</si>
  <si>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</si>
  <si>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</si>
  <si>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</si>
  <si>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</si>
  <si>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</si>
  <si>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</si>
  <si>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</si>
  <si>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</si>
  <si>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</si>
  <si>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</si>
  <si>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</si>
  <si>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</si>
  <si>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</si>
  <si>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</si>
  <si>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</si>
  <si>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</si>
  <si>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</si>
  <si>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</si>
  <si>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</si>
  <si>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</si>
  <si>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</si>
  <si>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</si>
  <si>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</si>
  <si>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</si>
  <si>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</si>
  <si>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</si>
  <si>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</si>
  <si>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</si>
  <si>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</si>
  <si>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</si>
  <si>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</si>
  <si>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</si>
  <si>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</si>
  <si>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</si>
  <si>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</si>
  <si>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</si>
  <si>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</si>
  <si>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</si>
  <si>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</si>
  <si>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</si>
  <si>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</si>
  <si>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</si>
  <si>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</si>
  <si>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</si>
  <si>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</si>
  <si>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</si>
  <si>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</si>
  <si>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</si>
  <si>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</si>
  <si>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</si>
  <si>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</si>
  <si>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</si>
  <si>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</si>
  <si>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</si>
  <si>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</si>
  <si>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</si>
  <si>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</si>
  <si>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</si>
  <si>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</si>
  <si>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</si>
  <si>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</si>
  <si>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</si>
  <si>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</si>
  <si>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</si>
  <si>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</si>
  <si>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</si>
  <si>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</si>
  <si>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</si>
  <si>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</si>
  <si>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</si>
  <si>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</si>
  <si>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</si>
  <si>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</si>
  <si>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</si>
  <si>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</si>
  <si>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</si>
  <si>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</si>
  <si>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</si>
  <si>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</si>
  <si>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</si>
  <si>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</si>
  <si>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</si>
  <si>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</si>
  <si>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</si>
  <si>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</si>
  <si>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</si>
  <si>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</si>
  <si>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</si>
  <si>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</si>
  <si>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</si>
  <si>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</si>
  <si>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</si>
  <si>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</si>
  <si>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</si>
  <si>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</si>
  <si>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</si>
  <si>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</si>
  <si>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</si>
  <si>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</si>
  <si>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</si>
  <si>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</si>
  <si>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</si>
  <si>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</si>
  <si>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</si>
  <si>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</si>
  <si>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</si>
  <si>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</si>
  <si>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</si>
  <si>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</si>
  <si>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</si>
  <si>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</si>
  <si>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</si>
  <si>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</si>
  <si>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</si>
  <si>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</si>
  <si>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</si>
  <si>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</si>
  <si>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</si>
  <si>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</si>
  <si>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</si>
  <si>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</si>
  <si>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</si>
  <si>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</si>
  <si>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</si>
  <si>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</si>
  <si>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</si>
  <si>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</si>
  <si>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</si>
  <si>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</si>
  <si>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</si>
  <si>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</si>
  <si>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</si>
  <si>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</si>
  <si>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</si>
  <si>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</si>
  <si>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</si>
  <si>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</si>
  <si>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</si>
  <si>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</si>
  <si>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</si>
  <si>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</si>
  <si>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</si>
  <si>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</si>
  <si>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</si>
  <si>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</si>
  <si>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</si>
  <si>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</si>
  <si>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</si>
  <si>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</si>
  <si>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</si>
  <si>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</si>
  <si>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</si>
  <si>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</si>
  <si>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</si>
  <si>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</si>
  <si>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</si>
  <si>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</si>
  <si>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</si>
  <si>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</si>
  <si>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</si>
  <si>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</si>
  <si>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</si>
  <si>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</si>
  <si>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</si>
  <si>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</si>
  <si>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</si>
  <si>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</si>
  <si>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</si>
  <si>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</si>
  <si>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</si>
  <si>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</si>
  <si>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</si>
  <si>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</si>
  <si>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</si>
  <si>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</si>
  <si>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</si>
  <si>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</si>
  <si>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</si>
  <si>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</si>
  <si>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</si>
  <si>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</si>
  <si>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</si>
  <si>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</si>
  <si>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</si>
  <si>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</si>
  <si>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</si>
  <si>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</si>
  <si>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</si>
  <si>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</si>
  <si>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</si>
  <si>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</si>
  <si>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</si>
  <si>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</si>
  <si>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</si>
  <si>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</si>
  <si>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</si>
  <si>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</si>
  <si>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</si>
  <si>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</si>
  <si>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</si>
  <si>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</si>
  <si>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</si>
  <si>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</si>
  <si>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</si>
  <si>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</si>
  <si>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</si>
  <si>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</si>
  <si>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</si>
  <si>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</si>
  <si>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</si>
  <si>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</si>
  <si>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</si>
  <si>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</si>
  <si>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</si>
  <si>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</si>
  <si>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</si>
  <si>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</si>
  <si>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</si>
  <si>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</si>
  <si>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</si>
  <si>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</si>
  <si>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</si>
  <si>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</si>
  <si>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</si>
  <si>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</si>
  <si>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</si>
  <si>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</si>
  <si>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</si>
  <si>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</si>
  <si>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</si>
  <si>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</si>
  <si>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</si>
  <si>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</si>
  <si>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</si>
  <si>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</si>
  <si>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</si>
  <si>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</si>
  <si>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</si>
  <si>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</si>
  <si>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</si>
  <si>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</si>
  <si>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</si>
  <si>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</si>
  <si>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</si>
  <si>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</si>
  <si>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</si>
  <si>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</si>
  <si>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</si>
  <si>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</si>
  <si>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</si>
  <si>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</si>
  <si>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</si>
  <si>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</si>
  <si>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</si>
  <si>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</si>
  <si>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</si>
  <si>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</si>
  <si>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</si>
  <si>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</si>
  <si>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</si>
  <si>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</si>
  <si>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</si>
  <si>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</si>
  <si>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</si>
  <si>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</si>
  <si>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</si>
  <si>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</si>
  <si>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</si>
  <si>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</si>
  <si>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</si>
  <si>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</si>
  <si>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</si>
  <si>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</si>
  <si>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</si>
  <si>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</si>
  <si>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</si>
  <si>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</si>
  <si>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</si>
  <si>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</si>
  <si>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</si>
  <si>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</si>
  <si>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</si>
  <si>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</si>
  <si>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</si>
  <si>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</si>
  <si>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</si>
  <si>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</si>
  <si>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</si>
  <si>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</si>
  <si>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</si>
  <si>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</si>
  <si>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</si>
  <si>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</si>
  <si>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</si>
  <si>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</si>
  <si>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</si>
  <si>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</si>
  <si>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</si>
  <si>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</si>
  <si>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</si>
  <si>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</si>
  <si>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</si>
  <si>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</si>
  <si>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</si>
  <si>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</si>
  <si>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</si>
  <si>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</si>
  <si>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</si>
  <si>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</si>
  <si>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</si>
  <si>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</si>
  <si>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</si>
  <si>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</si>
  <si>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</si>
  <si>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</si>
  <si>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</si>
  <si>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</si>
  <si>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</si>
  <si>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</si>
  <si>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</si>
  <si>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</si>
  <si>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</si>
  <si>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</si>
  <si>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</si>
  <si>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</si>
  <si>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</si>
  <si>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</si>
  <si>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</si>
  <si>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</si>
  <si>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</si>
  <si>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</si>
  <si>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</si>
  <si>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</si>
  <si>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</si>
  <si>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</si>
  <si>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</si>
  <si>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</si>
  <si>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</si>
  <si>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</si>
  <si>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</si>
  <si>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</si>
  <si>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</si>
  <si>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</si>
  <si>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</si>
  <si>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</si>
  <si>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</si>
  <si>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</si>
  <si>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</si>
  <si>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</si>
  <si>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</si>
  <si>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</si>
  <si>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</si>
  <si>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</si>
  <si>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</si>
  <si>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</si>
  <si>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</si>
  <si>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</si>
  <si>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</si>
  <si>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</si>
  <si>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</si>
  <si>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</si>
  <si>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</si>
  <si>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</si>
  <si>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</si>
  <si>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</si>
  <si>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</si>
  <si>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</si>
  <si>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</si>
  <si>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</si>
  <si>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</si>
  <si>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</si>
  <si>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</si>
  <si>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</si>
  <si>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</si>
  <si>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</si>
  <si>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</si>
  <si>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</si>
  <si>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</si>
  <si>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</si>
  <si>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</si>
  <si>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</si>
  <si>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</si>
  <si>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</si>
  <si>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</si>
  <si>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</si>
  <si>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</si>
  <si>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</si>
  <si>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</si>
  <si>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</si>
  <si>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</si>
  <si>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</si>
  <si>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</si>
  <si>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</si>
  <si>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</si>
  <si>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</si>
  <si>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</si>
  <si>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</si>
  <si>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</si>
  <si>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</si>
  <si>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</si>
  <si>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</si>
  <si>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</si>
  <si>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</si>
  <si>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</si>
  <si>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</si>
  <si>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</si>
  <si>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</si>
  <si>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</si>
  <si>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</si>
  <si>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</si>
  <si>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</si>
  <si>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</si>
  <si>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</si>
  <si>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</si>
  <si>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</si>
  <si>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</si>
  <si>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</si>
  <si>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</si>
  <si>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</si>
  <si>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</si>
  <si>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</si>
  <si>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</si>
  <si>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</si>
  <si>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</si>
  <si>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</si>
  <si>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</si>
  <si>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</si>
  <si>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</si>
  <si>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</si>
  <si>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</si>
  <si>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</si>
  <si>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</si>
  <si>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</si>
  <si>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</si>
  <si>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</si>
  <si>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</si>
  <si>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</si>
  <si>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</si>
  <si>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</si>
  <si>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</si>
  <si>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</si>
  <si>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</si>
  <si>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</si>
  <si>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</si>
  <si>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</si>
  <si>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</si>
  <si>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</si>
  <si>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</si>
  <si>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</si>
  <si>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</si>
  <si>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</si>
  <si>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</si>
  <si>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</si>
  <si>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</si>
  <si>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</si>
  <si>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</si>
  <si>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</si>
  <si>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</si>
  <si>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</si>
  <si>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</si>
  <si>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</si>
  <si>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</si>
  <si>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</si>
  <si>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</si>
  <si>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</si>
  <si>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</si>
  <si>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</si>
  <si>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</si>
  <si>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</si>
  <si>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</si>
  <si>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</si>
  <si>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</si>
  <si>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</si>
  <si>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</si>
  <si>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</si>
  <si>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</si>
  <si>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</si>
  <si>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</si>
  <si>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</si>
  <si>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</si>
  <si>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</si>
  <si>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</si>
  <si>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</si>
  <si>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</si>
  <si>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</si>
  <si>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</si>
  <si>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</si>
  <si>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</si>
  <si>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</si>
  <si>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</si>
  <si>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</si>
  <si>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</si>
  <si>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</si>
  <si>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</si>
  <si>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</si>
  <si>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</si>
  <si>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</si>
  <si>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</si>
  <si>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</si>
  <si>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</si>
  <si>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</si>
  <si>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</si>
  <si>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</si>
  <si>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</si>
  <si>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</si>
  <si>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</si>
  <si>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</si>
  <si>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</si>
  <si>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</si>
  <si>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</si>
  <si>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</si>
  <si>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</si>
  <si>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</si>
  <si>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</si>
  <si>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</si>
  <si>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</si>
  <si>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</si>
  <si>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</si>
  <si>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</si>
  <si>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</si>
  <si>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</si>
  <si>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</si>
  <si>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</si>
  <si>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</si>
  <si>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</si>
  <si>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</si>
  <si>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</si>
  <si>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</si>
  <si>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</si>
  <si>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</si>
  <si>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</si>
  <si>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</si>
  <si>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</si>
  <si>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</si>
  <si>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</si>
  <si>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</si>
  <si>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</si>
  <si>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</si>
  <si>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</si>
  <si>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</si>
  <si>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</si>
  <si>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</si>
  <si>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</si>
  <si>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</si>
  <si>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</si>
  <si>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</si>
  <si>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</si>
  <si>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</si>
  <si>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</si>
  <si>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</si>
  <si>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</si>
  <si>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</si>
  <si>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</si>
  <si>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</si>
  <si>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</si>
  <si>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</si>
  <si>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</si>
  <si>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</si>
  <si>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</si>
  <si>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</si>
  <si>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</si>
  <si>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</si>
  <si>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</si>
  <si>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</si>
  <si>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</si>
  <si>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</si>
  <si>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</si>
  <si>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</si>
  <si>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</si>
  <si>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</si>
  <si>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</si>
  <si>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</si>
  <si>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</si>
  <si>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</si>
  <si>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</si>
  <si>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</si>
  <si>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</si>
  <si>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</si>
  <si>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</si>
  <si>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</si>
  <si>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</si>
  <si>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</si>
  <si>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</si>
  <si>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</si>
  <si>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</si>
  <si>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</si>
  <si>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</si>
  <si>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</si>
  <si>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</si>
  <si>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</si>
  <si>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</si>
  <si>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</si>
  <si>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</si>
  <si>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</si>
  <si>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</si>
  <si>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</si>
  <si>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</si>
  <si>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</si>
  <si>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</si>
  <si>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</si>
  <si>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</si>
  <si>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</si>
  <si>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</si>
  <si>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</si>
  <si>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</si>
  <si>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</si>
  <si>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</si>
  <si>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</si>
  <si>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</si>
  <si>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</si>
  <si>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</si>
  <si>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</si>
  <si>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</si>
  <si>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</si>
  <si>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</si>
  <si>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</si>
  <si>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</si>
  <si>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</si>
  <si>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</si>
  <si>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</si>
  <si>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</si>
  <si>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</si>
  <si>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</si>
  <si>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</si>
  <si>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</si>
  <si>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</si>
  <si>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</si>
  <si>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</si>
  <si>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</si>
  <si>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</si>
  <si>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</si>
  <si>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</si>
  <si>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</si>
  <si>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</si>
  <si>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</si>
  <si>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</si>
  <si>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</si>
  <si>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</si>
  <si>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</si>
  <si>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</si>
  <si>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</si>
  <si>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</si>
  <si>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</si>
  <si>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</si>
  <si>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</si>
  <si>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</si>
  <si>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</si>
  <si>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</si>
  <si>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</si>
  <si>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</si>
  <si>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</si>
  <si>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</si>
  <si>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</si>
  <si>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</si>
  <si>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</si>
  <si>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</si>
  <si>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</si>
  <si>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</si>
  <si>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</si>
  <si>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</si>
  <si>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</si>
  <si>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</si>
  <si>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</si>
  <si>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</si>
  <si>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</si>
  <si>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</si>
  <si>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</si>
  <si>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</si>
  <si>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</si>
  <si>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</si>
  <si>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</si>
  <si>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</si>
  <si>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</si>
  <si>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</si>
  <si>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</si>
  <si>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</si>
  <si>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</si>
  <si>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</si>
  <si>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</si>
  <si>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</si>
  <si>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</si>
  <si>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</si>
  <si>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</si>
  <si>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</si>
  <si>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</si>
  <si>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</si>
  <si>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</si>
  <si>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</si>
  <si>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</si>
  <si>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</si>
  <si>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</si>
  <si>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</si>
  <si>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</si>
  <si>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</si>
  <si>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</si>
  <si>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</si>
  <si>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</si>
  <si>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</si>
  <si>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</si>
  <si>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</si>
  <si>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</si>
  <si>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</si>
  <si>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</si>
  <si>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</si>
  <si>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</si>
  <si>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</si>
  <si>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</si>
  <si>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</si>
  <si>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</si>
  <si>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</si>
  <si>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</si>
  <si>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</si>
  <si>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</si>
  <si>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</si>
  <si>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</si>
  <si>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</si>
  <si>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</si>
  <si>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</si>
  <si>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</si>
  <si>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</si>
  <si>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</si>
  <si>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</si>
  <si>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</si>
  <si>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</si>
  <si>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</si>
  <si>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</si>
  <si>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</si>
  <si>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</si>
  <si>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</si>
  <si>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</si>
  <si>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</si>
  <si>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</si>
  <si>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</si>
  <si>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</si>
  <si>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</si>
  <si>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</si>
  <si>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</si>
  <si>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</si>
  <si>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</si>
  <si>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</si>
  <si>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</si>
  <si>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</si>
  <si>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</si>
  <si>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</si>
  <si>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</si>
  <si>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</si>
  <si>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</si>
  <si>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</si>
  <si>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</si>
  <si>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</si>
  <si>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</si>
  <si>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</si>
  <si>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</si>
  <si>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</si>
  <si>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</si>
  <si>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</si>
  <si>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</si>
  <si>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</si>
  <si>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</si>
  <si>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</si>
  <si>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</si>
  <si>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</si>
  <si>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</si>
  <si>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</si>
  <si>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</si>
  <si>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</si>
  <si>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</si>
  <si>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</si>
  <si>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</si>
  <si>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</si>
  <si>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</si>
  <si>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</si>
  <si>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</si>
  <si>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</si>
  <si>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</si>
  <si>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</si>
  <si>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</si>
  <si>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</si>
  <si>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</si>
  <si>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</si>
  <si>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</si>
  <si>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</si>
  <si>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</si>
  <si>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</si>
  <si>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</si>
  <si>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</si>
  <si>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</si>
  <si>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</si>
  <si>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</si>
  <si>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</si>
  <si>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</si>
  <si>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</si>
  <si>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</si>
  <si>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</si>
  <si>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</si>
  <si>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</si>
  <si>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</si>
  <si>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</si>
  <si>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</si>
  <si>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</si>
  <si>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</si>
  <si>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</si>
  <si>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</si>
  <si>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</si>
  <si>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</si>
  <si>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</si>
  <si>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</si>
  <si>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</si>
  <si>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</si>
  <si>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</si>
  <si>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</si>
  <si>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</si>
  <si>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</si>
  <si>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</si>
  <si>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</si>
  <si>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</si>
  <si>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</si>
  <si>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</si>
  <si>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</si>
  <si>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</si>
  <si>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</si>
  <si>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</si>
  <si>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</si>
  <si>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</si>
  <si>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</si>
  <si>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</si>
  <si>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</si>
  <si>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</si>
  <si>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</si>
  <si>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</si>
  <si>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</si>
  <si>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</si>
  <si>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</si>
  <si>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</si>
  <si>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</si>
  <si>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</si>
  <si>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</si>
  <si>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</si>
  <si>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</si>
  <si>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</si>
  <si>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</si>
  <si>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</si>
  <si>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</si>
  <si>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</si>
  <si>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</si>
  <si>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</si>
  <si>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</si>
  <si>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</si>
  <si>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</si>
  <si>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</si>
  <si>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</si>
  <si>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</si>
  <si>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</si>
  <si>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</si>
  <si>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</si>
  <si>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</si>
  <si>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</si>
  <si>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</si>
  <si>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</si>
  <si>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</si>
  <si>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</si>
  <si>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</si>
  <si>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</si>
  <si>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</si>
  <si>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</si>
  <si>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</si>
  <si>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</si>
  <si>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</si>
  <si>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</si>
  <si>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</si>
  <si>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</si>
  <si>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</si>
  <si>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</si>
  <si>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</si>
  <si>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</si>
  <si>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</si>
  <si>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</si>
  <si>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</si>
  <si>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</si>
  <si>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</si>
  <si>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</si>
  <si>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</si>
  <si>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</si>
  <si>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</si>
  <si>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</si>
  <si>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</si>
  <si>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</si>
  <si>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</si>
  <si>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</si>
  <si>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</si>
  <si>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</si>
  <si>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</si>
  <si>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</si>
  <si>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</si>
  <si>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</si>
  <si>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</si>
  <si>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</si>
  <si>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</si>
  <si>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</si>
  <si>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</si>
  <si>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</si>
  <si>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</si>
  <si>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</si>
  <si>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</si>
  <si>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</si>
  <si>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</si>
  <si>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</si>
  <si>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</si>
  <si>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</si>
  <si>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</si>
  <si>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</si>
  <si>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</si>
  <si>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</si>
  <si>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</si>
  <si>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</si>
  <si>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</si>
  <si>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</si>
  <si>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</si>
  <si>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</si>
  <si>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</si>
  <si>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</si>
  <si>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</si>
  <si>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</si>
  <si>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</si>
  <si>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</si>
  <si>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</si>
  <si>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</si>
  <si>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</si>
  <si>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</si>
  <si>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</si>
  <si>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</si>
  <si>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</si>
  <si>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</si>
  <si>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</si>
  <si>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</si>
  <si>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</si>
  <si>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</si>
  <si>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</si>
  <si>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</si>
  <si>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</si>
  <si>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</si>
  <si>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</si>
  <si>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</si>
  <si>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</si>
  <si>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</si>
  <si>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</si>
  <si>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</si>
  <si>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</si>
  <si>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</si>
  <si>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</si>
  <si>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</si>
  <si>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</si>
  <si>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</si>
  <si>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</si>
  <si>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</si>
  <si>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</si>
  <si>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</si>
  <si>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</si>
  <si>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</si>
  <si>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</si>
  <si>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</si>
  <si>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</si>
  <si>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</si>
  <si>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</si>
  <si>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</si>
  <si>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</si>
  <si>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</si>
  <si>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</si>
  <si>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</si>
  <si>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</si>
  <si>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</si>
  <si>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</si>
  <si>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</si>
  <si>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</si>
  <si>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</si>
  <si>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</si>
  <si>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</si>
  <si>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</si>
  <si>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</si>
  <si>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</si>
  <si>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</si>
  <si>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</si>
  <si>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</si>
  <si>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</si>
  <si>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</si>
  <si>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</si>
  <si>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</si>
  <si>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</si>
  <si>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</si>
  <si>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</si>
  <si>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</si>
  <si>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</si>
  <si>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</si>
  <si>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</si>
  <si>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</si>
  <si>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</si>
  <si>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</si>
  <si>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</si>
  <si>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</si>
  <si>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</si>
  <si>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</si>
  <si>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</si>
  <si>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</si>
  <si>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</si>
  <si>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</si>
  <si>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</si>
  <si>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</si>
  <si>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</si>
  <si>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</si>
  <si>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</si>
  <si>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</si>
  <si>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</si>
  <si>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</si>
  <si>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</si>
  <si>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</si>
  <si>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</si>
  <si>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</si>
  <si>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</si>
  <si>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</si>
  <si>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</si>
  <si>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</si>
  <si>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</si>
  <si>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</si>
  <si>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</si>
  <si>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</si>
  <si>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</si>
  <si>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</si>
  <si>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</si>
  <si>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</si>
  <si>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</si>
  <si>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</si>
  <si>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</si>
  <si>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</si>
  <si>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</si>
  <si>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</si>
  <si>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</si>
  <si>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</si>
  <si>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</si>
  <si>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</si>
  <si>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</si>
  <si>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</si>
  <si>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</si>
  <si>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</si>
  <si>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</si>
  <si>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</si>
  <si>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</si>
  <si>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</si>
  <si>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</si>
  <si>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</si>
  <si>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</si>
  <si>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</si>
  <si>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</si>
  <si>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</si>
  <si>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</si>
  <si>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</si>
  <si>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</si>
  <si>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</si>
  <si>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</si>
  <si>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</si>
  <si>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</si>
  <si>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</si>
  <si>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</si>
  <si>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</si>
  <si>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</si>
  <si>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</si>
  <si>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</si>
  <si>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</si>
  <si>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</si>
  <si>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</si>
  <si>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</si>
  <si>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</si>
  <si>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</si>
  <si>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</si>
  <si>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</si>
  <si>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</si>
  <si>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</si>
  <si>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</si>
  <si>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</si>
  <si>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</si>
  <si>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</si>
  <si>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</si>
  <si>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</si>
  <si>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</si>
  <si>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</si>
  <si>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</si>
  <si>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</si>
  <si>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</si>
  <si>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</si>
  <si>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</si>
  <si>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</si>
  <si>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</si>
  <si>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</si>
  <si>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</si>
  <si>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</si>
  <si>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</si>
  <si>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</si>
  <si>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</si>
  <si>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</si>
  <si>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</si>
  <si>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</si>
  <si>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</si>
  <si>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</si>
  <si>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</si>
  <si>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</si>
  <si>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</si>
  <si>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</si>
  <si>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</si>
  <si>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</si>
  <si>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</si>
  <si>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</si>
  <si>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</si>
  <si>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</si>
  <si>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</si>
  <si>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</si>
  <si>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</si>
  <si>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</si>
  <si>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</si>
  <si>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</si>
  <si>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</si>
  <si>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</si>
  <si>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</si>
  <si>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</si>
  <si>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</si>
  <si>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</si>
  <si>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</si>
  <si>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</si>
  <si>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</si>
  <si>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</si>
  <si>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</si>
  <si>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</si>
  <si>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</si>
  <si>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</si>
  <si>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</si>
  <si>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</si>
  <si>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</si>
  <si>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</si>
  <si>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</si>
  <si>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</si>
  <si>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</si>
  <si>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</si>
  <si>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</si>
  <si>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</si>
  <si>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</si>
  <si>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</si>
  <si>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</si>
  <si>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</si>
  <si>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</si>
  <si>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</si>
  <si>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</si>
  <si>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</si>
  <si>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</si>
  <si>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</si>
  <si>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</si>
  <si>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</si>
  <si>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</si>
  <si>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</si>
  <si>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</si>
  <si>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</si>
  <si>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</si>
  <si>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</si>
  <si>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</si>
  <si>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</si>
  <si>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</si>
  <si>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</si>
  <si>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</si>
  <si>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</si>
  <si>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</si>
  <si>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</si>
  <si>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</si>
  <si>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</si>
  <si>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</si>
  <si>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</si>
  <si>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</si>
  <si>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</si>
  <si>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</si>
  <si>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</si>
  <si>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</si>
  <si>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</si>
  <si>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</si>
  <si>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</si>
  <si>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</si>
  <si>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</si>
  <si>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</si>
  <si>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</si>
  <si>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</si>
  <si>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</si>
  <si>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</si>
  <si>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</si>
  <si>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</si>
  <si>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</si>
  <si>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</si>
  <si>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</si>
  <si>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</si>
  <si>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</si>
  <si>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</si>
  <si>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</si>
  <si>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</si>
  <si>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</si>
  <si>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</si>
  <si>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</si>
  <si>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</si>
  <si>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</si>
  <si>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</si>
  <si>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</si>
  <si>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</si>
  <si>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</si>
  <si>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</si>
  <si>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</si>
  <si>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</si>
  <si>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</si>
  <si>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</si>
  <si>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</si>
  <si>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</si>
  <si>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</si>
  <si>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</si>
  <si>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</si>
  <si>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</si>
  <si>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</si>
  <si>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</si>
  <si>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</si>
  <si>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</si>
  <si>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</si>
  <si>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</si>
  <si>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</si>
  <si>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</si>
  <si>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</si>
  <si>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</si>
  <si>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</si>
  <si>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</si>
  <si>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</si>
  <si>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</si>
  <si>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</si>
  <si>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</si>
  <si>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</si>
  <si>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</si>
  <si>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</si>
  <si>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</si>
  <si>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</si>
  <si>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</si>
  <si>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</si>
  <si>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</si>
  <si>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</si>
  <si>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</si>
  <si>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</si>
  <si>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</si>
  <si>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</si>
  <si>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</si>
  <si>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</si>
  <si>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</si>
  <si>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</si>
  <si>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</si>
  <si>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</si>
  <si>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</si>
  <si>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</si>
  <si>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</si>
  <si>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</si>
  <si>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</si>
  <si>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</si>
  <si>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</si>
  <si>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</si>
  <si>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</si>
  <si>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</si>
  <si>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</si>
  <si>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</si>
  <si>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</si>
  <si>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</si>
  <si>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</si>
  <si>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</si>
  <si>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</si>
  <si>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</si>
  <si>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</si>
  <si>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</si>
  <si>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</si>
  <si>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</si>
  <si>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</si>
  <si>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</si>
  <si>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</si>
  <si>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</si>
  <si>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</si>
  <si>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</si>
  <si>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</si>
  <si>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</si>
  <si>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</si>
  <si>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</si>
  <si>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</si>
  <si>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</si>
  <si>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</si>
  <si>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</si>
  <si>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</si>
  <si>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</si>
  <si>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</si>
  <si>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</si>
  <si>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</si>
  <si>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</si>
  <si>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</si>
  <si>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</si>
  <si>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</si>
  <si>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</si>
  <si>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</si>
  <si>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</si>
  <si>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</si>
  <si>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</si>
  <si>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</si>
  <si>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</si>
  <si>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</si>
  <si>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</si>
  <si>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</si>
  <si>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</si>
  <si>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</si>
  <si>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</si>
  <si>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</si>
  <si>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</si>
  <si>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</si>
  <si>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</si>
  <si>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</si>
  <si>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</si>
  <si>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</si>
  <si>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</si>
  <si>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</si>
  <si>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</si>
  <si>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</si>
  <si>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</si>
  <si>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</si>
  <si>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</si>
  <si>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</si>
  <si>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</si>
  <si>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</si>
  <si>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</si>
  <si>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</si>
  <si>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</si>
  <si>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</si>
  <si>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</si>
  <si>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</si>
  <si>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</si>
  <si>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</si>
  <si>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</si>
  <si>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</si>
  <si>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</si>
  <si>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</si>
  <si>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</si>
  <si>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</si>
  <si>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</si>
  <si>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</si>
  <si>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</si>
  <si>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</si>
  <si>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</si>
  <si>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</si>
  <si>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</si>
  <si>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</si>
  <si>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</si>
  <si>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</si>
  <si>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</si>
  <si>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</si>
  <si>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</si>
  <si>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</si>
  <si>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</si>
  <si>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</si>
  <si>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</si>
  <si>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</si>
  <si>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</si>
  <si>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</si>
  <si>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</si>
  <si>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</si>
  <si>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</si>
  <si>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</si>
  <si>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</si>
  <si>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</si>
  <si>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</si>
  <si>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</si>
  <si>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</si>
  <si>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</si>
  <si>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</si>
  <si>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</si>
  <si>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</si>
  <si>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</si>
  <si>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</si>
  <si>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</si>
  <si>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</si>
  <si>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</si>
  <si>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</si>
  <si>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</si>
  <si>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</si>
  <si>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</si>
  <si>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</si>
  <si>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</si>
  <si>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</si>
  <si>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</si>
  <si>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</si>
  <si>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</si>
  <si>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</si>
  <si>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</si>
  <si>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</si>
  <si>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</si>
  <si>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</si>
  <si>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</si>
  <si>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</si>
  <si>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</si>
  <si>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</si>
  <si>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</si>
  <si>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</si>
  <si>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</si>
  <si>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</si>
  <si>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</si>
  <si>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</si>
  <si>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</si>
  <si>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</si>
  <si>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</si>
  <si>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</si>
  <si>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</si>
  <si>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</si>
  <si>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</si>
  <si>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</si>
  <si>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</si>
  <si>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</si>
  <si>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</si>
  <si>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</si>
  <si>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</si>
  <si>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</si>
  <si>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</si>
  <si>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</si>
  <si>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</si>
  <si>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</si>
  <si>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</si>
  <si>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</si>
  <si>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</si>
  <si>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</si>
  <si>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</si>
  <si>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</si>
  <si>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</si>
  <si>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</si>
  <si>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</si>
  <si>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</si>
  <si>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</si>
  <si>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</si>
  <si>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</si>
  <si>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</si>
  <si>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</si>
  <si>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</si>
  <si>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</si>
  <si>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</si>
  <si>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</si>
  <si>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</si>
  <si>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</si>
  <si>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</si>
  <si>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</si>
  <si>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</si>
  <si>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</si>
  <si>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</si>
  <si>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</si>
  <si>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</si>
  <si>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</si>
  <si>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</si>
  <si>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</si>
  <si>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</si>
  <si>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</si>
  <si>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</si>
  <si>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</si>
  <si>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</si>
  <si>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</si>
  <si>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</si>
  <si>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</si>
  <si>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</si>
  <si>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</si>
  <si>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</si>
  <si>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</si>
  <si>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</si>
  <si>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</si>
  <si>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</si>
  <si>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</si>
  <si>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</si>
  <si>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</si>
  <si>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</si>
  <si>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</si>
  <si>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</si>
  <si>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</si>
  <si>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</si>
  <si>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</si>
  <si>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</si>
  <si>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</si>
  <si>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</si>
  <si>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</si>
  <si>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</si>
  <si>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</si>
  <si>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</si>
  <si>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</si>
  <si>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</si>
  <si>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</si>
  <si>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</si>
  <si>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</si>
  <si>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</si>
  <si>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</si>
  <si>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</si>
  <si>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</si>
  <si>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</si>
  <si>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</si>
  <si>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</si>
  <si>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</si>
  <si>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</si>
  <si>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</si>
  <si>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</si>
  <si>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</si>
  <si>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</si>
  <si>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</si>
  <si>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</si>
  <si>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</si>
  <si>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</si>
  <si>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</si>
  <si>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</si>
  <si>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</si>
  <si>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</si>
  <si>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</si>
  <si>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</si>
  <si>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</si>
  <si>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</si>
  <si>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</si>
  <si>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</si>
  <si>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</si>
  <si>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</si>
  <si>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</si>
  <si>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</si>
  <si>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</si>
  <si>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</si>
  <si>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</si>
  <si>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</si>
  <si>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</si>
  <si>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</si>
  <si>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</si>
  <si>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</si>
  <si>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</si>
  <si>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</si>
  <si>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</si>
  <si>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</si>
  <si>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</si>
  <si>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</si>
  <si>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</si>
  <si>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</si>
  <si>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</si>
  <si>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</si>
  <si>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</si>
  <si>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</si>
  <si>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</si>
  <si>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</si>
  <si>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</si>
  <si>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</si>
  <si>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</si>
  <si>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</si>
  <si>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</si>
  <si>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</si>
  <si>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</si>
  <si>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</si>
  <si>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</si>
  <si>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</si>
  <si>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</si>
  <si>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</si>
  <si>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</si>
  <si>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</si>
  <si>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</si>
  <si>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</si>
  <si>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</si>
  <si>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</si>
  <si>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</si>
  <si>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</si>
  <si>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</si>
  <si>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</si>
  <si>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</si>
  <si>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</si>
  <si>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</si>
  <si>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</si>
  <si>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</si>
  <si>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</si>
  <si>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</si>
  <si>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</si>
  <si>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</si>
  <si>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</si>
  <si>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</si>
  <si>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</si>
  <si>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</si>
  <si>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</si>
  <si>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</si>
  <si>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</si>
  <si>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</si>
  <si>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</si>
  <si>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</si>
  <si>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</si>
  <si>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</si>
  <si>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</si>
  <si>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</si>
  <si>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</si>
  <si>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</si>
  <si>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</si>
  <si>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</si>
  <si>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</si>
  <si>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</si>
  <si>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</si>
  <si>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</si>
  <si>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</si>
  <si>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</si>
  <si>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</si>
  <si>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</si>
  <si>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</si>
  <si>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</si>
  <si>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</si>
  <si>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</si>
  <si>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</si>
  <si>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</si>
  <si>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</si>
  <si>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</si>
  <si>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</si>
  <si>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</si>
  <si>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</si>
  <si>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</si>
  <si>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</si>
  <si>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</si>
  <si>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</si>
  <si>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</si>
  <si>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</si>
  <si>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</si>
  <si>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</si>
  <si>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</si>
  <si>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</si>
  <si>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</si>
  <si>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</si>
  <si>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</si>
  <si>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</si>
  <si>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</si>
  <si>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</si>
  <si>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</si>
  <si>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</si>
  <si>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</si>
  <si>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</si>
  <si>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</si>
  <si>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</si>
  <si>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</si>
  <si>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</si>
  <si>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</si>
  <si>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</si>
  <si>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</si>
  <si>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</si>
  <si>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</si>
  <si>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</si>
  <si>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</si>
  <si>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</si>
  <si>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</si>
  <si>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</si>
  <si>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</si>
  <si>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</si>
  <si>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</si>
  <si>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</si>
  <si>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</si>
  <si>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</si>
  <si>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</si>
  <si>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</si>
  <si>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</si>
  <si>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</si>
  <si>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</si>
  <si>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</si>
  <si>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</si>
  <si>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</si>
  <si>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</si>
  <si>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</si>
  <si>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</si>
  <si>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</si>
  <si>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</si>
  <si>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</si>
  <si>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</si>
  <si>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</si>
  <si>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</si>
  <si>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</si>
  <si>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</si>
  <si>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</si>
  <si>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</si>
  <si>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</si>
  <si>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</si>
  <si>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</si>
  <si>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</si>
  <si>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</si>
  <si>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吴薇</t>
  </si>
  <si>
    <t>郑燚</t>
  </si>
  <si>
    <t>是</t>
  </si>
  <si>
    <t>地上</t>
  </si>
  <si>
    <t>工业用房</t>
  </si>
  <si>
    <t>工业用房</t>
    <phoneticPr fontId="7" type="noConversion"/>
  </si>
  <si>
    <t>成新度</t>
  </si>
  <si>
    <t>收益法</t>
  </si>
  <si>
    <t>利息：取LPR加浮动点数</t>
  </si>
  <si>
    <t>现房</t>
  </si>
  <si>
    <t>项目全部</t>
  </si>
  <si>
    <t>总价</t>
  </si>
  <si>
    <t>收益比率</t>
  </si>
  <si>
    <t>押一</t>
  </si>
  <si>
    <t>按租金收入计税</t>
  </si>
  <si>
    <t>钢混</t>
  </si>
  <si>
    <t>非生产用房</t>
  </si>
  <si>
    <t>否</t>
  </si>
  <si>
    <t>自定义容积率</t>
  </si>
  <si>
    <t>工业用地</t>
  </si>
  <si>
    <t>不临58条商业街</t>
  </si>
  <si>
    <t>与级别开发程度一致</t>
  </si>
  <si>
    <t>地价指数</t>
  </si>
  <si>
    <t>容积率修正</t>
  </si>
  <si>
    <t>较好</t>
  </si>
  <si>
    <t>一般</t>
  </si>
  <si>
    <t>较好</t>
    <phoneticPr fontId="25" type="noConversion"/>
  </si>
  <si>
    <t>一般</t>
    <phoneticPr fontId="25" type="noConversion"/>
  </si>
  <si>
    <t>五通</t>
  </si>
  <si>
    <t>五通</t>
    <phoneticPr fontId="25" type="noConversion"/>
  </si>
  <si>
    <t>单面临街</t>
  </si>
  <si>
    <t>售价</t>
  </si>
  <si>
    <t>3号301</t>
    <phoneticPr fontId="3" type="noConversion"/>
  </si>
  <si>
    <t>6幢101</t>
    <phoneticPr fontId="3" type="noConversion"/>
  </si>
  <si>
    <t>1幢101</t>
    <phoneticPr fontId="3" type="noConversion"/>
  </si>
  <si>
    <t>30-40（含）</t>
  </si>
  <si>
    <t>正常</t>
  </si>
  <si>
    <t>工业</t>
    <phoneticPr fontId="32" type="noConversion"/>
  </si>
  <si>
    <t>工业用房</t>
    <phoneticPr fontId="32" type="noConversion"/>
  </si>
  <si>
    <t>钢混</t>
    <phoneticPr fontId="32" type="noConversion"/>
  </si>
  <si>
    <t>精装修</t>
    <phoneticPr fontId="32" type="noConversion"/>
  </si>
  <si>
    <t>普通装修</t>
  </si>
  <si>
    <t>普通装修</t>
    <phoneticPr fontId="32" type="noConversion"/>
  </si>
  <si>
    <t>简单装修</t>
    <phoneticPr fontId="32" type="noConversion"/>
  </si>
  <si>
    <t>毛坯</t>
  </si>
  <si>
    <t>毛坯</t>
    <phoneticPr fontId="32" type="noConversion"/>
  </si>
  <si>
    <t>七通</t>
    <phoneticPr fontId="32" type="noConversion"/>
  </si>
  <si>
    <t>六通</t>
    <phoneticPr fontId="32" type="noConversion"/>
  </si>
  <si>
    <t>五通</t>
    <phoneticPr fontId="32" type="noConversion"/>
  </si>
  <si>
    <t>普通</t>
  </si>
  <si>
    <t>普通</t>
    <phoneticPr fontId="32" type="noConversion"/>
  </si>
  <si>
    <t>已包含在土地取得成本中</t>
  </si>
  <si>
    <t>较差</t>
  </si>
  <si>
    <t>较差</t>
    <phoneticPr fontId="25" type="noConversion"/>
  </si>
  <si>
    <t>未包含在土地购买价格中</t>
  </si>
  <si>
    <t>收益法 (元)</t>
  </si>
  <si>
    <t>成本法 (元)</t>
  </si>
  <si>
    <t>生产用房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</si>
</sst>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0" borderId="24" xfId="0" applyNumberFormat="1" applyFont="1" applyFill="1" applyBorder="1" applyAlignment="1" applyProtection="1">
      <alignment vertical="center" wrapText="1"/>
      <protection locked="0"/>
    </xf>
    <xf numFmtId="0" fontId="19" fillId="0" borderId="8" xfId="0" applyNumberFormat="1" applyFont="1" applyFill="1" applyBorder="1" applyAlignment="1" applyProtection="1">
      <alignment vertical="center" wrapText="1"/>
      <protection locked="0"/>
    </xf>
    <xf numFmtId="0" fontId="19" fillId="0" borderId="24" xfId="0" applyFont="1" applyBorder="1" applyAlignment="1" applyProtection="1">
      <alignment vertical="center" wrapText="1"/>
      <protection locked="0"/>
    </xf>
    <xf numFmtId="0" fontId="19" fillId="0" borderId="49" xfId="0" applyNumberFormat="1" applyFont="1" applyFill="1" applyBorder="1" applyAlignment="1" applyProtection="1">
      <alignment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3"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protection locked="0"/>
    </xf>
    <xf numFmtId="197" fontId="65" fillId="6" borderId="0" xfId="0" applyNumberFormat="1" applyFont="1" applyFill="1" applyAlignment="1" applyProtection="1">
      <alignment vertical="center"/>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C33">
            <v>688</v>
          </cell>
          <cell r="D33">
            <v>1949.77</v>
          </cell>
          <cell r="E33">
            <v>134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吴薇（注册号：1419970001)、郑燚（注册号：1120070131)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估价对象为北京市房地产，为所有。根据，估价对象（分摊）出让国有建设用地使用权面积为0平方米，建筑面积为1949.77平方米。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估价对象为北京市房地产,为开发建设的，该项目尚在开发建设中。根据，估价对象（分摊）出让国有建设用地使用权面积为0平方米，规划建筑面积为1949.77平方米。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2022年8月8日（评估专业人员实地查勘之日）</v>
      </c>
    </row>
    <row r="13" spans="1:2" s="1337" customFormat="1">
      <c r="A13" s="1335" t="s">
        <v>1135</v>
      </c>
      <c r="B13" s="1336" t="str">
        <f>'预评函-1'!A18</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1054</v>
      </c>
    </row>
    <row r="21" spans="1:2" s="1337" customFormat="1">
      <c r="A21" s="1335" t="s">
        <v>1143</v>
      </c>
      <c r="B21" s="1336">
        <f ca="1">'预评函-2'!D7</f>
        <v>5406</v>
      </c>
    </row>
    <row r="22" spans="1:2" s="1337" customFormat="1">
      <c r="A22" s="1335" t="s">
        <v>1144</v>
      </c>
      <c r="B22" s="1336" t="str">
        <f ca="1">'预评函-2'!D6</f>
        <v>壹仟零伍拾肆万元整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1054</v>
      </c>
    </row>
    <row r="31" spans="1:2" s="1337" customFormat="1">
      <c r="A31" s="1335" t="s">
        <v>1182</v>
      </c>
      <c r="B31" s="1336">
        <f ca="1">'预评函-2'!D15</f>
        <v>5406</v>
      </c>
    </row>
    <row r="32" spans="1:2" s="1337" customFormat="1">
      <c r="A32" s="1335" t="s">
        <v>1149</v>
      </c>
      <c r="B32" s="1336" t="str">
        <f ca="1">'预评函-2'!D14</f>
        <v>壹仟零伍拾肆万元整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1949.77</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-247</v>
      </c>
    </row>
    <row r="48" spans="1:2" s="1337" customFormat="1">
      <c r="A48" s="1335" t="s">
        <v>1155</v>
      </c>
      <c r="B48" s="1336">
        <f ca="1">'预评函-3'!E4</f>
        <v>-1267</v>
      </c>
    </row>
    <row r="49" spans="1:2" s="1337" customFormat="1">
      <c r="A49" s="1335" t="s">
        <v>1156</v>
      </c>
      <c r="B49" s="1336" t="e">
        <f ca="1">'预评函-3'!D5</f>
        <v>#NUM!</v>
      </c>
    </row>
    <row r="50" spans="1:2" s="1337" customFormat="1">
      <c r="A50" s="1335" t="s">
        <v>1180</v>
      </c>
      <c r="B50" s="1336" t="str">
        <f>'预评函-3'!F2</f>
        <v>在建建筑物价值</v>
      </c>
    </row>
    <row r="51" spans="1:2" s="1337" customFormat="1">
      <c r="A51" s="1335" t="s">
        <v>1157</v>
      </c>
      <c r="B51" s="1336">
        <f ca="1">'预评函-3'!F4</f>
        <v>1301</v>
      </c>
    </row>
    <row r="52" spans="1:2" s="1337" customFormat="1">
      <c r="A52" s="1335" t="s">
        <v>1158</v>
      </c>
      <c r="B52" s="1336">
        <f ca="1">'预评函-3'!G4</f>
        <v>6673</v>
      </c>
    </row>
    <row r="53" spans="1:2" s="1337" customFormat="1">
      <c r="A53" s="1335" t="s">
        <v>1186</v>
      </c>
      <c r="B53" s="1336" t="str">
        <f ca="1">'预评函-3'!F5</f>
        <v>壹仟叁佰零壹万元整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吴薇</v>
      </c>
    </row>
    <row r="71" spans="1:2">
      <c r="A71" s="1335" t="s">
        <v>1169</v>
      </c>
      <c r="B71" s="1336">
        <f ca="1">'预评函-4'!B4</f>
        <v>1419970001</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2966</v>
      </c>
      <c r="C17" s="1702"/>
    </row>
    <row r="18" spans="1:3">
      <c r="A18" s="1701" t="s">
        <v>1672</v>
      </c>
      <c r="B18" s="1701" t="s">
        <v>3110</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709" t="s">
        <v>832</v>
      </c>
      <c r="C54" s="1706" t="s">
        <v>1189</v>
      </c>
    </row>
    <row r="55" spans="1:4">
      <c r="A55" s="3259"/>
      <c r="B55" s="1709" t="s">
        <v>833</v>
      </c>
      <c r="C55" s="1706" t="s">
        <v>1190</v>
      </c>
    </row>
    <row r="56" spans="1:4">
      <c r="A56" s="3259"/>
      <c r="B56" s="1709" t="s">
        <v>834</v>
      </c>
      <c r="C56" s="1706" t="s">
        <v>1194</v>
      </c>
    </row>
    <row r="57" spans="1:4">
      <c r="A57" s="325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C1" zoomScale="90" zoomScaleNormal="100" zoomScaleSheetLayoutView="90" workbookViewId="0">
      <selection activeCell="F28" sqref="F2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2853</v>
      </c>
      <c r="B1" s="3260" t="str">
        <f>IF(B10="北京市","北京市",C10)&amp;F10&amp;IF(结果表!G1="在建","出让国有建设用地使用权及在建建筑物",IF(结果表!G1="土地","出让国有建设用地使用权",))&amp;B9&amp;"预评估"</f>
        <v>北京市房地产抵押价值预评估</v>
      </c>
      <c r="C1" s="3261"/>
      <c r="D1" s="3261"/>
      <c r="E1" s="3261"/>
      <c r="F1" s="3261"/>
      <c r="G1" s="3261"/>
      <c r="H1" s="3261"/>
      <c r="I1" s="3262"/>
      <c r="J1" s="2666"/>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2854</v>
      </c>
      <c r="B2" s="2565"/>
      <c r="C2" s="2566"/>
      <c r="D2" s="2867"/>
      <c r="E2" s="2857"/>
      <c r="F2" s="2857"/>
      <c r="G2" s="2858"/>
      <c r="H2" s="2858"/>
      <c r="I2" s="2858"/>
      <c r="J2" s="2666"/>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2855</v>
      </c>
      <c r="B3" s="2567">
        <v>44781</v>
      </c>
      <c r="C3" s="2568" t="s">
        <v>2856</v>
      </c>
      <c r="D3" s="2567">
        <f>B3</f>
        <v>44781</v>
      </c>
      <c r="E3" s="2858"/>
      <c r="F3" s="2858"/>
      <c r="G3" s="2858"/>
      <c r="H3" s="2858"/>
      <c r="I3" s="2858"/>
      <c r="J3" s="2666"/>
      <c r="K3" s="2562"/>
      <c r="L3" s="2563"/>
      <c r="M3" s="2563"/>
      <c r="N3" s="2564"/>
      <c r="O3" s="1731"/>
      <c r="P3" s="2564"/>
      <c r="Q3" s="2564"/>
      <c r="R3" s="2564"/>
      <c r="S3" s="1838"/>
      <c r="T3" s="1901"/>
      <c r="U3" s="1901"/>
      <c r="V3" s="1901"/>
      <c r="W3" s="1901"/>
      <c r="X3" s="1901"/>
      <c r="Y3" s="1901"/>
      <c r="Z3" s="1901"/>
      <c r="AA3" s="1901"/>
      <c r="AB3" s="1901"/>
    </row>
    <row r="4" spans="1:28" ht="13.5" thickBot="1">
      <c r="A4" s="1222" t="s">
        <v>2857</v>
      </c>
      <c r="B4" s="2569" t="s">
        <v>3120</v>
      </c>
      <c r="C4" s="2570">
        <f ca="1">SUMIF(注册房地产估价师,B4,估价师及机构信息!B3:B24)</f>
        <v>1419970001</v>
      </c>
      <c r="D4" s="2569" t="s">
        <v>3121</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5"/>
      <c r="K4" s="2572" t="str">
        <f ca="1">CONCATENATE(B4,"（注册号：",C4,")、",D4,"（注册号：",E4,")")</f>
        <v>吴薇（注册号：1419970001)、郑燚（注册号：1120070131)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2858</v>
      </c>
      <c r="B5" s="2574"/>
      <c r="C5" s="2575"/>
      <c r="D5" s="2576"/>
      <c r="E5" s="2859"/>
      <c r="F5" s="2859"/>
      <c r="G5" s="2859"/>
      <c r="H5" s="2859"/>
      <c r="I5" s="2859"/>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2859</v>
      </c>
      <c r="B6" s="2578"/>
      <c r="C6" s="2579"/>
      <c r="D6" s="2580"/>
      <c r="E6" s="2857"/>
      <c r="F6" s="2859"/>
      <c r="G6" s="2859"/>
      <c r="H6" s="2859"/>
      <c r="I6" s="2859"/>
      <c r="J6" s="2635"/>
      <c r="K6" s="2809" t="str">
        <f>IF(COUNTIF(B6,"*上海银行*"),"上海银行","")</f>
        <v/>
      </c>
      <c r="L6" s="2807"/>
      <c r="M6" s="2807"/>
      <c r="N6" s="2635"/>
      <c r="O6" s="2646"/>
      <c r="P6" s="2635"/>
      <c r="Q6" s="2635"/>
      <c r="R6" s="2635"/>
    </row>
    <row r="7" spans="1:28">
      <c r="A7" s="2577" t="s">
        <v>2860</v>
      </c>
      <c r="B7" s="2581"/>
      <c r="C7" s="2579"/>
      <c r="D7" s="2580"/>
      <c r="E7" s="2857"/>
      <c r="F7" s="2859"/>
      <c r="G7" s="2859"/>
      <c r="H7" s="2859"/>
      <c r="I7" s="2859"/>
      <c r="J7" s="2635"/>
      <c r="K7" s="2810"/>
      <c r="L7" s="2807"/>
      <c r="M7" s="2807"/>
      <c r="N7" s="2635"/>
      <c r="O7" s="2646"/>
      <c r="P7" s="2635"/>
      <c r="Q7" s="2635"/>
      <c r="R7" s="2635"/>
    </row>
    <row r="8" spans="1:28">
      <c r="A8" s="2582" t="s">
        <v>2861</v>
      </c>
      <c r="B8" s="2583" t="s">
        <v>3115</v>
      </c>
      <c r="C8" s="2584"/>
      <c r="D8" s="3263" t="s">
        <v>2862</v>
      </c>
      <c r="E8" s="2585" t="s">
        <v>3116</v>
      </c>
      <c r="F8" s="2586"/>
      <c r="G8" s="2858"/>
      <c r="H8" s="2858"/>
      <c r="I8" s="2858"/>
      <c r="J8" s="2635"/>
      <c r="K8" s="2808"/>
      <c r="L8" s="2807"/>
      <c r="M8" s="2807"/>
      <c r="N8" s="2635"/>
      <c r="O8" s="2646"/>
      <c r="P8" s="2635"/>
      <c r="Q8" s="2635"/>
      <c r="R8" s="2635"/>
    </row>
    <row r="9" spans="1:28" ht="13.5" thickBot="1">
      <c r="A9" s="2587" t="s">
        <v>2863</v>
      </c>
      <c r="B9" s="2588" t="s">
        <v>3116</v>
      </c>
      <c r="C9" s="2589"/>
      <c r="D9" s="3264"/>
      <c r="E9" s="2588" t="s">
        <v>70</v>
      </c>
      <c r="F9" s="2590"/>
      <c r="G9" s="2860"/>
      <c r="H9" s="2860"/>
      <c r="I9" s="2860"/>
      <c r="J9" s="2635"/>
      <c r="K9" s="2810"/>
      <c r="L9" s="2807"/>
      <c r="M9" s="2807"/>
      <c r="N9" s="2635"/>
      <c r="O9" s="2646"/>
      <c r="P9" s="2635"/>
      <c r="Q9" s="2635"/>
      <c r="R9" s="2635"/>
    </row>
    <row r="10" spans="1:28" ht="13.5" thickTop="1">
      <c r="A10" s="2591" t="s">
        <v>2864</v>
      </c>
      <c r="B10" s="2592" t="s">
        <v>3117</v>
      </c>
      <c r="C10" s="2593"/>
      <c r="D10" s="2576"/>
      <c r="E10" s="2594" t="s">
        <v>2865</v>
      </c>
      <c r="F10" s="2861"/>
      <c r="G10" s="2862"/>
      <c r="H10" s="2863"/>
      <c r="I10" s="2864"/>
      <c r="J10" s="2635"/>
      <c r="K10" s="2810"/>
      <c r="L10" s="2807"/>
      <c r="M10" s="2807"/>
      <c r="N10" s="2635"/>
      <c r="O10" s="2646"/>
      <c r="P10" s="2635"/>
      <c r="Q10" s="2635"/>
      <c r="R10" s="2635"/>
    </row>
    <row r="11" spans="1:28">
      <c r="A11" s="2595" t="s">
        <v>2866</v>
      </c>
      <c r="B11" s="2596" t="s">
        <v>3118</v>
      </c>
      <c r="C11" s="2597"/>
      <c r="D11" s="2598"/>
      <c r="E11" s="2564"/>
      <c r="F11" s="2564"/>
      <c r="G11" s="2564"/>
      <c r="H11" s="2564"/>
      <c r="I11" s="2564"/>
      <c r="J11" s="2635"/>
      <c r="K11" s="2810"/>
      <c r="L11" s="2807"/>
      <c r="M11" s="2807"/>
      <c r="N11" s="2635"/>
      <c r="O11" s="2646"/>
      <c r="P11" s="2635"/>
      <c r="Q11" s="2635"/>
      <c r="R11" s="2635"/>
    </row>
    <row r="12" spans="1:28">
      <c r="A12" s="2599" t="s">
        <v>2867</v>
      </c>
      <c r="B12" s="2596" t="s">
        <v>3119</v>
      </c>
      <c r="C12" s="329" t="s">
        <v>2868</v>
      </c>
      <c r="D12" s="2600" t="s">
        <v>2869</v>
      </c>
      <c r="E12" s="2600" t="s">
        <v>2870</v>
      </c>
      <c r="F12" s="2600" t="s">
        <v>2871</v>
      </c>
      <c r="G12" s="2600" t="s">
        <v>2872</v>
      </c>
      <c r="H12" s="2600" t="s">
        <v>2873</v>
      </c>
      <c r="I12" s="2600" t="s">
        <v>2874</v>
      </c>
      <c r="J12" s="2635"/>
      <c r="K12" s="2810"/>
      <c r="L12" s="2807"/>
      <c r="M12" s="2807"/>
      <c r="N12" s="2635"/>
      <c r="O12" s="2646"/>
      <c r="P12" s="2635"/>
      <c r="Q12" s="2635"/>
      <c r="R12" s="2635"/>
    </row>
    <row r="13" spans="1:28">
      <c r="A13" s="1213"/>
      <c r="B13" s="2601"/>
      <c r="C13" s="2602" t="s">
        <v>2875</v>
      </c>
      <c r="D13" s="965"/>
      <c r="E13" s="965"/>
      <c r="F13" s="965"/>
      <c r="G13" s="965"/>
      <c r="H13" s="965"/>
      <c r="I13" s="965">
        <v>59184</v>
      </c>
      <c r="J13" s="2635"/>
      <c r="K13" s="2810"/>
      <c r="L13" s="2807"/>
      <c r="M13" s="2807"/>
      <c r="N13" s="2635"/>
      <c r="O13" s="2646"/>
      <c r="P13" s="2635"/>
      <c r="Q13" s="2635"/>
      <c r="R13" s="2635"/>
    </row>
    <row r="14" spans="1:28">
      <c r="A14" s="1213"/>
      <c r="B14" s="2601"/>
      <c r="C14" s="2602" t="s">
        <v>2876</v>
      </c>
      <c r="D14" s="2603"/>
      <c r="E14" s="2603"/>
      <c r="F14" s="2603"/>
      <c r="G14" s="2603"/>
      <c r="H14" s="2603"/>
      <c r="I14" s="2603">
        <v>50</v>
      </c>
      <c r="J14" s="2635"/>
      <c r="K14" s="2811"/>
      <c r="L14" s="2807"/>
      <c r="M14" s="2807"/>
      <c r="N14" s="2635"/>
      <c r="O14" s="2646"/>
      <c r="P14" s="2635"/>
      <c r="Q14" s="2635"/>
      <c r="R14" s="2635"/>
    </row>
    <row r="15" spans="1:28">
      <c r="A15" s="326"/>
      <c r="B15" s="2604"/>
      <c r="C15" s="2605" t="s">
        <v>2877</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39.46</v>
      </c>
      <c r="J15" s="2635"/>
      <c r="K15" s="2812"/>
      <c r="L15" s="2647"/>
      <c r="M15" s="2647"/>
      <c r="N15" s="2703"/>
      <c r="O15" s="2647"/>
      <c r="P15" s="2703"/>
      <c r="Q15" s="2635"/>
      <c r="R15" s="2635"/>
    </row>
    <row r="16" spans="1:28">
      <c r="A16" s="2594" t="s">
        <v>2878</v>
      </c>
      <c r="B16" s="3270"/>
      <c r="C16" s="3271"/>
      <c r="D16" s="3272"/>
      <c r="E16" s="2609" t="s">
        <v>2879</v>
      </c>
      <c r="F16" s="3273"/>
      <c r="G16" s="3274"/>
      <c r="H16" s="3274"/>
      <c r="I16" s="3275"/>
      <c r="J16" s="2635"/>
      <c r="K16" s="2812"/>
      <c r="L16" s="2647"/>
      <c r="M16" s="2647"/>
      <c r="N16" s="2703"/>
      <c r="O16" s="2647"/>
      <c r="P16" s="2703"/>
      <c r="Q16" s="2635"/>
      <c r="R16" s="2635"/>
    </row>
    <row r="17" spans="1:28">
      <c r="A17" s="319" t="s">
        <v>2880</v>
      </c>
      <c r="B17" s="308" t="s">
        <v>2881</v>
      </c>
      <c r="C17" s="11">
        <f>'数据-汇总表'!E3</f>
        <v>1949.77</v>
      </c>
      <c r="D17" s="2515" t="s">
        <v>2882</v>
      </c>
      <c r="E17" s="3276"/>
      <c r="F17" s="3277"/>
      <c r="G17" s="3277"/>
      <c r="H17" s="3277"/>
      <c r="I17" s="3278"/>
      <c r="J17" s="2635"/>
      <c r="K17" s="2813"/>
      <c r="L17" s="2647"/>
      <c r="M17" s="2647"/>
      <c r="N17" s="2703"/>
      <c r="O17" s="2647"/>
      <c r="P17" s="2703"/>
      <c r="Q17" s="2635"/>
      <c r="R17" s="2635"/>
      <c r="S17" s="2635"/>
      <c r="T17" s="2635"/>
      <c r="U17" s="2635"/>
      <c r="V17" s="2635"/>
    </row>
    <row r="18" spans="1:28" ht="24.75" thickBot="1">
      <c r="A18" s="2610" t="s">
        <v>2883</v>
      </c>
      <c r="B18" s="1222" t="s">
        <v>2884</v>
      </c>
      <c r="C18" s="2611">
        <f>'数据-汇总表'!D3</f>
        <v>0</v>
      </c>
      <c r="D18" s="1224" t="s">
        <v>2885</v>
      </c>
      <c r="E18" s="3279"/>
      <c r="F18" s="3280"/>
      <c r="G18" s="3280"/>
      <c r="H18" s="3280"/>
      <c r="I18" s="3281"/>
      <c r="J18" s="2635"/>
      <c r="K18" s="2813"/>
      <c r="L18" s="2647"/>
      <c r="M18" s="2647"/>
      <c r="N18" s="2703"/>
      <c r="O18" s="2647"/>
      <c r="P18" s="2703"/>
      <c r="Q18" s="2635"/>
      <c r="R18" s="2635"/>
      <c r="S18" s="2635"/>
      <c r="T18" s="2635"/>
      <c r="U18" s="2635"/>
      <c r="V18" s="2635"/>
    </row>
    <row r="19" spans="1:28" ht="37.5" thickTop="1" thickBot="1">
      <c r="A19" s="333" t="s">
        <v>1681</v>
      </c>
      <c r="B19" s="313" t="s">
        <v>2886</v>
      </c>
      <c r="C19" s="1718"/>
      <c r="D19" s="1719" t="s">
        <v>2887</v>
      </c>
      <c r="E19" s="1720"/>
      <c r="F19" s="1721" t="str">
        <f>IF(AND(C19="是",E19="否"),"是否提供他项权证或相关说明","")</f>
        <v/>
      </c>
      <c r="G19" s="1722"/>
      <c r="H19" s="2859"/>
      <c r="I19" s="2859"/>
      <c r="J19" s="2635"/>
      <c r="K19" s="2810"/>
      <c r="L19" s="2807"/>
      <c r="M19" s="2807"/>
      <c r="N19" s="2703"/>
      <c r="O19" s="2647"/>
      <c r="P19" s="2703"/>
      <c r="Q19" s="2635"/>
      <c r="R19" s="2635"/>
      <c r="S19" s="2635"/>
      <c r="T19" s="2635"/>
      <c r="U19" s="2635"/>
      <c r="V19" s="2635"/>
    </row>
    <row r="20" spans="1:28">
      <c r="A20" s="2827" t="s">
        <v>2888</v>
      </c>
      <c r="B20" s="3266" t="s">
        <v>2889</v>
      </c>
      <c r="C20" s="3267"/>
      <c r="D20" s="3268" t="s">
        <v>2890</v>
      </c>
      <c r="E20" s="3269"/>
      <c r="F20" s="2842" t="s">
        <v>1682</v>
      </c>
      <c r="G20" s="2859"/>
      <c r="H20" s="2859"/>
      <c r="I20" s="2859"/>
      <c r="J20" s="2635"/>
      <c r="K20" s="3265"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7"/>
      <c r="B21" s="2828" t="s">
        <v>2892</v>
      </c>
      <c r="C21" s="2829" t="s">
        <v>1683</v>
      </c>
      <c r="D21" s="1723"/>
      <c r="E21" s="2830" t="s">
        <v>1683</v>
      </c>
      <c r="F21" s="2843"/>
      <c r="G21" s="2859"/>
      <c r="H21" s="2859"/>
      <c r="I21" s="2859"/>
      <c r="J21" s="2635"/>
      <c r="K21" s="326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7"/>
      <c r="B22" s="2831" t="s">
        <v>2893</v>
      </c>
      <c r="C22" s="2829" t="s">
        <v>1684</v>
      </c>
      <c r="D22" s="2858"/>
      <c r="E22" s="2858"/>
      <c r="F22" s="2858"/>
      <c r="G22" s="2859"/>
      <c r="H22" s="2859"/>
      <c r="I22" s="2859"/>
      <c r="J22" s="2635"/>
      <c r="K22" s="326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2" t="s">
        <v>2894</v>
      </c>
      <c r="B23" s="2696" t="s">
        <v>2895</v>
      </c>
      <c r="C23" s="2833"/>
      <c r="D23" s="2834" t="s">
        <v>2895</v>
      </c>
      <c r="E23" s="2835"/>
      <c r="F23" s="2858"/>
      <c r="G23" s="2859"/>
      <c r="H23" s="2859"/>
      <c r="I23" s="2859"/>
      <c r="J23" s="2635"/>
      <c r="K23" s="2814"/>
      <c r="L23" s="2669"/>
      <c r="M23" s="2807"/>
      <c r="N23" s="2703"/>
      <c r="O23" s="2647"/>
      <c r="P23" s="2703"/>
      <c r="Q23" s="2635"/>
      <c r="R23" s="2635"/>
      <c r="S23" s="2635"/>
      <c r="T23" s="2635"/>
      <c r="U23" s="2635"/>
      <c r="V23" s="2635"/>
    </row>
    <row r="24" spans="1:28">
      <c r="A24" s="2832"/>
      <c r="B24" s="2696" t="s">
        <v>1685</v>
      </c>
      <c r="C24" s="2836"/>
      <c r="D24" s="2832" t="s">
        <v>1685</v>
      </c>
      <c r="E24" s="2837"/>
      <c r="F24" s="2858"/>
      <c r="G24" s="2859"/>
      <c r="H24" s="2859"/>
      <c r="I24" s="2859"/>
      <c r="J24" s="2635"/>
      <c r="K24" s="2814"/>
      <c r="L24" s="2669"/>
      <c r="M24" s="2807"/>
      <c r="N24" s="2703"/>
      <c r="O24" s="2647"/>
      <c r="P24" s="2703"/>
      <c r="Q24" s="2635"/>
      <c r="R24" s="2635"/>
      <c r="S24" s="2635"/>
      <c r="T24" s="2635"/>
      <c r="U24" s="2635"/>
      <c r="V24" s="2635"/>
    </row>
    <row r="25" spans="1:28">
      <c r="A25" s="2832"/>
      <c r="B25" s="2696" t="s">
        <v>1686</v>
      </c>
      <c r="C25" s="2836"/>
      <c r="D25" s="2832" t="s">
        <v>1686</v>
      </c>
      <c r="E25" s="2837"/>
      <c r="F25" s="2858"/>
      <c r="G25" s="2859"/>
      <c r="H25" s="2859"/>
      <c r="I25" s="2859"/>
      <c r="J25" s="2635"/>
      <c r="K25" s="2810"/>
      <c r="L25" s="2807"/>
      <c r="M25" s="2807"/>
      <c r="N25" s="2703"/>
      <c r="O25" s="2647"/>
      <c r="P25" s="2703"/>
      <c r="Q25" s="2635"/>
      <c r="R25" s="2635"/>
      <c r="S25" s="2635"/>
      <c r="T25" s="2635"/>
      <c r="U25" s="2635"/>
      <c r="V25" s="2635"/>
    </row>
    <row r="26" spans="1:28" ht="13.5" thickBot="1">
      <c r="A26" s="2838"/>
      <c r="B26" s="2839" t="s">
        <v>1687</v>
      </c>
      <c r="C26" s="2840"/>
      <c r="D26" s="2838" t="s">
        <v>1687</v>
      </c>
      <c r="E26" s="2841"/>
      <c r="F26" s="2860"/>
      <c r="G26" s="2860"/>
      <c r="H26" s="2860"/>
      <c r="I26" s="2860"/>
      <c r="J26" s="2635"/>
      <c r="K26" s="2810"/>
      <c r="L26" s="2807"/>
      <c r="M26" s="2807"/>
      <c r="N26" s="2703"/>
      <c r="O26" s="2647"/>
      <c r="P26" s="2703"/>
      <c r="Q26" s="2635"/>
      <c r="R26" s="2635"/>
      <c r="S26" s="2635"/>
      <c r="T26" s="2635"/>
      <c r="U26" s="2635"/>
      <c r="V26" s="2635"/>
    </row>
    <row r="27" spans="1:28" ht="13.5" thickTop="1">
      <c r="A27" s="3283" t="s">
        <v>2896</v>
      </c>
      <c r="B27" s="326" t="s">
        <v>2897</v>
      </c>
      <c r="C27" s="2612"/>
      <c r="D27" s="2613"/>
      <c r="E27" s="2859"/>
      <c r="F27" s="2859"/>
      <c r="G27" s="2859"/>
      <c r="H27" s="2859"/>
      <c r="I27" s="2859"/>
      <c r="J27" s="2635"/>
      <c r="K27" s="2812"/>
      <c r="L27" s="2647"/>
      <c r="M27" s="2647"/>
      <c r="N27" s="2703"/>
      <c r="O27" s="2647"/>
      <c r="P27" s="2703"/>
      <c r="Q27" s="2635"/>
      <c r="R27" s="2635"/>
      <c r="S27" s="2635"/>
      <c r="T27" s="2635"/>
      <c r="U27" s="2635"/>
      <c r="V27" s="2635"/>
    </row>
    <row r="28" spans="1:28">
      <c r="A28" s="3283"/>
      <c r="B28" s="308" t="s">
        <v>2898</v>
      </c>
      <c r="C28" s="2614"/>
      <c r="D28" s="2615"/>
      <c r="E28" s="2859"/>
      <c r="F28" s="2859"/>
      <c r="G28" s="2859"/>
      <c r="H28" s="2859"/>
      <c r="I28" s="2859"/>
      <c r="J28" s="2635"/>
      <c r="K28" s="2810"/>
      <c r="L28" s="2807"/>
      <c r="M28" s="2807"/>
      <c r="N28" s="2635"/>
      <c r="O28" s="2646"/>
      <c r="P28" s="2635"/>
      <c r="Q28" s="2635"/>
      <c r="R28" s="2635"/>
      <c r="S28" s="2635"/>
      <c r="T28" s="2635"/>
      <c r="U28" s="2635"/>
      <c r="V28" s="2635"/>
    </row>
    <row r="29" spans="1:28">
      <c r="A29" s="3283"/>
      <c r="B29" s="308" t="s">
        <v>2899</v>
      </c>
      <c r="C29" s="2616"/>
      <c r="D29" s="2617"/>
      <c r="E29" s="2859"/>
      <c r="F29" s="2859"/>
      <c r="G29" s="2859"/>
      <c r="H29" s="2859"/>
      <c r="I29" s="2859"/>
      <c r="J29" s="2635"/>
      <c r="K29" s="2810"/>
      <c r="L29" s="2807"/>
      <c r="M29" s="2807"/>
      <c r="N29" s="2635"/>
      <c r="O29" s="2646"/>
      <c r="P29" s="2635"/>
      <c r="Q29" s="2635"/>
      <c r="R29" s="2635"/>
      <c r="S29" s="2635"/>
      <c r="T29" s="2635"/>
      <c r="U29" s="2635"/>
      <c r="V29" s="2635"/>
    </row>
    <row r="30" spans="1:28">
      <c r="A30" s="3284"/>
      <c r="B30" s="308" t="s">
        <v>2900</v>
      </c>
      <c r="C30" s="3285"/>
      <c r="D30" s="3286"/>
      <c r="E30" s="2859"/>
      <c r="F30" s="2859"/>
      <c r="G30" s="2859"/>
      <c r="H30" s="2859"/>
      <c r="I30" s="2859"/>
      <c r="J30" s="2635"/>
      <c r="K30" s="2810"/>
      <c r="L30" s="2807"/>
      <c r="M30" s="2807"/>
      <c r="N30" s="2635"/>
      <c r="O30" s="2646"/>
      <c r="P30" s="2635"/>
      <c r="Q30" s="2635"/>
      <c r="R30" s="2635"/>
      <c r="S30" s="2635"/>
      <c r="T30" s="2635"/>
      <c r="U30" s="2635"/>
      <c r="V30" s="2635"/>
    </row>
    <row r="31" spans="1:28">
      <c r="A31" s="3287" t="s">
        <v>2901</v>
      </c>
      <c r="B31" s="2618"/>
      <c r="C31" s="2516" t="str">
        <f>IF(B31="现房","成新及维护状况正常否",IF(B31="在建","工程状态是否正常",IF(B31="土地","是否闲置","-")))</f>
        <v>-</v>
      </c>
      <c r="D31" s="1527"/>
      <c r="E31" s="2619"/>
      <c r="F31" s="2859"/>
      <c r="G31" s="2859"/>
      <c r="H31" s="2859"/>
      <c r="I31" s="2859"/>
      <c r="J31" s="2635"/>
      <c r="K31" s="2809"/>
      <c r="L31" s="2807"/>
      <c r="M31" s="2807"/>
      <c r="N31" s="2635"/>
      <c r="O31" s="2646"/>
      <c r="P31" s="2635"/>
      <c r="Q31" s="2635"/>
      <c r="R31" s="2635"/>
      <c r="S31" s="2635"/>
      <c r="T31" s="2635"/>
      <c r="U31" s="2635"/>
      <c r="V31" s="2635"/>
    </row>
    <row r="32" spans="1:28">
      <c r="A32" s="3288"/>
      <c r="B32" s="2618"/>
      <c r="C32" s="2516" t="str">
        <f>IF(B32="现房","成新及维护状况是否正常",IF(B32="在建","工程状态是否正常",IF(B32="土地","是否闲置","-")))</f>
        <v>-</v>
      </c>
      <c r="D32" s="1527"/>
      <c r="E32" s="2619"/>
      <c r="F32" s="2859"/>
      <c r="G32" s="2859"/>
      <c r="H32" s="2859"/>
      <c r="I32" s="2859"/>
      <c r="J32" s="2635"/>
      <c r="K32" s="2810"/>
      <c r="L32" s="2807"/>
      <c r="M32" s="2807"/>
      <c r="N32" s="2635"/>
      <c r="O32" s="2646"/>
      <c r="P32" s="2635"/>
      <c r="Q32" s="2635"/>
      <c r="R32" s="2635"/>
      <c r="S32" s="2635"/>
      <c r="T32" s="2635"/>
      <c r="U32" s="2635"/>
      <c r="V32" s="2635"/>
    </row>
    <row r="33" spans="1:30">
      <c r="A33" s="3288"/>
      <c r="B33" s="2621"/>
      <c r="C33" s="1745" t="str">
        <f>IF(B33="现房","成新及维护状况是否正常",IF(B33="在建","工程状态是否正常",IF(B33="土地","是否闲置","-")))</f>
        <v>-</v>
      </c>
      <c r="D33" s="1519"/>
      <c r="E33" s="2622"/>
      <c r="F33" s="2859"/>
      <c r="G33" s="2859"/>
      <c r="H33" s="2859"/>
      <c r="I33" s="2859"/>
      <c r="J33" s="2635"/>
      <c r="K33" s="2810"/>
      <c r="L33" s="2807"/>
      <c r="M33" s="2807"/>
      <c r="N33" s="2635"/>
      <c r="O33" s="2646"/>
      <c r="P33" s="2635"/>
      <c r="Q33" s="2635"/>
      <c r="R33" s="2635"/>
      <c r="S33" s="2635"/>
      <c r="T33" s="2635"/>
      <c r="U33" s="2635"/>
      <c r="V33" s="2635"/>
    </row>
    <row r="34" spans="1:30">
      <c r="A34" s="308" t="s">
        <v>2902</v>
      </c>
      <c r="B34" s="2184"/>
      <c r="C34" s="2184"/>
      <c r="D34" s="2184"/>
      <c r="E34" s="2184"/>
      <c r="F34" s="2184"/>
      <c r="G34" s="2184"/>
      <c r="H34" s="2184"/>
      <c r="I34" s="2859"/>
      <c r="J34" s="2635"/>
      <c r="K34" s="2623">
        <f>COUNTIF(B34:H34,"——")</f>
        <v>0</v>
      </c>
      <c r="L34" s="329" t="s">
        <v>2903</v>
      </c>
      <c r="M34" s="329" t="s">
        <v>2904</v>
      </c>
      <c r="N34" s="329" t="s">
        <v>2905</v>
      </c>
      <c r="O34" s="329" t="s">
        <v>2906</v>
      </c>
      <c r="P34" s="329" t="s">
        <v>2907</v>
      </c>
      <c r="Q34" s="329" t="s">
        <v>2908</v>
      </c>
      <c r="R34" s="329" t="s">
        <v>2909</v>
      </c>
      <c r="S34" s="3282" t="s">
        <v>2910</v>
      </c>
      <c r="T34" s="2624" t="str">
        <f>NUMBERSTRING(7-K34,1)&amp;"通"</f>
        <v>七通</v>
      </c>
      <c r="U34" s="2635"/>
      <c r="V34" s="2635"/>
    </row>
    <row r="35" spans="1:30">
      <c r="A35" s="2625"/>
      <c r="B35" s="3289" t="s">
        <v>2911</v>
      </c>
      <c r="C35" s="3289"/>
      <c r="D35" s="3289"/>
      <c r="E35" s="3289"/>
      <c r="F35" s="673">
        <f>C10</f>
        <v>0</v>
      </c>
      <c r="G35" s="2859"/>
      <c r="H35" s="2859"/>
      <c r="I35" s="2859"/>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2"/>
      <c r="T35" s="335" t="str">
        <f>IF(T34="一通",L35,IF(T34="二通",M35,IF(T34="三通",N35,IF(T34="四通",O35,IF(T34="五通",P35,IF(T34="六通",Q35,R35))))))</f>
        <v>、、、、、、</v>
      </c>
      <c r="U35" s="2635"/>
      <c r="V35" s="2635"/>
    </row>
    <row r="36" spans="1:30">
      <c r="A36" s="2626"/>
      <c r="B36" s="673" t="s">
        <v>2870</v>
      </c>
      <c r="C36" s="673" t="s">
        <v>2871</v>
      </c>
      <c r="D36" s="673" t="s">
        <v>2869</v>
      </c>
      <c r="E36" s="673" t="s">
        <v>2874</v>
      </c>
      <c r="F36" s="2865"/>
      <c r="G36" s="2859"/>
      <c r="H36" s="2859"/>
      <c r="I36" s="2859"/>
      <c r="J36" s="2635"/>
      <c r="K36" s="2810"/>
      <c r="L36" s="2807"/>
      <c r="M36" s="2807"/>
      <c r="N36" s="2635"/>
      <c r="O36" s="2646"/>
      <c r="P36" s="2635"/>
      <c r="Q36" s="2635"/>
      <c r="R36" s="2635"/>
      <c r="S36" s="2635"/>
      <c r="T36" s="2635"/>
      <c r="U36" s="2635"/>
      <c r="V36" s="2635"/>
    </row>
    <row r="37" spans="1:30">
      <c r="A37" s="2825" t="s">
        <v>2912</v>
      </c>
      <c r="B37" s="2627"/>
      <c r="C37" s="2627"/>
      <c r="D37" s="2627"/>
      <c r="E37" s="2627" t="s">
        <v>530</v>
      </c>
      <c r="F37" s="2865"/>
      <c r="G37" s="2859"/>
      <c r="H37" s="2859"/>
      <c r="I37" s="2859"/>
      <c r="J37" s="2635"/>
      <c r="K37" s="2810"/>
      <c r="L37" s="2807"/>
      <c r="M37" s="2807"/>
      <c r="N37" s="2635"/>
      <c r="O37" s="2646"/>
      <c r="P37" s="2635"/>
      <c r="Q37" s="2635"/>
      <c r="R37" s="2635"/>
      <c r="S37" s="2635"/>
      <c r="T37" s="2635"/>
      <c r="U37" s="2635"/>
      <c r="V37" s="2635"/>
    </row>
    <row r="38" spans="1:30" ht="13.5" thickBot="1">
      <c r="A38" s="2826" t="s">
        <v>2913</v>
      </c>
      <c r="B38" s="2628"/>
      <c r="C38" s="2628"/>
      <c r="D38" s="2628"/>
      <c r="E38" s="2628" t="s">
        <v>318</v>
      </c>
      <c r="F38" s="2866"/>
      <c r="G38" s="2860"/>
      <c r="H38" s="2860"/>
      <c r="I38" s="2860"/>
      <c r="J38" s="2635"/>
      <c r="K38" s="2810"/>
      <c r="L38" s="2807"/>
      <c r="M38" s="2807"/>
      <c r="N38" s="2635"/>
      <c r="O38" s="2646"/>
      <c r="P38" s="2635"/>
      <c r="Q38" s="2635"/>
      <c r="R38" s="2635"/>
      <c r="S38" s="2635"/>
      <c r="T38" s="2635"/>
      <c r="U38" s="2635"/>
      <c r="V38" s="2635"/>
    </row>
    <row r="39" spans="1:30" s="2631" customFormat="1" ht="14.25" thickTop="1" thickBot="1">
      <c r="A39" s="2629" t="s">
        <v>2914</v>
      </c>
      <c r="B39" s="2630"/>
      <c r="C39" s="2630"/>
      <c r="D39" s="2630"/>
      <c r="E39" s="2630"/>
      <c r="F39" s="2630"/>
      <c r="G39" s="2630"/>
      <c r="H39" s="2630"/>
      <c r="I39" s="2630"/>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7"/>
      <c r="M40" s="2647"/>
      <c r="N40" s="2703"/>
      <c r="O40" s="2647"/>
      <c r="P40" s="2635"/>
      <c r="Q40" s="2635"/>
      <c r="R40" s="2635"/>
      <c r="S40" s="2635"/>
      <c r="T40" s="2635"/>
      <c r="U40" s="2635"/>
      <c r="V40" s="2635"/>
    </row>
    <row r="41" spans="1:30">
      <c r="A41" s="2632" t="s">
        <v>2915</v>
      </c>
      <c r="B41" s="1913"/>
      <c r="C41" s="1527"/>
      <c r="D41" s="2564"/>
      <c r="E41" s="2564"/>
      <c r="F41" s="2564"/>
      <c r="G41" s="2564"/>
      <c r="H41" s="2564"/>
      <c r="I41" s="1731"/>
      <c r="J41" s="2635"/>
      <c r="K41" s="2810"/>
      <c r="L41" s="2807"/>
      <c r="M41" s="2807"/>
      <c r="N41" s="2635"/>
      <c r="O41" s="2646"/>
      <c r="P41" s="2635"/>
      <c r="Q41" s="2635"/>
      <c r="R41" s="2635"/>
      <c r="S41" s="2635"/>
      <c r="T41" s="2635"/>
      <c r="U41" s="2635"/>
      <c r="V41" s="2635"/>
    </row>
    <row r="42" spans="1:30" ht="25.5">
      <c r="A42" s="329" t="s">
        <v>2916</v>
      </c>
      <c r="B42" s="11" t="s">
        <v>2917</v>
      </c>
      <c r="C42" s="11" t="s">
        <v>2918</v>
      </c>
      <c r="D42" s="11" t="s">
        <v>2919</v>
      </c>
      <c r="E42" s="11" t="s">
        <v>2920</v>
      </c>
      <c r="F42" s="11" t="s">
        <v>2921</v>
      </c>
      <c r="G42" s="11" t="s">
        <v>2922</v>
      </c>
      <c r="H42" s="11" t="s">
        <v>2923</v>
      </c>
      <c r="I42" s="11" t="s">
        <v>2924</v>
      </c>
      <c r="J42" s="2821" t="s">
        <v>2925</v>
      </c>
      <c r="K42" s="2822" t="s">
        <v>2926</v>
      </c>
      <c r="L42" s="2822" t="s">
        <v>2927</v>
      </c>
      <c r="M42" s="2822" t="s">
        <v>2928</v>
      </c>
      <c r="N42" s="2815" t="s">
        <v>2929</v>
      </c>
      <c r="O42" s="2815" t="s">
        <v>2930</v>
      </c>
      <c r="P42" s="2815" t="s">
        <v>2931</v>
      </c>
      <c r="Q42" s="2816" t="s">
        <v>2932</v>
      </c>
      <c r="R42" s="2816" t="s">
        <v>2933</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2" sqref="G22"/>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1949.77</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1949.77</v>
      </c>
      <c r="H5" s="16">
        <f t="shared" ref="H5:AT5" si="0">SUM(H13:H656)</f>
        <v>1949.77</v>
      </c>
      <c r="I5" s="16">
        <f t="shared" si="0"/>
        <v>1949.77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1949.77</v>
      </c>
      <c r="BA5" s="18">
        <f t="shared" si="1"/>
        <v>1949.77</v>
      </c>
      <c r="BB5" s="18">
        <f t="shared" si="1"/>
        <v>1949.77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3123</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3122</v>
      </c>
      <c r="E13" s="16">
        <f>IF($C$3="是",ROUND($A$3*G13/$B$3,2),ROUND($A$3*(G13-AT13)/$B$3,2))</f>
        <v>0</v>
      </c>
      <c r="F13" s="32"/>
      <c r="G13" s="33">
        <f>H13+AC13+AT13</f>
        <v>1949.77</v>
      </c>
      <c r="H13" s="20">
        <f>SUMIF(I$12:AB$12,"总值",I13:AB13)</f>
        <v>1949.77</v>
      </c>
      <c r="I13" s="1781">
        <v>1949.77</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1949.77</v>
      </c>
      <c r="BA13" s="16">
        <f>SUM(BB13:BK13)</f>
        <v>1949.77</v>
      </c>
      <c r="BB13" s="16">
        <f>IF($D13="是",I13-J13,0)</f>
        <v>1949.77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0" t="s">
        <v>0</v>
      </c>
      <c r="B1" s="3290" t="s">
        <v>4</v>
      </c>
      <c r="C1" s="3290" t="s">
        <v>5</v>
      </c>
      <c r="D1" s="3291" t="s">
        <v>53</v>
      </c>
      <c r="E1" s="3291" t="s">
        <v>54</v>
      </c>
      <c r="F1" s="3291"/>
      <c r="G1" s="3291"/>
      <c r="H1" s="3291"/>
      <c r="I1" s="3291"/>
      <c r="J1" s="3291"/>
      <c r="K1" s="3291"/>
      <c r="L1" s="3291"/>
      <c r="M1" s="3291"/>
    </row>
    <row r="2" spans="1:13" ht="27" customHeight="1">
      <c r="A2" s="3290"/>
      <c r="B2" s="3290"/>
      <c r="C2" s="3290"/>
      <c r="D2" s="3291"/>
      <c r="E2" s="3291" t="s">
        <v>37</v>
      </c>
      <c r="F2" s="3291" t="s">
        <v>38</v>
      </c>
      <c r="G2" s="3291"/>
      <c r="H2" s="3291"/>
      <c r="I2" s="3291"/>
      <c r="J2" s="3291" t="s">
        <v>39</v>
      </c>
      <c r="K2" s="3291"/>
      <c r="L2" s="3291"/>
      <c r="M2" s="3291"/>
    </row>
    <row r="3" spans="1:13" ht="28.5">
      <c r="A3" s="3290"/>
      <c r="B3" s="3290"/>
      <c r="C3" s="3290"/>
      <c r="D3" s="3291"/>
      <c r="E3" s="32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1" t="s">
        <v>55</v>
      </c>
      <c r="B9" s="3291"/>
      <c r="C9" s="32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1" t="s">
        <v>1757</v>
      </c>
      <c r="B2" s="3301"/>
      <c r="C2" s="3301"/>
      <c r="D2" s="904" t="s">
        <v>1733</v>
      </c>
      <c r="E2" s="1794" t="s">
        <v>1734</v>
      </c>
      <c r="F2" s="2854"/>
      <c r="G2" s="2845"/>
      <c r="H2" s="2846"/>
      <c r="I2" s="2518" t="s">
        <v>1758</v>
      </c>
      <c r="J2" s="2854"/>
      <c r="K2" s="2854"/>
      <c r="L2" s="2854"/>
      <c r="M2" s="2854"/>
      <c r="N2" s="2856"/>
      <c r="O2" s="2854"/>
      <c r="P2" s="2854"/>
    </row>
    <row r="3" spans="1:16" ht="15.75" thickBot="1">
      <c r="A3" s="3302" t="s">
        <v>1731</v>
      </c>
      <c r="B3" s="3302"/>
      <c r="C3" s="3302"/>
      <c r="D3" s="46">
        <f>'数据-基础表'!AY6</f>
        <v>0</v>
      </c>
      <c r="E3" s="46">
        <f>'数据-基础表'!AZ5</f>
        <v>1949.77</v>
      </c>
      <c r="F3" s="2854"/>
      <c r="G3" s="1279"/>
      <c r="H3" s="1157" t="s">
        <v>1732</v>
      </c>
      <c r="I3" s="964" t="e">
        <f>ROUND('数据-基础表'!B3/'数据-基础表'!A3,2)</f>
        <v>#DIV/0!</v>
      </c>
      <c r="J3" s="2854"/>
      <c r="K3" s="2854"/>
      <c r="L3" s="2854"/>
      <c r="M3" s="2854"/>
      <c r="N3" s="2856"/>
      <c r="O3" s="2854"/>
      <c r="P3" s="2854"/>
    </row>
    <row r="4" spans="1:16" ht="15">
      <c r="A4" s="3303"/>
      <c r="B4" s="3304"/>
      <c r="C4" s="3305"/>
      <c r="D4" s="1796" t="s">
        <v>1733</v>
      </c>
      <c r="E4" s="1797" t="s">
        <v>1734</v>
      </c>
      <c r="F4" s="2854"/>
      <c r="G4" s="2847" t="s">
        <v>1759</v>
      </c>
      <c r="H4" s="1157" t="s">
        <v>1739</v>
      </c>
      <c r="I4" s="964" t="e">
        <f>ROUND(SUMIF('数据-基础表'!I9:AS9,"地上",'数据-基础表'!I5:AS5)/'数据-基础表'!A3,2)</f>
        <v>#DIV/0!</v>
      </c>
      <c r="J4" s="2854"/>
      <c r="K4" s="2854"/>
      <c r="L4" s="2854"/>
      <c r="M4" s="2854"/>
      <c r="N4" s="2856"/>
      <c r="O4" s="2854"/>
      <c r="P4" s="2854"/>
    </row>
    <row r="5" spans="1:16">
      <c r="A5" s="47" t="s">
        <v>1735</v>
      </c>
      <c r="B5" s="3306" t="s">
        <v>1736</v>
      </c>
      <c r="C5" s="3306"/>
      <c r="D5" s="48">
        <f>ROUND($D$3*E5/$E$3,2)</f>
        <v>0</v>
      </c>
      <c r="E5" s="49">
        <f>SUMIF('数据-基础表'!$11:$11,"住宅",'数据-基础表'!$5:$5)</f>
        <v>0</v>
      </c>
      <c r="F5" s="2854"/>
      <c r="G5" s="1279"/>
      <c r="H5" s="1157" t="s">
        <v>1732</v>
      </c>
      <c r="I5" s="964" t="e">
        <f>ROUND(E31/D31,2)</f>
        <v>#DIV/0!</v>
      </c>
      <c r="J5" s="2854"/>
      <c r="K5" s="2854"/>
      <c r="L5" s="2854"/>
      <c r="M5" s="2854"/>
      <c r="N5" s="2854"/>
      <c r="O5" s="2854"/>
      <c r="P5" s="2854"/>
    </row>
    <row r="6" spans="1:16" ht="15" thickBot="1">
      <c r="A6" s="1799"/>
      <c r="B6" s="3306" t="s">
        <v>1737</v>
      </c>
      <c r="C6" s="3306"/>
      <c r="D6" s="48">
        <f>ROUND($D$3*E6/$E$3,2)</f>
        <v>0</v>
      </c>
      <c r="E6" s="49">
        <f>E3-E5</f>
        <v>1949.77</v>
      </c>
      <c r="F6" s="2854"/>
      <c r="G6" s="2848" t="s">
        <v>1738</v>
      </c>
      <c r="H6" s="1280" t="s">
        <v>1739</v>
      </c>
      <c r="I6" s="2849" t="e">
        <f>ROUND(F31/D31,2)</f>
        <v>#DIV/0!</v>
      </c>
      <c r="J6" s="2854"/>
      <c r="K6" s="2854"/>
      <c r="L6" s="2854"/>
      <c r="M6" s="2854"/>
      <c r="N6" s="2854"/>
      <c r="O6" s="2854"/>
      <c r="P6" s="2854"/>
    </row>
    <row r="7" spans="1:16" ht="15.75" thickBot="1">
      <c r="A7" s="3298"/>
      <c r="B7" s="3299"/>
      <c r="C7" s="3300"/>
      <c r="D7" s="1796" t="s">
        <v>1733</v>
      </c>
      <c r="E7" s="1800" t="s">
        <v>1740</v>
      </c>
      <c r="F7" s="2854"/>
      <c r="G7" s="2850" t="s">
        <v>1741</v>
      </c>
      <c r="H7" s="2851"/>
      <c r="I7" s="2852">
        <v>1.47</v>
      </c>
      <c r="J7" s="2854"/>
      <c r="K7" s="2854"/>
      <c r="L7" s="2854"/>
      <c r="M7" s="2854"/>
      <c r="N7" s="2854"/>
      <c r="O7" s="2854"/>
      <c r="P7" s="2854"/>
    </row>
    <row r="8" spans="1:16">
      <c r="A8" s="47" t="s">
        <v>1742</v>
      </c>
      <c r="B8" s="50" t="s">
        <v>1743</v>
      </c>
      <c r="C8" s="48" t="s">
        <v>1744</v>
      </c>
      <c r="D8" s="48">
        <f t="shared" ref="D8:D15" si="0">ROUND($D$3*E8/$E$3,2)</f>
        <v>0</v>
      </c>
      <c r="E8" s="51">
        <f>SUMIF('数据-基础表'!BB10:BK10,"地上",'数据-基础表'!BB5:BK5)</f>
        <v>1949.77</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0</v>
      </c>
      <c r="E16" s="53">
        <f>SUM(E8:E15)</f>
        <v>1949.77</v>
      </c>
      <c r="F16" s="2854"/>
      <c r="G16" s="2855"/>
      <c r="H16" s="1803" t="s">
        <v>1761</v>
      </c>
      <c r="I16" s="1804"/>
      <c r="J16" s="1273"/>
      <c r="K16" s="3295" t="s">
        <v>1761</v>
      </c>
      <c r="L16" s="3296"/>
      <c r="M16" s="3296"/>
      <c r="N16" s="3296"/>
      <c r="O16" s="3296"/>
      <c r="P16" s="3297"/>
    </row>
    <row r="17" spans="1:19" ht="15">
      <c r="A17" s="1805" t="s">
        <v>1762</v>
      </c>
      <c r="B17" s="1806" t="s">
        <v>1763</v>
      </c>
      <c r="C17" s="1807" t="s">
        <v>1764</v>
      </c>
      <c r="D17" s="1808" t="s">
        <v>1752</v>
      </c>
      <c r="E17" s="1809" t="s">
        <v>1753</v>
      </c>
      <c r="F17" s="1810"/>
      <c r="G17" s="1811"/>
      <c r="H17" s="1812" t="s">
        <v>1765</v>
      </c>
      <c r="I17" s="1813" t="s">
        <v>1750</v>
      </c>
      <c r="J17" s="1273"/>
      <c r="K17" s="3292" t="s">
        <v>1766</v>
      </c>
      <c r="L17" s="3293"/>
      <c r="M17" s="3294"/>
      <c r="N17" s="3292" t="s">
        <v>1767</v>
      </c>
      <c r="O17" s="3293"/>
      <c r="P17" s="3294"/>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5" t="s">
        <v>3125</v>
      </c>
      <c r="D19" s="48">
        <f>ROUND($D$3*E19/$E$3,2)</f>
        <v>0</v>
      </c>
      <c r="E19" s="56">
        <f t="shared" ref="E19:E26" si="1">SUM(F19:G19)</f>
        <v>1949.77</v>
      </c>
      <c r="F19" s="2994">
        <f>'数据-基础表'!I13</f>
        <v>1949.77</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1949.77</v>
      </c>
    </row>
    <row r="20" spans="1:19">
      <c r="A20" s="1826"/>
      <c r="B20" s="50" t="s">
        <v>1779</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1949.77</v>
      </c>
      <c r="F27" s="1274">
        <f>IF(SUM(F19:F26)=E8,SUM(F19:F26),"地上面积有误")</f>
        <v>1949.77</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1949.77</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0</v>
      </c>
      <c r="E31" s="685">
        <f>E27+E30</f>
        <v>1949.77</v>
      </c>
      <c r="F31" s="686">
        <f>F27+F30</f>
        <v>1949.77</v>
      </c>
      <c r="G31" s="687">
        <f>G27+G30</f>
        <v>0</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K6" sqref="K6"/>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1787</v>
      </c>
      <c r="B2" s="1176">
        <f>项目基本情况!D3</f>
        <v>44781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3126</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工业用房</v>
      </c>
      <c r="B6" s="1869" t="str">
        <f>IF(A6=0,"","经营性")</f>
        <v>经营性</v>
      </c>
      <c r="C6" s="1870" t="s">
        <v>6</v>
      </c>
      <c r="D6" s="967">
        <f>SUMIF(项目基本情况!D$12:I$12,C6,项目基本情况!D$14:I$14)</f>
        <v>50</v>
      </c>
      <c r="E6" s="966">
        <f>IF(B6="","",SUMIF(项目基本情况!D$12:I$12,C6,项目基本情况!D$13:I$13))</f>
        <v>59184</v>
      </c>
      <c r="F6" s="68">
        <f>SUMIF(项目基本情况!D$12:I$12,C6,项目基本情况!D$15:I$15)</f>
        <v>39.46</v>
      </c>
      <c r="G6" s="69">
        <f>IF(ISERROR(ROUND(POWER(1+H6,D6-F6)*(POWER(1+H6,F6)-1)/(POWER(1+H6,D6)-1),3)),0,ROUND(POWER(1+H6,D6-F6)*(POWER(1+H6,F6)-1)/(POWER(1+H6,D6)-1),3))</f>
        <v>0.92700000000000005</v>
      </c>
      <c r="H6" s="741">
        <v>4.4999999999999998E-2</v>
      </c>
      <c r="I6" s="741">
        <v>0.05</v>
      </c>
      <c r="J6" s="70">
        <v>7.4999999999999997E-2</v>
      </c>
      <c r="K6" s="1161">
        <f>SUMIF('数据-汇总表'!C$19:C$33,A6,'数据-汇总表'!E$19:E$33)</f>
        <v>1949.77</v>
      </c>
      <c r="L6" s="742">
        <v>3500</v>
      </c>
      <c r="M6" s="71">
        <f t="shared" ref="M6:M14" si="0">ROUND(K6*L6/10000,0)</f>
        <v>682</v>
      </c>
      <c r="N6" s="740">
        <v>0.82</v>
      </c>
      <c r="O6" s="71" t="str">
        <f>IF($N$5="成新度","——",ROUND(M6*N6,0))</f>
        <v>——</v>
      </c>
      <c r="P6" s="72" t="str">
        <f>IF($N$5="成新度","——",M6-O6)</f>
        <v>——</v>
      </c>
      <c r="Q6" s="743">
        <v>0.1</v>
      </c>
      <c r="R6" s="73">
        <f ca="1">SUMIF('数据-汇总表'!C$19:C$33,A6,'数据-汇总表'!R$19:R$27)</f>
        <v>0</v>
      </c>
      <c r="S6" s="54">
        <f>IF('数据-汇总表'!$I$17="按面积比例",SUMIF('数据-汇总表'!C$19:C$33,A6,'数据-汇总表'!K$19:K$33),SUMIF('数据-汇总表'!C$19:C$33,A6,'数据-汇总表'!N$19:N$33))</f>
        <v>0</v>
      </c>
      <c r="T6" s="1306">
        <f>ROUND($L$14*S6/10000,0)</f>
        <v>0</v>
      </c>
      <c r="U6" s="74">
        <v>1.1000000000000001</v>
      </c>
      <c r="V6" s="75">
        <v>0.02</v>
      </c>
      <c r="W6" s="75">
        <v>0.1</v>
      </c>
      <c r="X6" s="1171"/>
      <c r="Y6" s="76">
        <f>N6</f>
        <v>0.82</v>
      </c>
      <c r="Z6" s="77"/>
      <c r="AA6" s="70"/>
      <c r="AB6" s="70"/>
      <c r="AC6" s="1171"/>
      <c r="AD6" s="78"/>
      <c r="AE6" s="1172">
        <f ca="1">IF(AN6="",0,SUMIF(INDIRECT("'"&amp;AN6&amp;"'"&amp;"!E:E"),$AE$5,INDIRECT("'"&amp;AN6&amp;"'"&amp;"!F:F")))</f>
        <v>39.46</v>
      </c>
      <c r="AF6" s="1502"/>
      <c r="AG6" s="143">
        <f>IF(AF6="",0,AE6-AF6)</f>
        <v>0</v>
      </c>
      <c r="AH6" s="79"/>
      <c r="AI6" s="81">
        <v>365</v>
      </c>
      <c r="AJ6" s="82"/>
      <c r="AK6" s="83">
        <v>0.01</v>
      </c>
      <c r="AL6" s="84">
        <v>1E-3</v>
      </c>
      <c r="AM6" s="85">
        <v>0.01</v>
      </c>
      <c r="AN6" s="1871" t="s">
        <v>3175</v>
      </c>
      <c r="AO6" s="55">
        <f ca="1">SUMIF(INDIRECT("'"&amp;AN6&amp;"'"&amp;"!A:A"),"总价",INDIRECT("'"&amp;AN6&amp;"'"&amp;"!B:B"))</f>
        <v>1108</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0.92700000000000005</v>
      </c>
      <c r="H16" s="95">
        <f>ROUND(SUMPRODUCT(H6:H13,K6:K13)/SUMPRODUCT((H6:H13&gt;0)*(K6:K13)),3)</f>
        <v>4.4999999999999998E-2</v>
      </c>
      <c r="I16" s="96"/>
      <c r="J16" s="96"/>
      <c r="K16" s="97">
        <f>SUM(K6:K15)</f>
        <v>1949.77</v>
      </c>
      <c r="L16" s="98">
        <f>ROUND(M16*10000/SUM(K6:K14),0)</f>
        <v>3498</v>
      </c>
      <c r="M16" s="98">
        <f>SUM(M6:M14)</f>
        <v>682</v>
      </c>
      <c r="N16" s="99">
        <f>ROUND(SUMPRODUCT(M6:M14,N6:N14)/M16,3)</f>
        <v>0.82</v>
      </c>
      <c r="O16" s="98">
        <f>SUM(O6:O14)</f>
        <v>0</v>
      </c>
      <c r="P16" s="98">
        <f>SUM(P6:P14)</f>
        <v>0</v>
      </c>
      <c r="Q16" s="100">
        <f>ROUND(SUMPRODUCT(Q6:Q13,K6:K13)/SUMPRODUCT((Q6:Q13&gt;0)*(K6:K13)),2)</f>
        <v>0.1</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v>2013</v>
      </c>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f>2022-N17</f>
        <v>9</v>
      </c>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1837</v>
      </c>
      <c r="B19" s="108">
        <v>0</v>
      </c>
      <c r="C19" s="2998" t="s">
        <v>2978</v>
      </c>
      <c r="D19" s="2873"/>
      <c r="E19" s="2870"/>
      <c r="F19" s="2870"/>
      <c r="G19" s="2870"/>
      <c r="H19" s="2870"/>
      <c r="I19" s="2870"/>
      <c r="J19" s="2870"/>
      <c r="K19" s="2869"/>
      <c r="L19" s="2869"/>
      <c r="M19" s="2868"/>
      <c r="N19" s="2868">
        <f>41/50</f>
        <v>0.82</v>
      </c>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1838</v>
      </c>
      <c r="B20" s="109">
        <v>1</v>
      </c>
      <c r="C20" s="2999" t="s">
        <v>2976</v>
      </c>
      <c r="D20" s="2873"/>
      <c r="E20" s="2870"/>
      <c r="F20" s="2870"/>
      <c r="G20" s="2870"/>
      <c r="H20" s="2870"/>
      <c r="I20" s="2870"/>
      <c r="J20" s="2870"/>
      <c r="K20" s="2869"/>
      <c r="L20" s="2869"/>
      <c r="M20" s="2868"/>
      <c r="N20" s="2868">
        <v>0.85</v>
      </c>
      <c r="O20" s="2868">
        <f>(N19+N20)/2</f>
        <v>0.83499999999999996</v>
      </c>
      <c r="P20" s="2868">
        <f ca="1">结果表!G19</f>
        <v>1054</v>
      </c>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1839</v>
      </c>
      <c r="B21" s="109">
        <v>1</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1840</v>
      </c>
      <c r="B22" s="110">
        <f>B19+B20</f>
        <v>1</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1841</v>
      </c>
      <c r="B23" s="110">
        <f>B19+B21</f>
        <v>1</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1843</v>
      </c>
      <c r="B26" s="1882"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1846</v>
      </c>
      <c r="B27" s="112">
        <v>140</v>
      </c>
      <c r="C27" s="3000" t="s">
        <v>2980</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170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33</v>
      </c>
      <c r="C29" s="3001" t="s">
        <v>2967</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2" t="s">
        <v>2968</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2" t="s">
        <v>2969</v>
      </c>
      <c r="D34" s="2881" t="s">
        <v>2977</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2" t="s">
        <v>2970</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2" t="s">
        <v>2971</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1856</v>
      </c>
      <c r="B37" s="120">
        <v>0.03</v>
      </c>
      <c r="C37" s="3002" t="s">
        <v>2972</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1857</v>
      </c>
      <c r="B38" s="118">
        <v>0.03</v>
      </c>
      <c r="C38" s="3002" t="s">
        <v>2972</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3128</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1862</v>
      </c>
      <c r="B44" s="124">
        <v>0.05</v>
      </c>
      <c r="C44" s="3002" t="s">
        <v>2981</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1863</v>
      </c>
      <c r="B45" s="122">
        <v>0.03</v>
      </c>
      <c r="C45" s="3001" t="s">
        <v>2973</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1864</v>
      </c>
      <c r="B46" s="122">
        <v>0.02</v>
      </c>
      <c r="C46" s="3001" t="s">
        <v>2974</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1865</v>
      </c>
      <c r="B47" s="125"/>
      <c r="C47" s="3004" t="s">
        <v>2982</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1866</v>
      </c>
      <c r="B48" s="126">
        <v>0.03</v>
      </c>
      <c r="C48" s="3001" t="s">
        <v>2973</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1867</v>
      </c>
      <c r="B49" s="122">
        <v>5.0000000000000001E-4</v>
      </c>
      <c r="C49" s="3001" t="s">
        <v>2975</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1870</v>
      </c>
      <c r="B52" s="129">
        <f>SUMIF(A54:A63,B53,B54:B63)</f>
        <v>0</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1871</v>
      </c>
      <c r="B53" s="1894"/>
      <c r="C53" s="2856" t="s">
        <v>1872</v>
      </c>
      <c r="D53" s="3003" t="s">
        <v>2979</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1878</v>
      </c>
      <c r="B59" s="80"/>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3" customFormat="1" ht="18.75" thickBot="1">
      <c r="A1" s="3307" t="s">
        <v>2959</v>
      </c>
      <c r="B1" s="3308"/>
      <c r="C1" s="3308"/>
      <c r="D1" s="3308"/>
      <c r="E1" s="3308"/>
      <c r="F1" s="3308"/>
      <c r="G1" s="3308"/>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2956</v>
      </c>
      <c r="D2" s="2657"/>
      <c r="E2" s="2654"/>
      <c r="F2" s="2658"/>
      <c r="G2" s="2656" t="s">
        <v>2957</v>
      </c>
      <c r="H2" s="907"/>
      <c r="I2" s="907"/>
      <c r="J2" s="907"/>
      <c r="K2" s="907"/>
      <c r="L2" s="907"/>
      <c r="M2" s="907"/>
      <c r="N2" s="907"/>
      <c r="O2" s="907"/>
      <c r="P2" s="907"/>
      <c r="Q2" s="907"/>
      <c r="R2" s="907"/>
    </row>
    <row r="3" spans="1:29" ht="24">
      <c r="A3" s="2637" t="s">
        <v>2958</v>
      </c>
      <c r="B3" s="2659" t="s">
        <v>2934</v>
      </c>
      <c r="C3" s="2660"/>
      <c r="D3" s="2661"/>
      <c r="E3" s="2638" t="s">
        <v>2958</v>
      </c>
      <c r="F3" s="2662" t="s">
        <v>2935</v>
      </c>
      <c r="G3" s="3207" t="s">
        <v>3147</v>
      </c>
      <c r="H3" s="907"/>
      <c r="I3" s="907"/>
      <c r="J3" s="907"/>
      <c r="K3" s="907"/>
      <c r="L3" s="907"/>
      <c r="M3" s="907"/>
      <c r="N3" s="907"/>
      <c r="O3" s="907"/>
      <c r="P3" s="907"/>
      <c r="Q3" s="907"/>
      <c r="R3" s="907"/>
    </row>
    <row r="4" spans="1:29">
      <c r="A4" s="2638"/>
      <c r="B4" s="329" t="s">
        <v>2936</v>
      </c>
      <c r="C4" s="2663"/>
      <c r="D4" s="2661"/>
      <c r="E4" s="2664"/>
      <c r="F4" s="1527" t="s">
        <v>2937</v>
      </c>
      <c r="G4" s="3208" t="s">
        <v>3147</v>
      </c>
      <c r="H4" s="907"/>
      <c r="I4" s="907"/>
      <c r="J4" s="907"/>
      <c r="K4" s="907"/>
      <c r="L4" s="907"/>
      <c r="M4" s="907"/>
      <c r="N4" s="907"/>
      <c r="O4" s="907"/>
      <c r="P4" s="907"/>
      <c r="Q4" s="907"/>
      <c r="R4" s="907"/>
    </row>
    <row r="5" spans="1:29">
      <c r="A5" s="2638"/>
      <c r="B5" s="329" t="s">
        <v>2938</v>
      </c>
      <c r="C5" s="2663"/>
      <c r="D5" s="2661"/>
      <c r="E5" s="2664"/>
      <c r="F5" s="329" t="s">
        <v>2939</v>
      </c>
      <c r="G5" s="3208" t="s">
        <v>3173</v>
      </c>
      <c r="H5" s="907"/>
      <c r="I5" s="907"/>
      <c r="J5" s="907"/>
      <c r="K5" s="907"/>
      <c r="L5" s="907"/>
      <c r="M5" s="907"/>
      <c r="N5" s="907"/>
      <c r="O5" s="907"/>
      <c r="P5" s="907"/>
      <c r="Q5" s="907"/>
      <c r="R5" s="907"/>
    </row>
    <row r="6" spans="1:29">
      <c r="A6" s="2638"/>
      <c r="B6" s="329" t="s">
        <v>2940</v>
      </c>
      <c r="C6" s="2665"/>
      <c r="D6" s="2661"/>
      <c r="E6" s="2664"/>
      <c r="F6" s="329" t="s">
        <v>2941</v>
      </c>
      <c r="G6" s="3208" t="s">
        <v>3149</v>
      </c>
      <c r="H6" s="907"/>
      <c r="I6" s="907"/>
      <c r="J6" s="907"/>
      <c r="K6" s="907"/>
      <c r="L6" s="907"/>
      <c r="M6" s="907"/>
      <c r="N6" s="907"/>
      <c r="O6" s="907"/>
      <c r="P6" s="907"/>
      <c r="Q6" s="907"/>
      <c r="R6" s="907"/>
    </row>
    <row r="7" spans="1:29" ht="15" thickBot="1">
      <c r="A7" s="2638"/>
      <c r="B7" s="329" t="s">
        <v>2939</v>
      </c>
      <c r="C7" s="2665"/>
      <c r="D7" s="2666"/>
      <c r="E7" s="2667"/>
      <c r="F7" s="2668" t="s">
        <v>2942</v>
      </c>
      <c r="G7" s="3209" t="s">
        <v>3146</v>
      </c>
      <c r="H7" s="907"/>
      <c r="I7" s="907"/>
      <c r="J7" s="907"/>
      <c r="K7" s="907"/>
      <c r="L7" s="907"/>
      <c r="M7" s="907"/>
      <c r="N7" s="907"/>
      <c r="O7" s="907"/>
      <c r="P7" s="907"/>
      <c r="Q7" s="907"/>
      <c r="R7" s="907"/>
    </row>
    <row r="8" spans="1:29">
      <c r="A8" s="2638"/>
      <c r="B8" s="329" t="s">
        <v>2941</v>
      </c>
      <c r="C8" s="2665"/>
      <c r="D8" s="2666"/>
      <c r="E8" s="2666"/>
      <c r="F8" s="2669"/>
      <c r="G8" s="2669"/>
      <c r="H8" s="907"/>
      <c r="I8" s="907"/>
      <c r="J8" s="907"/>
      <c r="K8" s="907"/>
      <c r="L8" s="907"/>
      <c r="M8" s="907"/>
      <c r="N8" s="907"/>
      <c r="O8" s="907"/>
      <c r="P8" s="907"/>
      <c r="Q8" s="907"/>
      <c r="R8" s="907"/>
    </row>
    <row r="9" spans="1:29">
      <c r="A9" s="2638"/>
      <c r="B9" s="329" t="s">
        <v>2943</v>
      </c>
      <c r="C9" s="2663"/>
      <c r="D9" s="2661"/>
      <c r="E9" s="2666"/>
      <c r="F9" s="2669"/>
      <c r="G9" s="2669"/>
      <c r="H9" s="907"/>
      <c r="I9" s="907"/>
      <c r="J9" s="907"/>
      <c r="K9" s="907"/>
      <c r="L9" s="907"/>
      <c r="M9" s="907"/>
      <c r="N9" s="907"/>
      <c r="O9" s="907"/>
      <c r="P9" s="907"/>
      <c r="Q9" s="907"/>
      <c r="R9" s="907"/>
    </row>
    <row r="10" spans="1:29" s="2675" customFormat="1" ht="15" thickBot="1">
      <c r="A10" s="2639"/>
      <c r="B10" s="2670" t="s">
        <v>2944</v>
      </c>
      <c r="C10" s="2671"/>
      <c r="D10" s="2661"/>
      <c r="E10" s="2661"/>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6"/>
      <c r="C11" s="2661"/>
      <c r="D11" s="2661"/>
      <c r="E11" s="2661"/>
      <c r="F11" s="2666"/>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3" customFormat="1" ht="18">
      <c r="A12" s="2676"/>
      <c r="B12" s="2666"/>
      <c r="C12" s="2661"/>
      <c r="D12" s="2678"/>
      <c r="E12" s="2661"/>
      <c r="F12" s="2666"/>
      <c r="G12" s="2677"/>
      <c r="H12" s="2679"/>
      <c r="I12" s="2680"/>
      <c r="J12" s="2679"/>
      <c r="K12" s="2679"/>
      <c r="L12" s="2681"/>
      <c r="M12" s="2679"/>
      <c r="N12" s="2682"/>
      <c r="O12" s="2683"/>
      <c r="P12" s="2682"/>
      <c r="Q12" s="2682"/>
      <c r="R12" s="2651"/>
      <c r="S12" s="2652"/>
      <c r="T12" s="2652"/>
      <c r="U12" s="2652"/>
      <c r="V12" s="2652"/>
      <c r="W12" s="2652"/>
      <c r="X12" s="2652"/>
      <c r="Y12" s="2652"/>
      <c r="Z12" s="2652"/>
      <c r="AA12" s="2652"/>
      <c r="AB12" s="2652"/>
      <c r="AC12" s="2652"/>
    </row>
    <row r="13" spans="1:29" ht="15.75" thickBot="1">
      <c r="A13" s="2684" t="s">
        <v>2960</v>
      </c>
      <c r="B13" s="2678"/>
      <c r="C13" s="2678"/>
      <c r="D13" s="2676"/>
      <c r="E13" s="2678"/>
      <c r="F13" s="2678"/>
      <c r="G13" s="2678"/>
    </row>
    <row r="14" spans="1:29" ht="15" thickBot="1">
      <c r="A14" s="2688"/>
      <c r="B14" s="2688"/>
      <c r="C14" s="2689" t="s">
        <v>2945</v>
      </c>
      <c r="D14" s="2661"/>
      <c r="E14" s="2690"/>
      <c r="F14" s="2690"/>
      <c r="G14" s="2656" t="s">
        <v>2946</v>
      </c>
    </row>
    <row r="15" spans="1:29" ht="24">
      <c r="A15" s="2640" t="s">
        <v>2947</v>
      </c>
      <c r="B15" s="2691" t="s">
        <v>2934</v>
      </c>
      <c r="C15" s="2692">
        <f>C3</f>
        <v>0</v>
      </c>
      <c r="D15" s="2661"/>
      <c r="E15" s="2641" t="s">
        <v>2948</v>
      </c>
      <c r="F15" s="2691" t="s">
        <v>2949</v>
      </c>
      <c r="G15" s="2693" t="str">
        <f>G3</f>
        <v>一般</v>
      </c>
    </row>
    <row r="16" spans="1:29">
      <c r="A16" s="2642"/>
      <c r="B16" s="2694" t="s">
        <v>2936</v>
      </c>
      <c r="C16" s="2695">
        <f>C4</f>
        <v>0</v>
      </c>
      <c r="D16" s="2661"/>
      <c r="E16" s="2643"/>
      <c r="F16" s="2696" t="s">
        <v>2937</v>
      </c>
      <c r="G16" s="2697" t="str">
        <f>G4</f>
        <v>一般</v>
      </c>
    </row>
    <row r="17" spans="1:18">
      <c r="A17" s="2642"/>
      <c r="B17" s="2694" t="s">
        <v>2938</v>
      </c>
      <c r="C17" s="2695">
        <f>C5</f>
        <v>0</v>
      </c>
      <c r="D17" s="2666"/>
      <c r="E17" s="2643"/>
      <c r="F17" s="2696" t="s">
        <v>2950</v>
      </c>
      <c r="G17" s="3206" t="s">
        <v>3147</v>
      </c>
    </row>
    <row r="18" spans="1:18">
      <c r="A18" s="2642"/>
      <c r="B18" s="2696" t="s">
        <v>2940</v>
      </c>
      <c r="C18" s="2697">
        <f>C6</f>
        <v>0</v>
      </c>
      <c r="D18" s="2666"/>
      <c r="E18" s="2643"/>
      <c r="F18" s="2696" t="s">
        <v>2942</v>
      </c>
      <c r="G18" s="2697" t="str">
        <f>G7</f>
        <v>较好</v>
      </c>
    </row>
    <row r="19" spans="1:18">
      <c r="A19" s="2642"/>
      <c r="B19" s="2696" t="s">
        <v>2951</v>
      </c>
      <c r="C19" s="2698"/>
      <c r="D19" s="2661"/>
      <c r="E19" s="2643"/>
      <c r="F19" s="329" t="s">
        <v>2939</v>
      </c>
      <c r="G19" s="2697" t="str">
        <f>G5</f>
        <v>较差</v>
      </c>
    </row>
    <row r="20" spans="1:18">
      <c r="A20" s="2642"/>
      <c r="B20" s="2696" t="s">
        <v>2952</v>
      </c>
      <c r="C20" s="2695">
        <f>C9</f>
        <v>0</v>
      </c>
      <c r="D20" s="2666"/>
      <c r="E20" s="2643"/>
      <c r="F20" s="329" t="s">
        <v>2941</v>
      </c>
      <c r="G20" s="2697" t="str">
        <f>G6</f>
        <v>五通</v>
      </c>
    </row>
    <row r="21" spans="1:18">
      <c r="A21" s="2642"/>
      <c r="B21" s="329" t="s">
        <v>2939</v>
      </c>
      <c r="C21" s="2697">
        <f>C7</f>
        <v>0</v>
      </c>
      <c r="D21" s="2661"/>
      <c r="E21" s="2643"/>
      <c r="F21" s="2696" t="s">
        <v>2953</v>
      </c>
      <c r="G21" s="2699" t="s">
        <v>3150</v>
      </c>
    </row>
    <row r="22" spans="1:18" ht="13.5" customHeight="1">
      <c r="A22" s="2642"/>
      <c r="B22" s="329" t="s">
        <v>2941</v>
      </c>
      <c r="C22" s="2697">
        <f>C8</f>
        <v>0</v>
      </c>
      <c r="D22" s="2661"/>
      <c r="E22" s="2643"/>
      <c r="F22" s="2696" t="s">
        <v>2944</v>
      </c>
      <c r="G22" s="2698"/>
    </row>
    <row r="23" spans="1:18" s="907" customFormat="1" ht="15" thickBot="1">
      <c r="A23" s="2642"/>
      <c r="B23" s="2696" t="s">
        <v>2953</v>
      </c>
      <c r="C23" s="2699"/>
      <c r="D23" s="1897"/>
      <c r="E23" s="2644"/>
      <c r="F23" s="2700" t="s">
        <v>2954</v>
      </c>
      <c r="G23" s="2701"/>
      <c r="H23" s="2685"/>
      <c r="I23" s="2686"/>
      <c r="J23" s="2685"/>
      <c r="K23" s="2685"/>
      <c r="L23" s="2686"/>
      <c r="M23" s="2685"/>
      <c r="N23" s="2685"/>
      <c r="O23" s="2686"/>
      <c r="P23" s="2685"/>
      <c r="Q23" s="2685"/>
      <c r="R23" s="2687"/>
    </row>
    <row r="24" spans="1:18" s="907" customFormat="1" ht="15" thickBot="1">
      <c r="A24" s="2645"/>
      <c r="B24" s="2700" t="s">
        <v>2955</v>
      </c>
      <c r="C24" s="2702">
        <f>C10</f>
        <v>0</v>
      </c>
      <c r="D24" s="1897"/>
      <c r="E24" s="2635"/>
      <c r="F24" s="2635"/>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25" sqref="C25"/>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1949.77</v>
      </c>
      <c r="C1" s="2883"/>
      <c r="D1" s="2883"/>
      <c r="E1" s="2883"/>
      <c r="F1" s="2883"/>
      <c r="G1" s="2884"/>
      <c r="H1" s="2885"/>
      <c r="I1" s="2885"/>
      <c r="J1" s="2885"/>
      <c r="K1" s="2885"/>
    </row>
    <row r="2" spans="1:11" ht="16.5">
      <c r="A2" s="2706" t="s">
        <v>1259</v>
      </c>
      <c r="B2" s="2706">
        <f>SUM(C14:C23)</f>
        <v>0</v>
      </c>
      <c r="C2" s="2883"/>
      <c r="D2" s="2883"/>
      <c r="E2" s="2883"/>
      <c r="F2" s="2883"/>
      <c r="G2" s="2884"/>
      <c r="H2" s="2885"/>
      <c r="I2" s="2885"/>
      <c r="J2" s="2885"/>
      <c r="K2" s="2885"/>
    </row>
    <row r="3" spans="1:11" ht="16.5">
      <c r="A3" s="2706" t="s">
        <v>1268</v>
      </c>
      <c r="B3" s="2708">
        <f>项目基本情况!D3</f>
        <v>44781</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1054</v>
      </c>
      <c r="C5" s="2706">
        <f ca="1">ROUND(B5*10000/$B$1,0)</f>
        <v>5406</v>
      </c>
      <c r="D5" s="2706" t="e">
        <f ca="1">ROUND(B5*10000/$B$2,0)</f>
        <v>#DIV/0!</v>
      </c>
      <c r="E5" s="2883"/>
      <c r="F5" s="2884"/>
      <c r="G5" s="2884"/>
      <c r="H5" s="2885"/>
      <c r="I5" s="2885"/>
      <c r="J5" s="2885"/>
      <c r="K5" s="2885"/>
    </row>
    <row r="6" spans="1:11" ht="16.5">
      <c r="A6" s="2706" t="s">
        <v>1262</v>
      </c>
      <c r="B6" s="2706">
        <f ca="1">SUM(G14:G23)</f>
        <v>1054</v>
      </c>
      <c r="C6" s="2706">
        <f ca="1">ROUND(B6*10000/$B$1,0)</f>
        <v>5406</v>
      </c>
      <c r="D6" s="2706" t="e">
        <f ca="1">ROUND(B6*10000/$B$2,0)</f>
        <v>#DIV/0!</v>
      </c>
      <c r="E6" s="2883"/>
      <c r="F6" s="2884"/>
      <c r="G6" s="2884"/>
      <c r="H6" s="2885"/>
      <c r="I6" s="2885"/>
      <c r="J6" s="2885"/>
      <c r="K6" s="2885"/>
    </row>
    <row r="7" spans="1:11" ht="16.5">
      <c r="A7" s="2706" t="s">
        <v>1270</v>
      </c>
      <c r="B7" s="2706">
        <f>SUM(H14:H23)</f>
        <v>0</v>
      </c>
      <c r="C7" s="2706">
        <f>ROUND(B7*10000/$B$1,0)</f>
        <v>0</v>
      </c>
      <c r="D7" s="2706" t="e">
        <f>ROUND(B7*10000/$B$2,0)</f>
        <v>#DIV/0!</v>
      </c>
      <c r="E7" s="2883"/>
      <c r="F7" s="2884"/>
      <c r="G7" s="2884"/>
      <c r="H7" s="2885"/>
      <c r="I7" s="2885"/>
      <c r="J7" s="2885"/>
      <c r="K7" s="2885"/>
    </row>
    <row r="8" spans="1:11" ht="16.5">
      <c r="A8" s="2706" t="s">
        <v>1193</v>
      </c>
      <c r="B8" s="2706">
        <f>SUM(I14:I23)</f>
        <v>0</v>
      </c>
      <c r="C8" s="2706">
        <f>ROUND(B8*10000/$B$1,0)</f>
        <v>0</v>
      </c>
      <c r="D8" s="2706" t="e">
        <f>ROUND(B8*10000/$B$2,0)</f>
        <v>#DIV/0!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1949.77</v>
      </c>
      <c r="C14" s="2712">
        <f>结果表!C118</f>
        <v>0</v>
      </c>
      <c r="D14" s="2712">
        <f ca="1">结果表!H118</f>
        <v>1054</v>
      </c>
      <c r="E14" s="2712">
        <f ca="1">ROUND(D14*10000/B14,0)</f>
        <v>5406</v>
      </c>
      <c r="F14" s="2712" t="e">
        <f ca="1">ROUND(D14*10000/C14,0)</f>
        <v>#DIV/0!</v>
      </c>
      <c r="G14" s="2712">
        <f ca="1">结果表!D122</f>
        <v>1054</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0" zoomScaleNormal="100" zoomScaleSheetLayoutView="80" zoomScalePageLayoutView="80" workbookViewId="0">
      <selection activeCell="K13" sqref="K13"/>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t="s">
        <v>3129</v>
      </c>
      <c r="H1" s="1906" t="str">
        <f>IF(G1="现房","——","估价对象范围")</f>
        <v>——</v>
      </c>
      <c r="I1" s="1907" t="s">
        <v>3130</v>
      </c>
    </row>
    <row r="2" spans="1:12" ht="21.75" customHeight="1" thickBot="1">
      <c r="A2" s="3379" t="str">
        <f>项目基本情况!S2</f>
        <v>北京市房地产</v>
      </c>
      <c r="B2" s="3380"/>
      <c r="C2" s="3380"/>
      <c r="D2" s="3380"/>
      <c r="E2" s="3380"/>
      <c r="F2" s="3380"/>
      <c r="G2" s="3380"/>
      <c r="H2" s="3380"/>
      <c r="I2" s="3381"/>
    </row>
    <row r="3" spans="1:12" ht="12.75">
      <c r="A3" s="3383" t="s">
        <v>1890</v>
      </c>
      <c r="B3" s="3384"/>
      <c r="C3" s="3384"/>
      <c r="D3" s="3384"/>
      <c r="E3" s="3384"/>
      <c r="F3" s="3384"/>
      <c r="G3" s="3384"/>
      <c r="H3" s="3384"/>
      <c r="I3" s="3384"/>
    </row>
    <row r="4" spans="1:12" ht="14.25">
      <c r="A4" s="1910" t="s">
        <v>1891</v>
      </c>
      <c r="B4" s="1911" t="s">
        <v>1892</v>
      </c>
      <c r="C4" s="1912" t="s">
        <v>3176</v>
      </c>
      <c r="D4" s="1912" t="s">
        <v>3175</v>
      </c>
      <c r="E4" s="3388" t="s">
        <v>1893</v>
      </c>
      <c r="F4" s="3389"/>
      <c r="G4" s="3389"/>
      <c r="H4" s="3389"/>
      <c r="I4" s="339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4" t="s">
        <v>1894</v>
      </c>
      <c r="B5" s="3382">
        <v>25</v>
      </c>
      <c r="C5" s="3385"/>
      <c r="D5" s="3373"/>
      <c r="E5" s="136" t="s">
        <v>1895</v>
      </c>
      <c r="F5" s="1913"/>
      <c r="G5" s="1913"/>
      <c r="H5" s="1913"/>
      <c r="I5" s="1527"/>
    </row>
    <row r="6" spans="1:12" ht="12.75">
      <c r="A6" s="3324"/>
      <c r="B6" s="3382"/>
      <c r="C6" s="3387"/>
      <c r="D6" s="3373"/>
      <c r="E6" s="136" t="s">
        <v>1896</v>
      </c>
      <c r="F6" s="1913"/>
      <c r="G6" s="1913"/>
      <c r="H6" s="1913"/>
      <c r="I6" s="1527"/>
    </row>
    <row r="7" spans="1:12" ht="12.75">
      <c r="A7" s="3324"/>
      <c r="B7" s="3382"/>
      <c r="C7" s="3386"/>
      <c r="D7" s="3373"/>
      <c r="E7" s="136" t="s">
        <v>1897</v>
      </c>
      <c r="F7" s="1913"/>
      <c r="G7" s="1913"/>
      <c r="H7" s="1913"/>
      <c r="I7" s="1527"/>
    </row>
    <row r="8" spans="1:12" ht="12.75">
      <c r="A8" s="3324" t="s">
        <v>1898</v>
      </c>
      <c r="B8" s="3382">
        <v>15</v>
      </c>
      <c r="C8" s="3385"/>
      <c r="D8" s="3373"/>
      <c r="E8" s="136" t="s">
        <v>1899</v>
      </c>
      <c r="F8" s="1913"/>
      <c r="G8" s="1913"/>
      <c r="H8" s="1913"/>
      <c r="I8" s="1527"/>
    </row>
    <row r="9" spans="1:12" ht="12.75">
      <c r="A9" s="3324"/>
      <c r="B9" s="3382"/>
      <c r="C9" s="3386"/>
      <c r="D9" s="3373"/>
      <c r="E9" s="136" t="s">
        <v>1900</v>
      </c>
      <c r="F9" s="1913"/>
      <c r="G9" s="1913"/>
      <c r="H9" s="1913"/>
      <c r="I9" s="1527"/>
    </row>
    <row r="10" spans="1:12" ht="12.75">
      <c r="A10" s="3324" t="s">
        <v>1901</v>
      </c>
      <c r="B10" s="3382">
        <v>15</v>
      </c>
      <c r="C10" s="3385"/>
      <c r="D10" s="3373"/>
      <c r="E10" s="136" t="s">
        <v>1902</v>
      </c>
      <c r="F10" s="1913"/>
      <c r="G10" s="1913"/>
      <c r="H10" s="1913"/>
      <c r="I10" s="1527"/>
    </row>
    <row r="11" spans="1:12" ht="12.75">
      <c r="A11" s="3324"/>
      <c r="B11" s="3382"/>
      <c r="C11" s="3386"/>
      <c r="D11" s="3373"/>
      <c r="E11" s="136" t="s">
        <v>1903</v>
      </c>
      <c r="F11" s="1913"/>
      <c r="G11" s="1913"/>
      <c r="H11" s="1913"/>
      <c r="I11" s="1527"/>
    </row>
    <row r="12" spans="1:12" ht="12.75">
      <c r="A12" s="3324" t="s">
        <v>1904</v>
      </c>
      <c r="B12" s="3382">
        <v>15</v>
      </c>
      <c r="C12" s="3385"/>
      <c r="D12" s="3373"/>
      <c r="E12" s="136" t="s">
        <v>1905</v>
      </c>
      <c r="F12" s="1913"/>
      <c r="G12" s="1913"/>
      <c r="H12" s="1913"/>
      <c r="I12" s="1527"/>
    </row>
    <row r="13" spans="1:12" ht="12.75">
      <c r="A13" s="3324"/>
      <c r="B13" s="3382"/>
      <c r="C13" s="3386"/>
      <c r="D13" s="3373"/>
      <c r="E13" s="136" t="s">
        <v>1906</v>
      </c>
      <c r="F13" s="1913"/>
      <c r="G13" s="1913"/>
      <c r="H13" s="1913"/>
      <c r="I13" s="1527"/>
    </row>
    <row r="14" spans="1:12" ht="12.75">
      <c r="A14" s="3324" t="s">
        <v>1907</v>
      </c>
      <c r="B14" s="3382">
        <v>30</v>
      </c>
      <c r="C14" s="3385">
        <v>5</v>
      </c>
      <c r="D14" s="3373">
        <f>10-C14</f>
        <v>5</v>
      </c>
      <c r="E14" s="136" t="s">
        <v>1908</v>
      </c>
      <c r="F14" s="1913"/>
      <c r="G14" s="1913"/>
      <c r="H14" s="1913"/>
      <c r="I14" s="1527"/>
    </row>
    <row r="15" spans="1:12" ht="12.75">
      <c r="A15" s="3324"/>
      <c r="B15" s="3382"/>
      <c r="C15" s="3387"/>
      <c r="D15" s="3373"/>
      <c r="E15" s="136" t="s">
        <v>1909</v>
      </c>
      <c r="F15" s="1913"/>
      <c r="G15" s="1913"/>
      <c r="H15" s="1913"/>
      <c r="I15" s="1527"/>
    </row>
    <row r="16" spans="1:12" ht="12.75">
      <c r="A16" s="3324"/>
      <c r="B16" s="3382"/>
      <c r="C16" s="3386"/>
      <c r="D16" s="3373"/>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404" t="s">
        <v>2812</v>
      </c>
      <c r="F18" s="3405"/>
      <c r="G18" s="3405"/>
      <c r="H18" s="3405"/>
      <c r="I18" s="3405"/>
      <c r="K18" s="308" t="s">
        <v>1915</v>
      </c>
      <c r="L18" s="308">
        <f>IF(C1="",'数据-汇总表'!E3,SUMIF(项目类型,C1,'数据-汇总表'!E17:E26)+SUMIF(项目类型,C1,'数据-汇总表'!I17:I26))</f>
        <v>1949.77</v>
      </c>
      <c r="M18" s="308">
        <f>IF(C1="",'数据-汇总表'!E3,SUMIF(项目类型,C1,'数据-汇总表'!E17:E26))</f>
        <v>1949.77</v>
      </c>
    </row>
    <row r="19" spans="1:36" ht="15">
      <c r="A19" s="1917" t="s">
        <v>1916</v>
      </c>
      <c r="B19" s="1918" t="s">
        <v>1917</v>
      </c>
      <c r="C19" s="139">
        <f ca="1">SUMIF(INDIRECT("'"&amp;C4&amp;"'"&amp;"!A:A"),结果表!B19,INDIRECT("'"&amp;C4&amp;"'"&amp;"!B:B"))</f>
        <v>1000</v>
      </c>
      <c r="D19" s="140">
        <f ca="1">SUMIF(INDIRECT("'"&amp;D4&amp;"'"&amp;"!A:A"),结果表!B19,INDIRECT("'"&amp;D4&amp;"'"&amp;"!B:B"))</f>
        <v>1108</v>
      </c>
      <c r="E19" s="1917" t="s">
        <v>1918</v>
      </c>
      <c r="F19" s="1918" t="s">
        <v>1917</v>
      </c>
      <c r="G19" s="141">
        <f ca="1">ROUND(C19*$C$18+D19*$D$18,0)</f>
        <v>1054</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5129</v>
      </c>
      <c r="D20" s="143">
        <f ca="1">SUMIF(INDIRECT("'"&amp;D4&amp;"'"&amp;"!A:A"),结果表!B20,INDIRECT("'"&amp;D4&amp;"'"&amp;"!B:B"))</f>
        <v>5682</v>
      </c>
      <c r="E20" s="1920"/>
      <c r="F20" s="1157" t="s">
        <v>1921</v>
      </c>
      <c r="G20" s="144">
        <f ca="1">ROUND(C20*$C$18+D20*$D$18,0)</f>
        <v>5406</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0.1080000000000001</v>
      </c>
      <c r="E22" s="134"/>
      <c r="F22" s="134"/>
      <c r="G22" s="134"/>
      <c r="H22" s="134"/>
      <c r="I22" s="134"/>
    </row>
    <row r="23" spans="1:36" ht="13.5" thickBot="1">
      <c r="A23" s="1903"/>
      <c r="B23" s="1903"/>
      <c r="C23" s="1903"/>
      <c r="D23" s="1903"/>
      <c r="E23" s="134"/>
      <c r="F23" s="134"/>
      <c r="G23" s="134"/>
      <c r="H23" s="134"/>
      <c r="I23" s="134"/>
    </row>
    <row r="24" spans="1:36" ht="14.25">
      <c r="A24" s="3397" t="s">
        <v>1925</v>
      </c>
      <c r="B24" s="1918" t="s">
        <v>1917</v>
      </c>
      <c r="C24" s="141">
        <f>IF(B30=0,0,D30)</f>
        <v>0</v>
      </c>
      <c r="D24" s="1925"/>
      <c r="E24" s="134"/>
      <c r="F24" s="134"/>
      <c r="G24" s="134"/>
      <c r="H24" s="134"/>
      <c r="I24" s="134"/>
    </row>
    <row r="25" spans="1:36" ht="14.25">
      <c r="A25" s="3398"/>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2813</v>
      </c>
      <c r="F30" s="134"/>
      <c r="G30" s="134"/>
      <c r="H30" s="134"/>
      <c r="I30" s="134"/>
    </row>
    <row r="31" spans="1:36" s="2497" customFormat="1" ht="26.45" customHeight="1" thickTop="1" thickBot="1">
      <c r="A31" s="2492"/>
      <c r="B31" s="2493"/>
      <c r="C31" s="2493"/>
      <c r="D31" s="2493"/>
      <c r="E31" s="2493"/>
      <c r="F31" s="2493"/>
      <c r="G31" s="2493"/>
      <c r="H31" s="2493"/>
      <c r="I31" s="2494" t="s">
        <v>2814</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1054</v>
      </c>
      <c r="D32" s="1931" t="s">
        <v>3131</v>
      </c>
      <c r="E32" s="134"/>
      <c r="F32" s="134"/>
      <c r="G32" s="134"/>
      <c r="H32" s="134"/>
      <c r="I32" s="134"/>
    </row>
    <row r="33" spans="1:15" ht="15">
      <c r="A33" s="894" t="s">
        <v>1932</v>
      </c>
      <c r="B33" s="1932"/>
      <c r="C33" s="1933" t="s">
        <v>3132</v>
      </c>
      <c r="D33" s="1934" t="s">
        <v>3127</v>
      </c>
      <c r="E33" s="1935" t="s">
        <v>1933</v>
      </c>
      <c r="F33" s="1936" t="str">
        <f>IF(D32="楼面单价","取值（单价）","取值（总价）")</f>
        <v>取值（总价）</v>
      </c>
      <c r="G33" s="134"/>
      <c r="H33" s="134"/>
      <c r="I33" s="134"/>
    </row>
    <row r="34" spans="1:15" ht="15">
      <c r="A34" s="1937"/>
      <c r="B34" s="1938" t="s">
        <v>1934</v>
      </c>
      <c r="C34" s="153">
        <f ca="1">IF(C33="自定义",F34,C32-C35)</f>
        <v>-247</v>
      </c>
      <c r="D34" s="970">
        <f ca="1">IF(C33="自定义",ROUND(C34/C32,3),IF(C33="收益比率",SUMIF(INDIRECT("'"&amp;D33&amp;"'"&amp;"!b:b"),"土地收益比率",INDIRECT("'"&amp;D33&amp;"'"&amp;"!c:c")),SUMIF(INDIRECT("'"&amp;D33&amp;"'"&amp;"!b:b"),"土地成本比率",INDIRECT("'"&amp;D33&amp;"'"&amp;"!c:c"))))</f>
        <v>-0.23399999999999999</v>
      </c>
      <c r="E34" s="1939" t="s">
        <v>1935</v>
      </c>
      <c r="F34" s="1470"/>
      <c r="G34" s="134"/>
      <c r="H34" s="134"/>
      <c r="I34" s="134"/>
    </row>
    <row r="35" spans="1:15" ht="15.75" thickBot="1">
      <c r="A35" s="1940"/>
      <c r="B35" s="1941" t="s">
        <v>1936</v>
      </c>
      <c r="C35" s="1304">
        <f ca="1">IF(C33="自定义",F35,ROUND(C32*D35,0))</f>
        <v>1301</v>
      </c>
      <c r="D35" s="1305">
        <f ca="1">IF(C33="自定义",ROUND(C35/C32,3),IF(C33="收益比率",SUMIF(INDIRECT("'"&amp;D33&amp;"'"&amp;"!b:b"),"建筑物收益比率",INDIRECT("'"&amp;D33&amp;"'"&amp;"!c:c")),SUMIF(INDIRECT("'"&amp;D33&amp;"'"&amp;"!b:b"),"建筑物成本比率",INDIRECT("'"&amp;D33&amp;"'"&amp;"!c:c"))))</f>
        <v>1.234</v>
      </c>
      <c r="E35" s="1942" t="s">
        <v>1937</v>
      </c>
      <c r="F35" s="159"/>
      <c r="G35" s="134"/>
      <c r="H35" s="134"/>
      <c r="I35" s="134"/>
    </row>
    <row r="36" spans="1:15" ht="15.75" thickBot="1">
      <c r="A36" s="3374" t="s">
        <v>1938</v>
      </c>
      <c r="B36" s="1943" t="s">
        <v>1939</v>
      </c>
      <c r="C36" s="150"/>
      <c r="D36" s="1944"/>
      <c r="E36" s="1945"/>
      <c r="F36" s="1946"/>
      <c r="G36" s="134"/>
      <c r="H36" s="134"/>
      <c r="I36" s="134"/>
    </row>
    <row r="37" spans="1:15" ht="15.75" thickBot="1">
      <c r="A37" s="3375"/>
      <c r="B37" s="1830" t="s">
        <v>1940</v>
      </c>
      <c r="C37" s="152"/>
      <c r="D37" s="1273"/>
      <c r="E37" s="1273"/>
      <c r="F37" s="1946"/>
      <c r="G37" s="134"/>
      <c r="H37" s="134"/>
      <c r="I37" s="134"/>
    </row>
    <row r="38" spans="1:15" ht="15.75" thickBot="1">
      <c r="A38" s="3376"/>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94" t="s">
        <v>1952</v>
      </c>
      <c r="B45" s="3395"/>
      <c r="C45" s="3396"/>
      <c r="D45" s="160">
        <f ca="1">ROUND(H101*F45,0)</f>
        <v>1054</v>
      </c>
      <c r="E45" s="161" t="s">
        <v>1953</v>
      </c>
      <c r="F45" s="162">
        <v>1</v>
      </c>
      <c r="G45" s="163" t="s">
        <v>1954</v>
      </c>
      <c r="H45" s="134"/>
      <c r="I45" s="134"/>
      <c r="J45" s="3311" t="s">
        <v>1955</v>
      </c>
      <c r="K45" s="3311"/>
      <c r="L45" s="3311"/>
      <c r="M45" s="3311"/>
      <c r="N45" s="3311"/>
      <c r="O45" s="3311"/>
    </row>
    <row r="46" spans="1:15" ht="14.25" customHeight="1">
      <c r="A46" s="3391" t="s">
        <v>1956</v>
      </c>
      <c r="B46" s="3392"/>
      <c r="C46" s="3392"/>
      <c r="D46" s="3392"/>
      <c r="E46" s="3392"/>
      <c r="F46" s="3392"/>
      <c r="G46" s="3393"/>
      <c r="H46" s="1962"/>
      <c r="I46" s="164"/>
      <c r="J46" s="2717">
        <v>1</v>
      </c>
      <c r="K46" s="3312" t="s">
        <v>1957</v>
      </c>
      <c r="L46" s="3312"/>
      <c r="M46" s="3313"/>
      <c r="N46" s="3313"/>
      <c r="O46" s="3313"/>
    </row>
    <row r="47" spans="1:15" ht="12" customHeight="1">
      <c r="A47" s="165" t="s">
        <v>1958</v>
      </c>
      <c r="B47" s="166"/>
      <c r="C47" s="167"/>
      <c r="D47" s="1219" t="s">
        <v>1959</v>
      </c>
      <c r="E47" s="308" t="s">
        <v>1960</v>
      </c>
      <c r="F47" s="168" t="s">
        <v>1961</v>
      </c>
      <c r="G47" s="2740" t="s">
        <v>1962</v>
      </c>
      <c r="H47" s="2741"/>
      <c r="I47" s="164"/>
      <c r="J47" s="2717">
        <v>2</v>
      </c>
      <c r="K47" s="3312" t="s">
        <v>1963</v>
      </c>
      <c r="L47" s="3312"/>
      <c r="M47" s="3314">
        <f>'数据-取费表'!B2</f>
        <v>44781</v>
      </c>
      <c r="N47" s="3314"/>
      <c r="O47" s="3314"/>
    </row>
    <row r="48" spans="1:15" ht="25.5">
      <c r="A48" s="3377" t="s">
        <v>1964</v>
      </c>
      <c r="B48" s="3378"/>
      <c r="C48" s="3378"/>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1965</v>
      </c>
      <c r="H48" s="2744"/>
      <c r="I48" s="1962"/>
      <c r="J48" s="2717">
        <v>3</v>
      </c>
      <c r="K48" s="3312" t="s">
        <v>1966</v>
      </c>
      <c r="L48" s="3312"/>
      <c r="M48" s="3315">
        <f ca="1">H101</f>
        <v>1054</v>
      </c>
      <c r="N48" s="3315"/>
      <c r="O48" s="3315"/>
    </row>
    <row r="49" spans="1:35" ht="25.5" customHeight="1">
      <c r="A49" s="2526" t="s">
        <v>1967</v>
      </c>
      <c r="B49" s="3360" t="s">
        <v>1968</v>
      </c>
      <c r="C49" s="3360"/>
      <c r="D49" s="1745">
        <v>0</v>
      </c>
      <c r="E49" s="330" t="s">
        <v>1969</v>
      </c>
      <c r="F49" s="2620" t="s">
        <v>34</v>
      </c>
      <c r="G49" s="3343"/>
      <c r="H49" s="2498" t="s">
        <v>2815</v>
      </c>
      <c r="I49" s="2499"/>
      <c r="J49" s="2717">
        <v>4</v>
      </c>
      <c r="K49" s="3312" t="str">
        <f>IF(项目基本情况!E8="房地产抵押价值","房地产抵押价值","抵押担保权已注销时的房地产抵押价值")</f>
        <v>房地产抵押价值</v>
      </c>
      <c r="L49" s="3312"/>
      <c r="M49" s="3315">
        <f ca="1">IF(项目基本情况!E8="房地产抵押价值",H107,H109)</f>
        <v>1054</v>
      </c>
      <c r="N49" s="3315"/>
      <c r="O49" s="3315"/>
    </row>
    <row r="50" spans="1:35" ht="25.5" customHeight="1">
      <c r="A50" s="2745"/>
      <c r="B50" s="3360" t="s">
        <v>1970</v>
      </c>
      <c r="C50" s="3360"/>
      <c r="D50" s="2746"/>
      <c r="E50" s="338"/>
      <c r="F50" s="2620"/>
      <c r="G50" s="3344"/>
      <c r="H50" s="2500" t="s">
        <v>2816</v>
      </c>
      <c r="I50" s="2499"/>
      <c r="J50" s="3311" t="s">
        <v>1971</v>
      </c>
      <c r="K50" s="3311"/>
      <c r="L50" s="3311"/>
      <c r="M50" s="3311"/>
      <c r="N50" s="3311"/>
      <c r="O50" s="3311"/>
    </row>
    <row r="51" spans="1:35" ht="20.45" customHeight="1">
      <c r="A51" s="2747"/>
      <c r="B51" s="3360" t="s">
        <v>1972</v>
      </c>
      <c r="C51" s="3360"/>
      <c r="D51" s="1219"/>
      <c r="E51" s="333"/>
      <c r="F51" s="2620"/>
      <c r="G51" s="3345"/>
      <c r="H51" s="2500" t="s">
        <v>2817</v>
      </c>
      <c r="I51" s="2499"/>
      <c r="J51" s="2718" t="s">
        <v>1973</v>
      </c>
      <c r="K51" s="3312" t="s">
        <v>1974</v>
      </c>
      <c r="L51" s="3312"/>
      <c r="M51" s="2718" t="s">
        <v>1975</v>
      </c>
      <c r="N51" s="2718" t="s">
        <v>1976</v>
      </c>
      <c r="O51" s="2718" t="s">
        <v>1977</v>
      </c>
    </row>
    <row r="52" spans="1:35" ht="24" customHeight="1">
      <c r="A52" s="2528" t="s">
        <v>1978</v>
      </c>
      <c r="B52" s="3360" t="s">
        <v>1979</v>
      </c>
      <c r="C52" s="3360"/>
      <c r="D52" s="1219">
        <f ca="1">ROUND(D45*'数据-取费表'!B41/(1+'数据-取费表'!C42),0)</f>
        <v>55</v>
      </c>
      <c r="E52" s="2527" t="s">
        <v>1980</v>
      </c>
      <c r="F52" s="2748">
        <f>'数据-取费表'!B41</f>
        <v>5.5000000000000007E-2</v>
      </c>
      <c r="G52" s="2749"/>
      <c r="H52" s="2738"/>
      <c r="I52" s="1963"/>
      <c r="J52" s="2717">
        <v>1</v>
      </c>
      <c r="K52" s="3337" t="s">
        <v>1981</v>
      </c>
      <c r="L52" s="3337"/>
      <c r="M52" s="2719" t="b">
        <f>D48</f>
        <v>0</v>
      </c>
      <c r="N52" s="2717" t="str">
        <f>E48</f>
        <v>销售额×税（费）率</v>
      </c>
      <c r="O52" s="2720">
        <f>F48</f>
        <v>5.5000000000000007E-2</v>
      </c>
    </row>
    <row r="53" spans="1:35" ht="12" customHeight="1">
      <c r="A53" s="2528" t="s">
        <v>1982</v>
      </c>
      <c r="B53" s="3361" t="s">
        <v>2964</v>
      </c>
      <c r="C53" s="3362"/>
      <c r="D53" s="1219">
        <f ca="1">ROUND(D45*'数据-取费表'!B41/(1+'数据-取费表'!C42),0)</f>
        <v>55</v>
      </c>
      <c r="E53" s="2527" t="s">
        <v>1980</v>
      </c>
      <c r="F53" s="2748">
        <f>'数据-取费表'!B41</f>
        <v>5.5000000000000007E-2</v>
      </c>
      <c r="G53" s="2749"/>
      <c r="H53" s="2738"/>
      <c r="I53" s="1963"/>
      <c r="J53" s="2717">
        <v>2</v>
      </c>
      <c r="K53" s="3337" t="s">
        <v>1983</v>
      </c>
      <c r="L53" s="3337"/>
      <c r="M53" s="2719">
        <f t="shared" ref="M53:O54" ca="1" si="0">D55</f>
        <v>1</v>
      </c>
      <c r="N53" s="2717" t="str">
        <f t="shared" si="0"/>
        <v>销售额×税（费）率</v>
      </c>
      <c r="O53" s="2720" t="str">
        <f t="shared" si="0"/>
        <v>免征</v>
      </c>
    </row>
    <row r="54" spans="1:35" ht="12" customHeight="1">
      <c r="A54" s="2528" t="s">
        <v>1984</v>
      </c>
      <c r="B54" s="3361" t="s">
        <v>2965</v>
      </c>
      <c r="C54" s="3362"/>
      <c r="D54" s="1219">
        <f ca="1">C68</f>
        <v>55</v>
      </c>
      <c r="E54" s="333" t="s">
        <v>1985</v>
      </c>
      <c r="F54" s="2748">
        <f>'数据-取费表'!B41</f>
        <v>5.5000000000000007E-2</v>
      </c>
      <c r="G54" s="2749"/>
      <c r="H54" s="2750"/>
      <c r="I54" s="1963"/>
      <c r="J54" s="2717">
        <v>3</v>
      </c>
      <c r="K54" s="3337" t="s">
        <v>1986</v>
      </c>
      <c r="L54" s="3337"/>
      <c r="M54" s="2719">
        <f t="shared" ca="1" si="0"/>
        <v>598</v>
      </c>
      <c r="N54" s="2717" t="str">
        <f t="shared" si="0"/>
        <v>增值额×税（费）率</v>
      </c>
      <c r="O54" s="2721" t="str">
        <f t="shared" si="0"/>
        <v>免征</v>
      </c>
    </row>
    <row r="55" spans="1:35" ht="24" customHeight="1">
      <c r="A55" s="3400" t="s">
        <v>1987</v>
      </c>
      <c r="B55" s="3378"/>
      <c r="C55" s="3378"/>
      <c r="D55" s="2517">
        <f ca="1">IF(H55="个人住宅",0,ROUND(D45*I55,0))</f>
        <v>1</v>
      </c>
      <c r="E55" s="2527" t="s">
        <v>1988</v>
      </c>
      <c r="F55" s="2748" t="str">
        <f>IF(H55="正常",I55,"免征")</f>
        <v>免征</v>
      </c>
      <c r="G55" s="2749"/>
      <c r="H55" s="2744"/>
      <c r="I55" s="170">
        <f>'数据-取费表'!B49</f>
        <v>5.0000000000000001E-4</v>
      </c>
      <c r="J55" s="2717">
        <f>IF(H59="非个人房产","",4)</f>
        <v>4</v>
      </c>
      <c r="K55" s="3337" t="str">
        <f>IF(H59="非个人房产","——","个人所得税")</f>
        <v>个人所得税</v>
      </c>
      <c r="L55" s="3337"/>
      <c r="M55" s="2722">
        <f ca="1">D59</f>
        <v>10</v>
      </c>
      <c r="N55" s="2198" t="str">
        <f>E59</f>
        <v>差额计税</v>
      </c>
      <c r="O55" s="2723">
        <f>F59</f>
        <v>0.01</v>
      </c>
    </row>
    <row r="56" spans="1:35" ht="24.75">
      <c r="A56" s="3400" t="s">
        <v>1989</v>
      </c>
      <c r="B56" s="3378"/>
      <c r="C56" s="3378"/>
      <c r="D56" s="2517">
        <f ca="1">IF(H56="个人住宅",D57,D58)</f>
        <v>598</v>
      </c>
      <c r="E56" s="2527" t="s">
        <v>1990</v>
      </c>
      <c r="F56" s="2748" t="str">
        <f>IF(H56="正常",F58,"免征")</f>
        <v>免征</v>
      </c>
      <c r="G56" s="2751" t="s">
        <v>1991</v>
      </c>
      <c r="H56" s="2752"/>
      <c r="I56" s="1964"/>
      <c r="J56" s="2717" t="str">
        <f>IF(项目基本情况!K6="上海银行",IF(J55="",4,J55+1),"")</f>
        <v/>
      </c>
      <c r="K56" s="3318" t="str">
        <f>IF(项目基本情况!K6="上海银行","其他处置费用","")</f>
        <v/>
      </c>
      <c r="L56" s="3319"/>
      <c r="M56" s="2719" t="str">
        <f>IF(项目基本情况!K6="上海银行",M69,"")</f>
        <v/>
      </c>
      <c r="N56" s="3318" t="str">
        <f>IF(项目基本情况!K6="上海银行","包含处置中涉及的律师、诉讼、拍卖、评估等费用","")</f>
        <v/>
      </c>
      <c r="O56" s="3321"/>
    </row>
    <row r="57" spans="1:35" ht="12.75">
      <c r="A57" s="2528" t="s">
        <v>1967</v>
      </c>
      <c r="B57" s="3361" t="s">
        <v>1992</v>
      </c>
      <c r="C57" s="3362"/>
      <c r="D57" s="1745">
        <v>0</v>
      </c>
      <c r="E57" s="330" t="s">
        <v>1969</v>
      </c>
      <c r="F57" s="308"/>
      <c r="G57" s="2749"/>
      <c r="H57" s="2753"/>
      <c r="I57" s="1964"/>
      <c r="J57" s="3337">
        <f>IF(AND(J55="",J56=""),4,IF(项目基本情况!K6="上海银行",结果表!J56+1,结果表!J55+1))</f>
        <v>5</v>
      </c>
      <c r="K57" s="3337" t="s">
        <v>1993</v>
      </c>
      <c r="L57" s="2724" t="s">
        <v>1994</v>
      </c>
      <c r="M57" s="2725"/>
      <c r="N57" s="2726">
        <f ca="1">SUMIF(M52:M56,"&lt;9e307")</f>
        <v>609</v>
      </c>
      <c r="O57" s="2727"/>
      <c r="P57" s="2887">
        <f ca="1">N57/M49</f>
        <v>0.57779886148007586</v>
      </c>
    </row>
    <row r="58" spans="1:35" ht="24.75">
      <c r="A58" s="2528" t="s">
        <v>1978</v>
      </c>
      <c r="B58" s="3361" t="s">
        <v>1995</v>
      </c>
      <c r="C58" s="3360"/>
      <c r="D58" s="2517">
        <f ca="1">IF(H58="转让取得",C81,C97)</f>
        <v>598</v>
      </c>
      <c r="E58" s="2527" t="s">
        <v>1990</v>
      </c>
      <c r="F58" s="308" t="s">
        <v>34</v>
      </c>
      <c r="G58" s="2749"/>
      <c r="H58" s="2752"/>
      <c r="I58" s="1964"/>
      <c r="J58" s="3337"/>
      <c r="K58" s="3337"/>
      <c r="L58" s="2724" t="s">
        <v>1996</v>
      </c>
      <c r="M58" s="2728"/>
      <c r="N58" s="2729" t="str">
        <f ca="1">NUMBERSTRING(INT(N57*10000),2)&amp;"元整"</f>
        <v>陆佰零玖万元整</v>
      </c>
      <c r="O58" s="2730"/>
    </row>
    <row r="59" spans="1:35" ht="24.75" thickBot="1">
      <c r="A59" s="3341" t="s">
        <v>1997</v>
      </c>
      <c r="B59" s="3342"/>
      <c r="C59" s="3342"/>
      <c r="D59" s="2754">
        <f ca="1">IF(H59="非个人房产","——",IF(H59="个人住宅（满五唯一有凭证）",0,IF(H59="个人其他（无凭证）",ROUND(D45*F59,0),ROUND(C67*F59,0))))</f>
        <v>10</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2"/>
      <c r="I59" s="2501" t="s">
        <v>2818</v>
      </c>
      <c r="J59" s="3339">
        <f>J57+1</f>
        <v>6</v>
      </c>
      <c r="K59" s="3337" t="s">
        <v>1998</v>
      </c>
      <c r="L59" s="2717" t="s">
        <v>1994</v>
      </c>
      <c r="M59" s="2731"/>
      <c r="N59" s="2732">
        <f ca="1">M49-N57</f>
        <v>445</v>
      </c>
      <c r="O59" s="2733"/>
    </row>
    <row r="60" spans="1:35" ht="12" customHeight="1">
      <c r="A60" s="1965"/>
      <c r="B60" s="1903"/>
      <c r="C60" s="1903"/>
      <c r="D60" s="1903"/>
      <c r="E60" s="1733"/>
      <c r="F60" s="1964"/>
      <c r="G60" s="1964"/>
      <c r="H60" s="1966"/>
      <c r="I60" s="134"/>
      <c r="J60" s="3340"/>
      <c r="K60" s="3337"/>
      <c r="L60" s="2724" t="s">
        <v>1996</v>
      </c>
      <c r="M60" s="2728"/>
      <c r="N60" s="2729" t="str">
        <f ca="1">NUMBERSTRING(INT(N59*10000),2)&amp;"元整"</f>
        <v>肆佰肆拾伍万元整</v>
      </c>
      <c r="O60" s="2730"/>
    </row>
    <row r="61" spans="1:35" ht="13.5" thickBot="1">
      <c r="A61" s="3399" t="s">
        <v>1999</v>
      </c>
      <c r="B61" s="3399"/>
      <c r="C61" s="3399"/>
      <c r="D61" s="3399"/>
      <c r="E61" s="3399"/>
      <c r="F61" s="1964"/>
      <c r="G61" s="1964"/>
      <c r="H61" s="1966"/>
      <c r="I61" s="134"/>
      <c r="J61" s="2717">
        <f>J59+1</f>
        <v>7</v>
      </c>
      <c r="K61" s="3337" t="s">
        <v>2000</v>
      </c>
      <c r="L61" s="3337"/>
      <c r="M61" s="2734"/>
      <c r="N61" s="2735">
        <f ca="1">ROUND(N59*10000/'数据-汇总表'!E3,0)</f>
        <v>2282</v>
      </c>
      <c r="O61" s="2736"/>
    </row>
    <row r="62" spans="1:35" ht="12.75">
      <c r="A62" s="3356" t="s">
        <v>2001</v>
      </c>
      <c r="B62" s="3357"/>
      <c r="C62" s="2179"/>
      <c r="D62" s="2179" t="s">
        <v>2002</v>
      </c>
      <c r="E62" s="171" t="s">
        <v>2003</v>
      </c>
      <c r="F62" s="1964"/>
      <c r="G62" s="1964"/>
      <c r="H62" s="1966"/>
      <c r="I62" s="134"/>
    </row>
    <row r="63" spans="1:35" ht="12.75">
      <c r="A63" s="178" t="s">
        <v>775</v>
      </c>
      <c r="B63" s="172" t="s">
        <v>2004</v>
      </c>
      <c r="C63" s="2758">
        <f ca="1">ROUND((C64+C65)/(1+'数据-取费表'!C42),0)</f>
        <v>1004</v>
      </c>
      <c r="D63" s="172"/>
      <c r="E63" s="173"/>
      <c r="F63" s="1964"/>
      <c r="G63" s="1964"/>
      <c r="H63" s="1966"/>
      <c r="I63" s="134"/>
      <c r="J63" s="3320" t="s">
        <v>2005</v>
      </c>
      <c r="K63" s="1472" t="s">
        <v>2006</v>
      </c>
      <c r="L63" s="1472">
        <f ca="1">IF(M49&gt;10000,M49*0.5%,IF(AND(M49&gt;1000,M49&lt;=10000),M49*1%,IF(AND(M49&gt;100,M49&lt;=1000),M49*3%,IF(AND(M49&gt;10,M49&lt;=100),M49*5%,M49*8%))))</f>
        <v>10.540000000000001</v>
      </c>
      <c r="M63" s="308">
        <f ca="1">ROUND(L63,1)</f>
        <v>10.5</v>
      </c>
      <c r="N63" s="2737"/>
      <c r="Z63" s="1908"/>
      <c r="AI63" s="1909"/>
    </row>
    <row r="64" spans="1:35" ht="14.25" customHeight="1">
      <c r="A64" s="174" t="s">
        <v>770</v>
      </c>
      <c r="B64" s="175" t="s">
        <v>2007</v>
      </c>
      <c r="C64" s="2759">
        <f ca="1">D45</f>
        <v>1054</v>
      </c>
      <c r="D64" s="175" t="s">
        <v>32</v>
      </c>
      <c r="E64" s="177"/>
      <c r="F64" s="1964"/>
      <c r="G64" s="1964"/>
      <c r="H64" s="1966"/>
      <c r="I64" s="134"/>
      <c r="J64" s="3320"/>
      <c r="K64" s="1472" t="s">
        <v>2008</v>
      </c>
      <c r="L64" s="1472">
        <f ca="1">IF(M49&gt;2000,M49*0.5%,IF(AND(M49&gt;1000,M49&lt;=2000),M49*0.6%,IF(AND(M49&gt;500,M49&lt;=1000),M49*0.7%,IF(AND(M49&gt;200,M49&lt;=500),M49*0.8%,IF(AND(M49&gt;100,M49&lt;=200),M49*0.9%,IF(AND(M49&gt;50,M49&lt;=100),M49*1%,IF(AND(M49&gt;20,M49&lt;=50),M49*1.5%,IF(AND(M49&gt;10,M49&lt;=20),M49*2%,IF(AND(M49&gt;1,M49&lt;=10),M49*2.5%)))))))))</f>
        <v>6.3239999999999998</v>
      </c>
      <c r="M64" s="308">
        <f t="shared" ref="M64:M65" ca="1" si="1">ROUND(L64,1)</f>
        <v>6.3</v>
      </c>
      <c r="N64" s="2738" t="s">
        <v>2009</v>
      </c>
      <c r="Z64" s="1908"/>
      <c r="AI64" s="1909"/>
    </row>
    <row r="65" spans="1:35" ht="14.25" customHeight="1">
      <c r="A65" s="174" t="s">
        <v>771</v>
      </c>
      <c r="B65" s="175" t="s">
        <v>2010</v>
      </c>
      <c r="C65" s="2760"/>
      <c r="D65" s="175"/>
      <c r="E65" s="177"/>
      <c r="F65" s="1964"/>
      <c r="G65" s="1964"/>
      <c r="H65" s="1966"/>
      <c r="I65" s="134"/>
      <c r="J65" s="3320"/>
      <c r="K65" s="1472" t="s">
        <v>2011</v>
      </c>
      <c r="L65" s="1472">
        <f ca="1">IF(M49&gt;1000,M49*0.1%,IF(AND(M49&gt;500,M49&lt;=1000),M49*0.5%,IF(AND(M49&gt;50,M49&lt;=500),M49*1%,IF(AND(M49&gt;1,M49&lt;=50),M49*1.5%))))</f>
        <v>1.054</v>
      </c>
      <c r="M65" s="308">
        <f t="shared" ca="1" si="1"/>
        <v>1.1000000000000001</v>
      </c>
      <c r="N65" s="2738" t="s">
        <v>2009</v>
      </c>
      <c r="Z65" s="1908"/>
      <c r="AI65" s="1909"/>
    </row>
    <row r="66" spans="1:35" ht="14.25" customHeight="1">
      <c r="A66" s="178" t="s">
        <v>772</v>
      </c>
      <c r="B66" s="179" t="s">
        <v>2012</v>
      </c>
      <c r="C66" s="2761"/>
      <c r="D66" s="179" t="s">
        <v>32</v>
      </c>
      <c r="E66" s="1479" t="s">
        <v>1277</v>
      </c>
      <c r="F66" s="1964"/>
      <c r="G66" s="1964"/>
      <c r="H66" s="1966"/>
      <c r="I66" s="134"/>
      <c r="J66" s="3320"/>
      <c r="K66" s="1472" t="s">
        <v>2013</v>
      </c>
      <c r="L66" s="1472">
        <f ca="1">M49*0.5%</f>
        <v>5.2700000000000005</v>
      </c>
      <c r="M66" s="308">
        <f ca="1">IF(L66&gt;0.5,0.5,ROUND(L66,0))</f>
        <v>0.5</v>
      </c>
      <c r="N66" s="2738" t="s">
        <v>2014</v>
      </c>
      <c r="Z66" s="1908"/>
      <c r="AI66" s="1909"/>
    </row>
    <row r="67" spans="1:35" ht="14.25" customHeight="1">
      <c r="A67" s="178" t="s">
        <v>773</v>
      </c>
      <c r="B67" s="179" t="s">
        <v>2015</v>
      </c>
      <c r="C67" s="2762">
        <f ca="1">C63-C66</f>
        <v>1004</v>
      </c>
      <c r="D67" s="175" t="s">
        <v>32</v>
      </c>
      <c r="E67" s="177"/>
      <c r="F67" s="1964"/>
      <c r="G67" s="1964"/>
      <c r="H67" s="1966"/>
      <c r="I67" s="134"/>
      <c r="J67" s="3320"/>
      <c r="K67" s="1472" t="s">
        <v>2016</v>
      </c>
      <c r="L67" s="1472">
        <f ca="1">IF(M49&gt;=10000,(8.25+(M49-10000)*0.01%),IF(AND(M49&gt;=8000,M49&lt;10000),(7.85+(M49-8000)*0.02%),IF(AND(M49&gt;=5000,M49&lt;8000),(6.65+(M49-5000)*0.04%),IF(AND(M49&gt;=2000,M49&lt;5000),(4.25+(PM49-2000)*0.08%),IF(AND(M49&gt;=1000,M49&lt;2000),(2.75+(M49-1000)*0.15%),IF(AND(M49&gt;=100,M49&lt;1000),(0.5+(M49-100)*0.25%),IF(AND(M49&gt;0,M49&lt;100),M49*0.5%)))))))</f>
        <v>2.831</v>
      </c>
      <c r="M67" s="308">
        <f ca="1">ROUND(L67*0.9,1)</f>
        <v>2.5</v>
      </c>
      <c r="N67" s="2737"/>
      <c r="Z67" s="1908"/>
      <c r="AI67" s="1909"/>
    </row>
    <row r="68" spans="1:35" ht="14.25" customHeight="1" thickBot="1">
      <c r="A68" s="181" t="s">
        <v>774</v>
      </c>
      <c r="B68" s="182" t="s">
        <v>2017</v>
      </c>
      <c r="C68" s="2763">
        <f ca="1">IF(C67&lt;=0,0,ROUND(C67*D68,0))</f>
        <v>55</v>
      </c>
      <c r="D68" s="2764">
        <f>'数据-取费表'!B41</f>
        <v>5.5000000000000007E-2</v>
      </c>
      <c r="E68" s="184"/>
      <c r="F68" s="1964"/>
      <c r="G68" s="1964"/>
      <c r="H68" s="1966"/>
      <c r="I68" s="134"/>
      <c r="J68" s="3320"/>
      <c r="K68" s="1472" t="s">
        <v>2018</v>
      </c>
      <c r="L68" s="1472">
        <f ca="1">IF(M49&gt;10000,M49*0.5%,IF(AND(M49&gt;5000,M49&lt;=10000),M49*1%,IF(AND(M49&gt;1000,M49&lt;=5000),M49*2%,IF(AND(M49&gt;200,M49&lt;=1000),M49*3%,M49*5%))))</f>
        <v>21.080000000000002</v>
      </c>
      <c r="M68" s="308">
        <f ca="1">ROUND(L68,1)</f>
        <v>21.1</v>
      </c>
      <c r="N68" s="2737"/>
      <c r="Z68" s="1908"/>
      <c r="AI68" s="1909"/>
    </row>
    <row r="69" spans="1:35" s="1928" customFormat="1" ht="16.5" customHeight="1">
      <c r="A69" s="1967"/>
      <c r="B69" s="1968"/>
      <c r="C69" s="1969"/>
      <c r="D69" s="1970"/>
      <c r="E69" s="1971"/>
      <c r="F69" s="1733"/>
      <c r="G69" s="1733"/>
      <c r="H69" s="1732"/>
      <c r="I69" s="1903"/>
      <c r="J69" s="3320"/>
      <c r="K69" s="1472" t="s">
        <v>2019</v>
      </c>
      <c r="L69" s="1472"/>
      <c r="M69" s="308">
        <f ca="1">ROUND(SUM(M63:M68),0)</f>
        <v>42</v>
      </c>
      <c r="N69" s="2739">
        <f ca="1">M69/M49</f>
        <v>3.9848197343453511E-2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4" t="s">
        <v>2020</v>
      </c>
      <c r="B70" s="3365"/>
      <c r="C70" s="3365"/>
      <c r="D70" s="3365"/>
      <c r="E70" s="3365"/>
      <c r="F70" s="3365"/>
      <c r="G70" s="3365"/>
      <c r="H70" s="3365"/>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6" t="s">
        <v>2001</v>
      </c>
      <c r="B71" s="3357"/>
      <c r="C71" s="2179"/>
      <c r="D71" s="2179" t="s">
        <v>2002</v>
      </c>
      <c r="E71" s="185" t="s">
        <v>2003</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1004</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5</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61" t="s">
        <v>2028</v>
      </c>
      <c r="F76" s="3360"/>
      <c r="G76" s="3360"/>
      <c r="H76" s="3363"/>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5</v>
      </c>
      <c r="D78" s="2771">
        <f>'数据-取费表'!B43</f>
        <v>5.000000000000001E-3</v>
      </c>
      <c r="E78" s="3353" t="s">
        <v>2032</v>
      </c>
      <c r="F78" s="3354"/>
      <c r="G78" s="3354"/>
      <c r="H78" s="335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999</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199.8</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598</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4" t="s">
        <v>2036</v>
      </c>
      <c r="B83" s="3365"/>
      <c r="C83" s="3365"/>
      <c r="D83" s="3365"/>
      <c r="E83" s="3365"/>
      <c r="F83" s="3365"/>
      <c r="G83" s="3365"/>
      <c r="H83" s="3365"/>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6" t="s">
        <v>2001</v>
      </c>
      <c r="B84" s="3357"/>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1004</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5</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c r="D88" s="2771"/>
      <c r="E88" s="199" t="s">
        <v>2039</v>
      </c>
      <c r="F88" s="2520"/>
      <c r="G88" s="200" t="s">
        <v>2040</v>
      </c>
      <c r="H88" s="1980"/>
      <c r="I88" s="1977"/>
      <c r="J88" s="2715" t="s">
        <v>2961</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322" t="s">
        <v>2810</v>
      </c>
      <c r="H90" s="3323"/>
      <c r="I90" s="1977"/>
      <c r="J90" s="2715" t="s">
        <v>2962</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0</v>
      </c>
      <c r="D91" s="2771"/>
      <c r="E91" s="3353" t="s">
        <v>2045</v>
      </c>
      <c r="F91" s="3354"/>
      <c r="G91" s="3354"/>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0</v>
      </c>
      <c r="D92" s="2777"/>
      <c r="E92" s="3353" t="s">
        <v>2048</v>
      </c>
      <c r="F92" s="3354"/>
      <c r="G92" s="3354"/>
      <c r="H92" s="3355"/>
      <c r="I92" s="1977"/>
      <c r="J92" s="2716" t="s">
        <v>2963</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5</v>
      </c>
      <c r="D93" s="2771">
        <f>'数据-取费表'!B43</f>
        <v>5.000000000000001E-3</v>
      </c>
      <c r="E93" s="3353" t="s">
        <v>2032</v>
      </c>
      <c r="F93" s="3354"/>
      <c r="G93" s="3354"/>
      <c r="H93" s="335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0</v>
      </c>
      <c r="D94" s="2771">
        <v>0.2</v>
      </c>
      <c r="E94" s="3401" t="s">
        <v>2052</v>
      </c>
      <c r="F94" s="3402"/>
      <c r="G94" s="3402"/>
      <c r="H94" s="3403"/>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999</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199.8</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598</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3" t="s">
        <v>2054</v>
      </c>
      <c r="B100" s="3304"/>
      <c r="C100" s="3304"/>
      <c r="D100" s="3338"/>
      <c r="E100" s="3304" t="s">
        <v>2055</v>
      </c>
      <c r="F100" s="3304"/>
      <c r="G100" s="3304"/>
      <c r="H100" s="3338"/>
      <c r="I100" s="134"/>
    </row>
    <row r="101" spans="1:35" ht="18.75" customHeight="1">
      <c r="A101" s="3346" t="s">
        <v>2056</v>
      </c>
      <c r="B101" s="3347"/>
      <c r="C101" s="2779" t="str">
        <f>C4</f>
        <v>成本法 (元)</v>
      </c>
      <c r="D101" s="2780" t="str">
        <f>D4</f>
        <v>收益法 (元)</v>
      </c>
      <c r="E101" s="3316" t="s">
        <v>2057</v>
      </c>
      <c r="F101" s="3317"/>
      <c r="G101" s="1983" t="s">
        <v>2058</v>
      </c>
      <c r="H101" s="2789">
        <f ca="1">H118</f>
        <v>1054</v>
      </c>
      <c r="I101" s="134"/>
    </row>
    <row r="102" spans="1:35" ht="18.75" customHeight="1">
      <c r="A102" s="3348" t="s">
        <v>2059</v>
      </c>
      <c r="B102" s="2778" t="s">
        <v>2058</v>
      </c>
      <c r="C102" s="2779">
        <f ca="1">C19</f>
        <v>1000</v>
      </c>
      <c r="D102" s="2780">
        <f ca="1">D19</f>
        <v>1108</v>
      </c>
      <c r="E102" s="3316"/>
      <c r="F102" s="3317"/>
      <c r="G102" s="1983" t="s">
        <v>2060</v>
      </c>
      <c r="H102" s="2749">
        <f ca="1">I118</f>
        <v>5406</v>
      </c>
      <c r="I102" s="134"/>
    </row>
    <row r="103" spans="1:35" ht="42.75" customHeight="1">
      <c r="A103" s="3348"/>
      <c r="B103" s="2778" t="s">
        <v>2060</v>
      </c>
      <c r="C103" s="2781">
        <f ca="1">C20</f>
        <v>5129</v>
      </c>
      <c r="D103" s="2782">
        <f ca="1">D20</f>
        <v>5682</v>
      </c>
      <c r="E103" s="3309" t="s">
        <v>2061</v>
      </c>
      <c r="F103" s="3310"/>
      <c r="G103" s="1984" t="s">
        <v>2062</v>
      </c>
      <c r="H103" s="2789">
        <f>IF(D36="正常操作",H104+H105+H106,H105+H106)</f>
        <v>0</v>
      </c>
      <c r="I103" s="134"/>
    </row>
    <row r="104" spans="1:35" ht="18.75" customHeight="1">
      <c r="A104" s="3348" t="s">
        <v>2063</v>
      </c>
      <c r="B104" s="2783" t="s">
        <v>2058</v>
      </c>
      <c r="C104" s="2784">
        <f ca="1">H118</f>
        <v>1054</v>
      </c>
      <c r="D104" s="2785"/>
      <c r="E104" s="1830" t="s">
        <v>2064</v>
      </c>
      <c r="F104" s="1821"/>
      <c r="G104" s="1984" t="s">
        <v>2062</v>
      </c>
      <c r="H104" s="2790">
        <f>IF(D36="同一抵押权人同一抵押物续贷",C36&amp;"（续贷，未扣减，详见特别提示）",C36)</f>
        <v>0</v>
      </c>
      <c r="I104" s="134"/>
    </row>
    <row r="105" spans="1:35" ht="18.75" customHeight="1" thickBot="1">
      <c r="A105" s="3358"/>
      <c r="B105" s="2786" t="s">
        <v>2060</v>
      </c>
      <c r="C105" s="2787">
        <f ca="1">I118</f>
        <v>5406</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9" t="str">
        <f>IF(项目基本情况!E8="已注销","——","3.房地产抵押价值")</f>
        <v>3.房地产抵押价值</v>
      </c>
      <c r="F107" s="3317"/>
      <c r="G107" s="1983" t="s">
        <v>2058</v>
      </c>
      <c r="H107" s="2789">
        <f ca="1">IF(E107="——","——",H101-H103)</f>
        <v>1054</v>
      </c>
      <c r="I107" s="134"/>
    </row>
    <row r="108" spans="1:35" ht="18.75" customHeight="1">
      <c r="A108" s="134"/>
      <c r="B108" s="134"/>
      <c r="C108" s="134"/>
      <c r="D108" s="134"/>
      <c r="E108" s="3349"/>
      <c r="F108" s="3317"/>
      <c r="G108" s="1983" t="s">
        <v>2060</v>
      </c>
      <c r="H108" s="2749">
        <f ca="1">ROUND(H107*10000/'数据-汇总表'!E3,0)</f>
        <v>5406</v>
      </c>
      <c r="I108" s="134"/>
    </row>
    <row r="109" spans="1:35" ht="18.75" customHeight="1">
      <c r="A109" s="134"/>
      <c r="B109" s="134"/>
      <c r="C109" s="134"/>
      <c r="D109" s="134"/>
      <c r="E109" s="3349" t="str">
        <f>IF(项目基本情况!E8="已注销及未注销","4.抵押担保权已注销时的房地产抵押价值",IF(项目基本情况!E8="已注销","3.抵押担保权已注销时的房地产抵押价值","——"))</f>
        <v>——</v>
      </c>
      <c r="F109" s="3317"/>
      <c r="G109" s="1983" t="s">
        <v>2058</v>
      </c>
      <c r="H109" s="2792" t="str">
        <f>IF(E109="——","——",H101-H105-H106)</f>
        <v>——</v>
      </c>
      <c r="I109" s="134"/>
    </row>
    <row r="110" spans="1:35" ht="18.75" customHeight="1">
      <c r="A110" s="134"/>
      <c r="B110" s="134"/>
      <c r="C110" s="134"/>
      <c r="D110" s="134"/>
      <c r="E110" s="3349"/>
      <c r="F110" s="3317"/>
      <c r="G110" s="1983" t="s">
        <v>2060</v>
      </c>
      <c r="H110" s="2749" t="str">
        <f>IF(H109="——","——",ROUND(H109*10000/'数据-汇总表'!E3,0))</f>
        <v>——</v>
      </c>
      <c r="I110" s="134"/>
    </row>
    <row r="111" spans="1:35" ht="18.75" customHeight="1">
      <c r="A111" s="134"/>
      <c r="B111" s="134"/>
      <c r="C111" s="134"/>
      <c r="D111" s="134"/>
      <c r="E111" s="3350" t="str">
        <f>IF(项目基本情况!E9="抵押净值",IF(OR(项目基本情况!E8="已注销",项目基本情况!E8="房地产抵押价值"),"4.抵押净值","5.抵押净值"),"——")</f>
        <v>——</v>
      </c>
      <c r="F111" s="3336"/>
      <c r="G111" s="1983" t="s">
        <v>2058</v>
      </c>
      <c r="H111" s="2789" t="str">
        <f>IF(E111="——","——",N59)</f>
        <v>——</v>
      </c>
      <c r="I111" s="134"/>
    </row>
    <row r="112" spans="1:35" ht="18.75" customHeight="1" thickBot="1">
      <c r="A112" s="134"/>
      <c r="B112" s="134"/>
      <c r="C112" s="134"/>
      <c r="D112" s="134"/>
      <c r="E112" s="3351"/>
      <c r="F112" s="3352"/>
      <c r="G112" s="1986" t="s">
        <v>2060</v>
      </c>
      <c r="H112" s="2793" t="str">
        <f>IF(E111="——","——",N61)</f>
        <v>——</v>
      </c>
      <c r="I112" s="134"/>
    </row>
    <row r="113" spans="1:27" ht="18.75" customHeight="1">
      <c r="A113" s="134"/>
      <c r="B113" s="134"/>
      <c r="C113" s="134"/>
      <c r="D113" s="134"/>
      <c r="E113" s="3359" t="s">
        <v>2066</v>
      </c>
      <c r="F113" s="3359"/>
      <c r="G113" s="3359"/>
      <c r="H113" s="3359"/>
      <c r="I113" s="134"/>
    </row>
    <row r="114" spans="1:27" ht="3.75" customHeight="1">
      <c r="A114" s="1903"/>
      <c r="B114" s="1903"/>
      <c r="C114" s="1903"/>
      <c r="D114" s="1903"/>
      <c r="E114" s="1965"/>
      <c r="F114" s="1965"/>
      <c r="G114" s="1965"/>
      <c r="H114" s="1965"/>
      <c r="I114" s="1903"/>
    </row>
    <row r="115" spans="1:27" ht="18.75" customHeight="1">
      <c r="A115" s="3370" t="s">
        <v>2068</v>
      </c>
      <c r="B115" s="3371"/>
      <c r="C115" s="3371"/>
      <c r="D115" s="3371"/>
      <c r="E115" s="3371"/>
      <c r="F115" s="3371"/>
      <c r="G115" s="3371"/>
      <c r="H115" s="3371"/>
      <c r="I115" s="3372"/>
    </row>
    <row r="116" spans="1:27" ht="27" customHeight="1">
      <c r="A116" s="3324" t="s">
        <v>2069</v>
      </c>
      <c r="B116" s="3328" t="s">
        <v>2070</v>
      </c>
      <c r="C116" s="3328" t="s">
        <v>2071</v>
      </c>
      <c r="D116" s="3334" t="s">
        <v>2072</v>
      </c>
      <c r="E116" s="3335"/>
      <c r="F116" s="3366" t="s">
        <v>2073</v>
      </c>
      <c r="G116" s="3366"/>
      <c r="H116" s="3324" t="s">
        <v>2074</v>
      </c>
      <c r="I116" s="3324"/>
    </row>
    <row r="117" spans="1:27" ht="18.75" customHeight="1">
      <c r="A117" s="3324"/>
      <c r="B117" s="3329"/>
      <c r="C117" s="3329"/>
      <c r="D117" s="2522" t="s">
        <v>2075</v>
      </c>
      <c r="E117" s="2522" t="s">
        <v>2076</v>
      </c>
      <c r="F117" s="2522" t="s">
        <v>2075</v>
      </c>
      <c r="G117" s="2522" t="s">
        <v>2077</v>
      </c>
      <c r="H117" s="2522" t="s">
        <v>2075</v>
      </c>
      <c r="I117" s="2522" t="s">
        <v>2077</v>
      </c>
    </row>
    <row r="118" spans="1:27" ht="24.75" customHeight="1">
      <c r="A118" s="2794" t="str">
        <f>项目基本情况!S2</f>
        <v>北京市房地产</v>
      </c>
      <c r="B118" s="2522">
        <f>M18</f>
        <v>1949.77</v>
      </c>
      <c r="C118" s="2522">
        <f>M19</f>
        <v>0</v>
      </c>
      <c r="D118" s="2522">
        <f ca="1">ROUND(IF(D32="总价",C34,E118*B118/10000),0)</f>
        <v>-247</v>
      </c>
      <c r="E118" s="2522">
        <f ca="1">ROUND(IF(C33="自定义",IF(D32="楼面单价",C34,D118*10000/B118),I118-G118),0)</f>
        <v>-1267</v>
      </c>
      <c r="F118" s="2522">
        <f ca="1">ROUND(IF(D32="总价",C35,G118*B118/10000),0)</f>
        <v>1301</v>
      </c>
      <c r="G118" s="2522">
        <f ca="1">ROUND(IF(D32="楼面单价",C35,F118*10000/B118),0)</f>
        <v>6673</v>
      </c>
      <c r="H118" s="2522">
        <f ca="1">ROUND(IF(D32="总价",C32,I118*B118/10000),0)</f>
        <v>1054</v>
      </c>
      <c r="I118" s="2522">
        <f ca="1">ROUND(IF(D32="楼面单价",C32,H118*10000/B118),0)</f>
        <v>5406</v>
      </c>
    </row>
    <row r="119" spans="1:27" ht="18.75" customHeight="1">
      <c r="A119" s="3324" t="s">
        <v>2078</v>
      </c>
      <c r="B119" s="3324"/>
      <c r="C119" s="3324"/>
      <c r="D119" s="3330" t="e">
        <f ca="1">NUMBERSTRING(INT(D118*10000),2)&amp;"元整"</f>
        <v>#NUM!</v>
      </c>
      <c r="E119" s="3331"/>
      <c r="F119" s="3330" t="str">
        <f ca="1">NUMBERSTRING(INT(F118*10000),2)&amp;"元整"</f>
        <v>壹仟叁佰零壹万元整</v>
      </c>
      <c r="G119" s="3331"/>
      <c r="H119" s="3330" t="str">
        <f ca="1">NUMBERSTRING(INT(H118*10000),2)&amp;"元整"</f>
        <v>壹仟零伍拾肆万元整</v>
      </c>
      <c r="I119" s="3331"/>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7" t="s">
        <v>2078</v>
      </c>
      <c r="B121" s="3368"/>
      <c r="C121" s="3369"/>
      <c r="D121" s="3330" t="str">
        <f>IF(D120=0,"零元整",NUMBERSTRING(INT(D120*10000),2)&amp;"元整")</f>
        <v>零元整</v>
      </c>
      <c r="E121" s="3332"/>
      <c r="F121" s="3332"/>
      <c r="G121" s="3332"/>
      <c r="H121" s="3332"/>
      <c r="I121" s="3331"/>
      <c r="AA121" s="734"/>
    </row>
    <row r="122" spans="1:27" ht="18.75" customHeight="1">
      <c r="A122" s="3336" t="str">
        <f>IF(项目基本情况!B9="房地产市场价值","",MID(E107,3,LEN(E107)-2))</f>
        <v>房地产抵押价值</v>
      </c>
      <c r="B122" s="3336"/>
      <c r="C122" s="3336"/>
      <c r="D122" s="3325">
        <f ca="1">H107</f>
        <v>1054</v>
      </c>
      <c r="E122" s="3326"/>
      <c r="F122" s="3326"/>
      <c r="G122" s="3326"/>
      <c r="H122" s="3326"/>
      <c r="I122" s="3327"/>
      <c r="AA122" s="734"/>
    </row>
    <row r="123" spans="1:27" ht="18.75" customHeight="1">
      <c r="A123" s="3324" t="s">
        <v>2078</v>
      </c>
      <c r="B123" s="3324"/>
      <c r="C123" s="3324"/>
      <c r="D123" s="3330" t="str">
        <f ca="1">NUMBERSTRING(INT(D122*10000),2)&amp;"元整"</f>
        <v>壹仟零伍拾肆万元整</v>
      </c>
      <c r="E123" s="3332"/>
      <c r="F123" s="3332"/>
      <c r="G123" s="3332"/>
      <c r="H123" s="3332"/>
      <c r="I123" s="3331"/>
      <c r="AA123" s="734"/>
    </row>
    <row r="124" spans="1:27" ht="18.75" customHeight="1">
      <c r="A124" s="3336" t="str">
        <f>IF(项目基本情况!B9="房地产市场价值","",MID(E109,3,LEN(E109)-2))</f>
        <v/>
      </c>
      <c r="B124" s="3336"/>
      <c r="C124" s="3336"/>
      <c r="D124" s="3325" t="str">
        <f>H109</f>
        <v>——</v>
      </c>
      <c r="E124" s="3326"/>
      <c r="F124" s="3326"/>
      <c r="G124" s="3326"/>
      <c r="H124" s="3326"/>
      <c r="I124" s="3327"/>
      <c r="AA124" s="734"/>
    </row>
    <row r="125" spans="1:27" ht="18.75" customHeight="1">
      <c r="A125" s="3324" t="s">
        <v>2078</v>
      </c>
      <c r="B125" s="3324"/>
      <c r="C125" s="3324"/>
      <c r="D125" s="3330" t="e">
        <f>NUMBERSTRING(INT(D124*10000),2)&amp;"元整"</f>
        <v>#VALUE!</v>
      </c>
      <c r="E125" s="3332"/>
      <c r="F125" s="3332"/>
      <c r="G125" s="3332"/>
      <c r="H125" s="3332"/>
      <c r="I125" s="3331"/>
      <c r="AA125" s="734"/>
    </row>
    <row r="126" spans="1:27" ht="18.75" customHeight="1">
      <c r="A126" s="3336" t="str">
        <f>IF(项目基本情况!B9="房地产市场价值","",MID(E111,3,LEN(E111)-2))</f>
        <v/>
      </c>
      <c r="B126" s="3336"/>
      <c r="C126" s="3336"/>
      <c r="D126" s="3325" t="str">
        <f>H111</f>
        <v>——</v>
      </c>
      <c r="E126" s="3326"/>
      <c r="F126" s="3326"/>
      <c r="G126" s="3326"/>
      <c r="H126" s="3326"/>
      <c r="I126" s="3327"/>
      <c r="AA126" s="734"/>
    </row>
    <row r="127" spans="1:27" ht="18.75" customHeight="1">
      <c r="A127" s="3324" t="s">
        <v>2078</v>
      </c>
      <c r="B127" s="3324"/>
      <c r="C127" s="3324"/>
      <c r="D127" s="3330" t="e">
        <f>NUMBERSTRING(INT(D126*10000),2)&amp;"元整"</f>
        <v>#VALUE!</v>
      </c>
      <c r="E127" s="3332"/>
      <c r="F127" s="3332"/>
      <c r="G127" s="3332"/>
      <c r="H127" s="3332"/>
      <c r="I127" s="3331"/>
      <c r="AA127" s="734"/>
    </row>
    <row r="128" spans="1:27" ht="21.75" customHeight="1">
      <c r="A128" s="3333" t="s">
        <v>2079</v>
      </c>
      <c r="B128" s="3333"/>
      <c r="C128" s="3333"/>
      <c r="D128" s="3333"/>
      <c r="E128" s="3333"/>
      <c r="F128" s="3333"/>
      <c r="G128" s="3333"/>
      <c r="H128" s="3333"/>
      <c r="I128" s="3333"/>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10" zoomScale="80" zoomScaleNormal="60" zoomScaleSheetLayoutView="80" workbookViewId="0">
      <selection activeCell="K14" sqref="K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t="s">
        <v>3124</v>
      </c>
      <c r="E1" s="1374"/>
      <c r="F1" s="2035" t="s">
        <v>3151</v>
      </c>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IF(C2="——",ROUND(C43*D3/10000,0),ROUND(C43*D3/10000,0)-D2)</f>
        <v>#DIV/0!</v>
      </c>
      <c r="C2" s="2037" t="s">
        <v>70</v>
      </c>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IF(C2="——",C43,ROUND(B2*10000/D3,0))</f>
        <v>#DIV/0!</v>
      </c>
      <c r="C3" s="360" t="s">
        <v>2405</v>
      </c>
      <c r="D3" s="359">
        <f>IF(D1="",'数据-汇总表'!E3,SUMIF('数据-汇总表'!$C19:$C33,D1,'数据-汇总表'!$E19:$E33))</f>
        <v>1949.77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25" t="s">
        <v>2407</v>
      </c>
      <c r="D4" s="3426"/>
      <c r="E4" s="3427" t="s">
        <v>2408</v>
      </c>
      <c r="F4" s="3428"/>
      <c r="G4" s="3425" t="s">
        <v>2409</v>
      </c>
      <c r="H4" s="3426"/>
      <c r="I4" s="3425" t="s">
        <v>2410</v>
      </c>
      <c r="J4" s="3426"/>
      <c r="K4" s="567" t="s">
        <v>2411</v>
      </c>
      <c r="L4" s="1044"/>
      <c r="M4" s="1045"/>
      <c r="N4" s="1045"/>
      <c r="O4" s="1045"/>
      <c r="P4" s="3429" t="s">
        <v>2412</v>
      </c>
      <c r="Q4" s="3430"/>
      <c r="R4" s="3411" t="s">
        <v>2408</v>
      </c>
      <c r="S4" s="3412"/>
      <c r="T4" s="3411" t="s">
        <v>2409</v>
      </c>
      <c r="U4" s="3412"/>
      <c r="V4" s="3437" t="s">
        <v>2410</v>
      </c>
      <c r="W4" s="3437"/>
      <c r="X4" s="1509"/>
      <c r="Y4" s="3411" t="s">
        <v>2412</v>
      </c>
      <c r="Z4" s="3412"/>
      <c r="AA4" s="3406" t="s">
        <v>2408</v>
      </c>
      <c r="AB4" s="3407" t="s">
        <v>2409</v>
      </c>
      <c r="AC4" s="3406" t="s">
        <v>2410</v>
      </c>
    </row>
    <row r="5" spans="1:29" ht="15">
      <c r="A5" s="364"/>
      <c r="B5" s="365"/>
      <c r="C5" s="3417" t="s">
        <v>2303</v>
      </c>
      <c r="D5" s="3418"/>
      <c r="E5" s="3415" t="s">
        <v>3152</v>
      </c>
      <c r="F5" s="3416"/>
      <c r="G5" s="3421" t="s">
        <v>3153</v>
      </c>
      <c r="H5" s="3418"/>
      <c r="I5" s="3421" t="s">
        <v>3154</v>
      </c>
      <c r="J5" s="3418"/>
      <c r="K5" s="567"/>
      <c r="L5" s="1044"/>
      <c r="M5" s="1045"/>
      <c r="N5" s="1045"/>
      <c r="O5" s="1045"/>
      <c r="P5" s="3431"/>
      <c r="Q5" s="3432"/>
      <c r="R5" s="3413"/>
      <c r="S5" s="3414"/>
      <c r="T5" s="3413"/>
      <c r="U5" s="3414"/>
      <c r="V5" s="3437"/>
      <c r="W5" s="3437"/>
      <c r="X5" s="1509"/>
      <c r="Y5" s="3413"/>
      <c r="Z5" s="3414"/>
      <c r="AA5" s="3407"/>
      <c r="AB5" s="3407"/>
      <c r="AC5" s="3407"/>
    </row>
    <row r="6" spans="1:29" ht="15.75" thickBot="1">
      <c r="A6" s="366"/>
      <c r="B6" s="367"/>
      <c r="C6" s="3419" t="s">
        <v>2307</v>
      </c>
      <c r="D6" s="3420"/>
      <c r="E6" s="3422" t="s">
        <v>2307</v>
      </c>
      <c r="F6" s="3423"/>
      <c r="G6" s="3419" t="s">
        <v>2307</v>
      </c>
      <c r="H6" s="3420"/>
      <c r="I6" s="3419" t="s">
        <v>2307</v>
      </c>
      <c r="J6" s="3420"/>
      <c r="K6" s="567" t="s">
        <v>2308</v>
      </c>
      <c r="L6" s="1044"/>
      <c r="M6" s="1045"/>
      <c r="N6" s="1045"/>
      <c r="O6" s="1045"/>
      <c r="P6" s="3433"/>
      <c r="Q6" s="3434"/>
      <c r="R6" s="3413"/>
      <c r="S6" s="3414"/>
      <c r="T6" s="3435"/>
      <c r="U6" s="3436"/>
      <c r="V6" s="3437"/>
      <c r="W6" s="3437"/>
      <c r="X6" s="1509"/>
      <c r="Y6" s="3435"/>
      <c r="Z6" s="3436"/>
      <c r="AA6" s="3408"/>
      <c r="AB6" s="3408"/>
      <c r="AC6" s="3408"/>
    </row>
    <row r="7" spans="1:29" s="113" customFormat="1" ht="15.75" thickBot="1">
      <c r="A7" s="368" t="s">
        <v>2309</v>
      </c>
      <c r="B7" s="369"/>
      <c r="C7" s="370">
        <f>'数据-取费表'!B2</f>
        <v>44781</v>
      </c>
      <c r="D7" s="371">
        <v>100</v>
      </c>
      <c r="E7" s="372">
        <v>44396</v>
      </c>
      <c r="F7" s="373">
        <f>SUMIF(52:52,YEAR(E7)&amp;"-"&amp;MONTH(E7),53:53)</f>
        <v>0</v>
      </c>
      <c r="G7" s="372">
        <v>44382</v>
      </c>
      <c r="H7" s="371">
        <f>SUMIF(52:52,YEAR(G7)&amp;"-"&amp;MONTH(G7),53:53)</f>
        <v>0</v>
      </c>
      <c r="I7" s="372">
        <v>44382</v>
      </c>
      <c r="J7" s="371">
        <f>SUMIF(52:52,YEAR(I7)&amp;"-"&amp;MONTH(I7),53:53)</f>
        <v>0</v>
      </c>
      <c r="K7" s="568"/>
      <c r="L7" s="1046"/>
      <c r="M7" s="1047"/>
      <c r="N7" s="1047"/>
      <c r="O7" s="1047"/>
      <c r="P7" s="3409" t="s">
        <v>2310</v>
      </c>
      <c r="Q7" s="3438"/>
      <c r="R7" s="710" t="s">
        <v>17</v>
      </c>
      <c r="S7" s="711">
        <f t="shared" ref="S7:S15" si="0">F7</f>
        <v>0</v>
      </c>
      <c r="T7" s="710" t="s">
        <v>17</v>
      </c>
      <c r="U7" s="711">
        <f t="shared" ref="U7:U15" si="1">H7</f>
        <v>0</v>
      </c>
      <c r="V7" s="710" t="s">
        <v>17</v>
      </c>
      <c r="W7" s="711">
        <f t="shared" ref="W7:W15" si="2">J7</f>
        <v>0</v>
      </c>
      <c r="X7" s="712"/>
      <c r="Y7" s="3409" t="s">
        <v>2310</v>
      </c>
      <c r="Z7" s="3410"/>
      <c r="AA7" s="713" t="e">
        <f>D7/F7</f>
        <v>#DIV/0!</v>
      </c>
      <c r="AB7" s="713" t="e">
        <f>D7/H7</f>
        <v>#DIV/0!</v>
      </c>
      <c r="AC7" s="713" t="e">
        <f>D7/J7</f>
        <v>#DIV/0!</v>
      </c>
    </row>
    <row r="8" spans="1:29" s="113" customFormat="1" ht="15.75" thickBot="1">
      <c r="A8" s="368" t="s">
        <v>2311</v>
      </c>
      <c r="B8" s="369"/>
      <c r="C8" s="374" t="s">
        <v>2312</v>
      </c>
      <c r="D8" s="371">
        <v>100</v>
      </c>
      <c r="E8" s="374" t="s">
        <v>3156</v>
      </c>
      <c r="F8" s="373">
        <f>SUMIF(55:55,E8,56:56)-SUMIF(55:55,C8,56:56)+100</f>
        <v>100</v>
      </c>
      <c r="G8" s="374" t="s">
        <v>3156</v>
      </c>
      <c r="H8" s="371">
        <f>SUMIF(55:55,G8,56:56)-SUMIF(55:55,C8,56:56)+100</f>
        <v>100</v>
      </c>
      <c r="I8" s="374" t="s">
        <v>3156</v>
      </c>
      <c r="J8" s="371">
        <f>SUMIF(55:55,I8,56:56)-SUMIF(55:55,C8,56:56)+100</f>
        <v>100</v>
      </c>
      <c r="K8" s="568"/>
      <c r="L8" s="1046"/>
      <c r="M8" s="1047"/>
      <c r="N8" s="1047"/>
      <c r="O8" s="1047"/>
      <c r="P8" s="3409" t="s">
        <v>2313</v>
      </c>
      <c r="Q8" s="3410"/>
      <c r="R8" s="710" t="s">
        <v>17</v>
      </c>
      <c r="S8" s="711">
        <f t="shared" si="0"/>
        <v>100</v>
      </c>
      <c r="T8" s="710" t="s">
        <v>17</v>
      </c>
      <c r="U8" s="711">
        <f t="shared" si="1"/>
        <v>100</v>
      </c>
      <c r="V8" s="710" t="s">
        <v>17</v>
      </c>
      <c r="W8" s="711">
        <f t="shared" si="2"/>
        <v>100</v>
      </c>
      <c r="X8" s="712"/>
      <c r="Y8" s="3409" t="s">
        <v>2313</v>
      </c>
      <c r="Z8" s="3410"/>
      <c r="AA8" s="713">
        <f t="shared" ref="AA8:AA40" si="3">D8/F8</f>
        <v>1</v>
      </c>
      <c r="AB8" s="713">
        <f t="shared" ref="AB8:AB40" si="4">D8/H8</f>
        <v>1</v>
      </c>
      <c r="AC8" s="713">
        <f t="shared" ref="AC8:AC40" si="5">D8/J8</f>
        <v>1</v>
      </c>
    </row>
    <row r="9" spans="1:29" s="113" customFormat="1">
      <c r="A9" s="375" t="s">
        <v>2314</v>
      </c>
      <c r="B9" s="67" t="s">
        <v>2315</v>
      </c>
      <c r="C9" s="3213" t="s">
        <v>3157</v>
      </c>
      <c r="D9" s="131">
        <v>100</v>
      </c>
      <c r="E9" s="379" t="s">
        <v>6</v>
      </c>
      <c r="F9" s="131">
        <f>SUMIF(57:57,E9,58:58)-SUMIF(57:57,C9,58:58)+100</f>
        <v>100</v>
      </c>
      <c r="G9" s="377" t="s">
        <v>6</v>
      </c>
      <c r="H9" s="131">
        <f>SUMIF(57:57,G9,58:58)-SUMIF(57:57,C9,58:58)+100</f>
        <v>100</v>
      </c>
      <c r="I9" s="377" t="s">
        <v>6</v>
      </c>
      <c r="J9" s="131">
        <f>SUMIF(57:57,I9,58:58)-SUMIF(57:57,C9,58:58)+100</f>
        <v>100</v>
      </c>
      <c r="K9" s="568"/>
      <c r="L9" s="1046"/>
      <c r="M9" s="1047"/>
      <c r="N9" s="1047"/>
      <c r="O9" s="1048"/>
      <c r="P9" s="3424" t="s">
        <v>2316</v>
      </c>
      <c r="Q9" s="1497" t="str">
        <f t="shared" ref="Q9:Q15" si="6">B9</f>
        <v>用途</v>
      </c>
      <c r="R9" s="710" t="s">
        <v>17</v>
      </c>
      <c r="S9" s="711">
        <f t="shared" si="0"/>
        <v>100</v>
      </c>
      <c r="T9" s="710" t="s">
        <v>17</v>
      </c>
      <c r="U9" s="711">
        <f t="shared" si="1"/>
        <v>100</v>
      </c>
      <c r="V9" s="710" t="s">
        <v>17</v>
      </c>
      <c r="W9" s="711">
        <f t="shared" si="2"/>
        <v>100</v>
      </c>
      <c r="X9" s="712"/>
      <c r="Y9" s="3382" t="s">
        <v>2317</v>
      </c>
      <c r="Z9" s="55" t="str">
        <f t="shared" ref="Z9:Z15" si="7">Q9</f>
        <v>用途</v>
      </c>
      <c r="AA9" s="713">
        <f t="shared" si="3"/>
        <v>1</v>
      </c>
      <c r="AB9" s="713">
        <f t="shared" si="4"/>
        <v>1</v>
      </c>
      <c r="AC9" s="713">
        <f t="shared" si="5"/>
        <v>1</v>
      </c>
    </row>
    <row r="10" spans="1:29" s="386" customFormat="1" ht="27">
      <c r="A10" s="380"/>
      <c r="B10" s="381" t="s">
        <v>2318</v>
      </c>
      <c r="C10" s="382" t="s">
        <v>3155</v>
      </c>
      <c r="D10" s="132">
        <v>100</v>
      </c>
      <c r="E10" s="382" t="s">
        <v>3155</v>
      </c>
      <c r="F10" s="132">
        <f>SUMIF(59:59,E10,60:60)-SUMIF(59:59,C10,60:60)+100</f>
        <v>100</v>
      </c>
      <c r="G10" s="382" t="s">
        <v>3155</v>
      </c>
      <c r="H10" s="132">
        <f>SUMIF(59:59,G10,60:60)-SUMIF(59:59,C10,60:60)+100</f>
        <v>100</v>
      </c>
      <c r="I10" s="382" t="s">
        <v>3155</v>
      </c>
      <c r="J10" s="132">
        <f>SUMIF(59:59,I10,60:60)-SUMIF(59:59,C10,60:60)+100</f>
        <v>100</v>
      </c>
      <c r="K10" s="569">
        <v>2</v>
      </c>
      <c r="L10" s="1049"/>
      <c r="M10" s="1050"/>
      <c r="N10" s="1050"/>
      <c r="O10" s="1051"/>
      <c r="P10" s="3424"/>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387"/>
      <c r="B11" s="381" t="s">
        <v>2319</v>
      </c>
      <c r="C11" s="388"/>
      <c r="D11" s="132">
        <v>100</v>
      </c>
      <c r="E11" s="388"/>
      <c r="F11" s="132">
        <f>LOOKUP(E11,62:62,63:63)-LOOKUP(C11,62:62,63:63)+100</f>
        <v>100</v>
      </c>
      <c r="G11" s="389"/>
      <c r="H11" s="132">
        <f>LOOKUP(G11,62:62,63:63)-LOOKUP(C11,62:62,63:63)+100</f>
        <v>100</v>
      </c>
      <c r="I11" s="388"/>
      <c r="J11" s="132">
        <f>LOOKUP(I11,62:62,63:63)-LOOKUP(C11,62:62,63:63)+100</f>
        <v>100</v>
      </c>
      <c r="K11" s="569"/>
      <c r="L11" s="1052"/>
      <c r="M11" s="1045"/>
      <c r="N11" s="1045"/>
      <c r="O11" s="1053"/>
      <c r="P11" s="3424"/>
      <c r="Q11" s="1497" t="str">
        <f t="shared" si="6"/>
        <v>容积率</v>
      </c>
      <c r="R11" s="710" t="s">
        <v>17</v>
      </c>
      <c r="S11" s="711">
        <f t="shared" si="0"/>
        <v>100</v>
      </c>
      <c r="T11" s="710" t="s">
        <v>17</v>
      </c>
      <c r="U11" s="711">
        <f t="shared" si="1"/>
        <v>100</v>
      </c>
      <c r="V11" s="710" t="s">
        <v>17</v>
      </c>
      <c r="W11" s="711">
        <f t="shared" si="2"/>
        <v>100</v>
      </c>
      <c r="X11" s="712"/>
      <c r="Y11" s="3382"/>
      <c r="Z11" s="55" t="str">
        <f t="shared" si="7"/>
        <v>容积率</v>
      </c>
      <c r="AA11" s="713">
        <f t="shared" si="3"/>
        <v>1</v>
      </c>
      <c r="AB11" s="713">
        <f t="shared" si="4"/>
        <v>1</v>
      </c>
      <c r="AC11" s="713">
        <f t="shared" si="5"/>
        <v>1</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24"/>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24"/>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24"/>
      <c r="Q14" s="1497">
        <f t="shared" si="6"/>
        <v>111</v>
      </c>
      <c r="R14" s="710" t="s">
        <v>17</v>
      </c>
      <c r="S14" s="711">
        <f t="shared" si="0"/>
        <v>100</v>
      </c>
      <c r="T14" s="710" t="s">
        <v>17</v>
      </c>
      <c r="U14" s="711">
        <f t="shared" si="1"/>
        <v>100</v>
      </c>
      <c r="V14" s="710" t="s">
        <v>17</v>
      </c>
      <c r="W14" s="711">
        <f t="shared" si="2"/>
        <v>100</v>
      </c>
      <c r="X14" s="712"/>
      <c r="Y14" s="3382"/>
      <c r="Z14" s="55">
        <f t="shared" si="7"/>
        <v>111</v>
      </c>
      <c r="AA14" s="713">
        <f t="shared" si="3"/>
        <v>1</v>
      </c>
      <c r="AB14" s="713">
        <f t="shared" si="4"/>
        <v>1</v>
      </c>
      <c r="AC14" s="713">
        <f t="shared" si="5"/>
        <v>1</v>
      </c>
    </row>
    <row r="15" spans="1:29" ht="15">
      <c r="A15" s="399" t="s">
        <v>2320</v>
      </c>
      <c r="B15" s="65" t="s">
        <v>2464</v>
      </c>
      <c r="C15" s="2127" t="str">
        <f>估价对象房地状况!G3</f>
        <v>一般</v>
      </c>
      <c r="D15" s="400">
        <v>100</v>
      </c>
      <c r="E15" s="401"/>
      <c r="F15" s="402">
        <f>SUMIF(70:70,E16,71:71)-SUMIF(70:70,C16,71:71)+100</f>
        <v>100</v>
      </c>
      <c r="G15" s="403"/>
      <c r="H15" s="400">
        <f>SUMIF(70:70,G16,71:71)-SUMIF(70:70,C16,71:71)+100</f>
        <v>100</v>
      </c>
      <c r="I15" s="401"/>
      <c r="J15" s="400">
        <f>SUMIF(70:70,I16,71:71)-SUMIF(70:70,C16,71:71)+100</f>
        <v>100</v>
      </c>
      <c r="K15" s="571">
        <v>2</v>
      </c>
      <c r="L15" s="1054"/>
      <c r="M15" s="1045"/>
      <c r="N15" s="1045"/>
      <c r="O15" s="1053"/>
      <c r="P15" s="3439" t="s">
        <v>2321</v>
      </c>
      <c r="Q15" s="1506" t="str">
        <f t="shared" si="6"/>
        <v>产业集聚程度</v>
      </c>
      <c r="R15" s="714" t="s">
        <v>17</v>
      </c>
      <c r="S15" s="715">
        <f t="shared" si="0"/>
        <v>100</v>
      </c>
      <c r="T15" s="714" t="s">
        <v>17</v>
      </c>
      <c r="U15" s="715">
        <f t="shared" si="1"/>
        <v>100</v>
      </c>
      <c r="V15" s="714" t="s">
        <v>17</v>
      </c>
      <c r="W15" s="715">
        <f t="shared" si="2"/>
        <v>100</v>
      </c>
      <c r="X15" s="1509"/>
      <c r="Y15" s="3439" t="s">
        <v>2321</v>
      </c>
      <c r="Z15" s="1510" t="str">
        <f t="shared" si="7"/>
        <v>产业集聚程度</v>
      </c>
      <c r="AA15" s="1507">
        <f t="shared" si="3"/>
        <v>1</v>
      </c>
      <c r="AB15" s="1507">
        <f t="shared" si="4"/>
        <v>1</v>
      </c>
      <c r="AC15" s="1507">
        <f t="shared" si="5"/>
        <v>1</v>
      </c>
    </row>
    <row r="16" spans="1:29" ht="15">
      <c r="A16" s="387"/>
      <c r="B16" s="405"/>
      <c r="C16" s="406" t="s">
        <v>3145</v>
      </c>
      <c r="D16" s="407"/>
      <c r="E16" s="406" t="s">
        <v>3145</v>
      </c>
      <c r="F16" s="408"/>
      <c r="G16" s="406" t="s">
        <v>3145</v>
      </c>
      <c r="H16" s="409"/>
      <c r="I16" s="406" t="s">
        <v>3145</v>
      </c>
      <c r="J16" s="407"/>
      <c r="K16" s="572"/>
      <c r="L16" s="1054"/>
      <c r="M16" s="1045"/>
      <c r="N16" s="1045"/>
      <c r="O16" s="1053"/>
      <c r="P16" s="3440"/>
      <c r="Q16" s="1506"/>
      <c r="R16" s="714"/>
      <c r="S16" s="715"/>
      <c r="T16" s="714"/>
      <c r="U16" s="715"/>
      <c r="V16" s="714"/>
      <c r="W16" s="715"/>
      <c r="X16" s="1509"/>
      <c r="Y16" s="3440"/>
      <c r="Z16" s="1510"/>
      <c r="AA16" s="1507">
        <v>1</v>
      </c>
      <c r="AB16" s="1507">
        <v>1</v>
      </c>
      <c r="AC16" s="1507">
        <v>1</v>
      </c>
    </row>
    <row r="17" spans="1:29" ht="15">
      <c r="A17" s="387"/>
      <c r="B17" s="410" t="s">
        <v>1885</v>
      </c>
      <c r="C17" s="205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v>2</v>
      </c>
      <c r="L17" s="1054"/>
      <c r="M17" s="1045"/>
      <c r="N17" s="1045"/>
      <c r="O17" s="1053"/>
      <c r="P17" s="3440"/>
      <c r="Q17" s="1506" t="str">
        <f>B17</f>
        <v>交通便捷度</v>
      </c>
      <c r="R17" s="714" t="s">
        <v>17</v>
      </c>
      <c r="S17" s="715">
        <f>F17</f>
        <v>100</v>
      </c>
      <c r="T17" s="714" t="s">
        <v>17</v>
      </c>
      <c r="U17" s="715">
        <f>H17</f>
        <v>100</v>
      </c>
      <c r="V17" s="714" t="s">
        <v>17</v>
      </c>
      <c r="W17" s="715">
        <f>J17</f>
        <v>100</v>
      </c>
      <c r="X17" s="1509"/>
      <c r="Y17" s="3440"/>
      <c r="Z17" s="1510" t="str">
        <f>Q17</f>
        <v>交通便捷度</v>
      </c>
      <c r="AA17" s="1507">
        <f t="shared" si="3"/>
        <v>1</v>
      </c>
      <c r="AB17" s="1507">
        <f t="shared" si="4"/>
        <v>1</v>
      </c>
      <c r="AC17" s="1507">
        <f t="shared" si="5"/>
        <v>1</v>
      </c>
    </row>
    <row r="18" spans="1:29" ht="15">
      <c r="A18" s="387"/>
      <c r="B18" s="415"/>
      <c r="C18" s="2057" t="s">
        <v>3145</v>
      </c>
      <c r="D18" s="409"/>
      <c r="E18" s="2059" t="s">
        <v>3145</v>
      </c>
      <c r="F18" s="412"/>
      <c r="G18" s="2058" t="s">
        <v>3145</v>
      </c>
      <c r="H18" s="407"/>
      <c r="I18" s="2059" t="s">
        <v>3145</v>
      </c>
      <c r="J18" s="407"/>
      <c r="K18" s="572"/>
      <c r="L18" s="1054"/>
      <c r="M18" s="1045"/>
      <c r="N18" s="1045"/>
      <c r="O18" s="1053"/>
      <c r="P18" s="3440"/>
      <c r="Q18" s="1506"/>
      <c r="R18" s="714"/>
      <c r="S18" s="715"/>
      <c r="T18" s="714"/>
      <c r="U18" s="715"/>
      <c r="V18" s="714"/>
      <c r="W18" s="715"/>
      <c r="X18" s="1509"/>
      <c r="Y18" s="3440"/>
      <c r="Z18" s="1510"/>
      <c r="AA18" s="1507">
        <v>1</v>
      </c>
      <c r="AB18" s="1507">
        <v>1</v>
      </c>
      <c r="AC18" s="1507">
        <v>1</v>
      </c>
    </row>
    <row r="19" spans="1:29" ht="15">
      <c r="A19" s="387"/>
      <c r="B19" s="410" t="s">
        <v>2449</v>
      </c>
      <c r="C19" s="2056" t="str">
        <f>估价对象房地状况!G5</f>
        <v>较差</v>
      </c>
      <c r="D19" s="414">
        <v>100</v>
      </c>
      <c r="E19" s="416"/>
      <c r="F19" s="417">
        <f>SUMIF(74:74,E20,75:75)-SUMIF(74:74,C20,75:75)+100</f>
        <v>100</v>
      </c>
      <c r="G19" s="418"/>
      <c r="H19" s="409">
        <f>SUMIF(74:74,G20,75:75)-SUMIF(74:74,C20,75:75)+100</f>
        <v>100</v>
      </c>
      <c r="I19" s="416"/>
      <c r="J19" s="409">
        <f>SUMIF(74:74,I20,75:75)-SUMIF(74:74,C20,75:75)+100</f>
        <v>100</v>
      </c>
      <c r="K19" s="571">
        <v>2</v>
      </c>
      <c r="L19" s="1054"/>
      <c r="M19" s="1045"/>
      <c r="N19" s="1045"/>
      <c r="O19" s="1053"/>
      <c r="P19" s="3440"/>
      <c r="Q19" s="1506" t="str">
        <f>B19</f>
        <v>公共配套设施</v>
      </c>
      <c r="R19" s="714" t="s">
        <v>17</v>
      </c>
      <c r="S19" s="715">
        <f>F19</f>
        <v>100</v>
      </c>
      <c r="T19" s="714" t="s">
        <v>17</v>
      </c>
      <c r="U19" s="715">
        <f>H19</f>
        <v>100</v>
      </c>
      <c r="V19" s="714" t="s">
        <v>17</v>
      </c>
      <c r="W19" s="715">
        <f>J19</f>
        <v>100</v>
      </c>
      <c r="X19" s="1509"/>
      <c r="Y19" s="3440"/>
      <c r="Z19" s="1510" t="str">
        <f>Q19</f>
        <v>公共配套设施</v>
      </c>
      <c r="AA19" s="1507">
        <f t="shared" si="3"/>
        <v>1</v>
      </c>
      <c r="AB19" s="1507">
        <f t="shared" si="4"/>
        <v>1</v>
      </c>
      <c r="AC19" s="1507">
        <f t="shared" si="5"/>
        <v>1</v>
      </c>
    </row>
    <row r="20" spans="1:29" ht="15">
      <c r="A20" s="387"/>
      <c r="B20" s="415"/>
      <c r="C20" s="406" t="s">
        <v>3172</v>
      </c>
      <c r="D20" s="407"/>
      <c r="E20" s="406" t="s">
        <v>3172</v>
      </c>
      <c r="F20" s="408"/>
      <c r="G20" s="406" t="s">
        <v>3172</v>
      </c>
      <c r="H20" s="407"/>
      <c r="I20" s="406" t="s">
        <v>3172</v>
      </c>
      <c r="J20" s="407"/>
      <c r="K20" s="572"/>
      <c r="L20" s="1054"/>
      <c r="M20" s="1045"/>
      <c r="N20" s="1045"/>
      <c r="O20" s="1053"/>
      <c r="P20" s="3440"/>
      <c r="Q20" s="1506"/>
      <c r="R20" s="714"/>
      <c r="S20" s="715"/>
      <c r="T20" s="714"/>
      <c r="U20" s="715"/>
      <c r="V20" s="714"/>
      <c r="W20" s="715"/>
      <c r="X20" s="1509"/>
      <c r="Y20" s="3440"/>
      <c r="Z20" s="1510"/>
      <c r="AA20" s="1507">
        <v>1</v>
      </c>
      <c r="AB20" s="1507">
        <v>1</v>
      </c>
      <c r="AC20" s="1507">
        <v>1</v>
      </c>
    </row>
    <row r="21" spans="1:29" ht="15">
      <c r="A21" s="387"/>
      <c r="B21" s="1265" t="s">
        <v>2450</v>
      </c>
      <c r="C21" s="2056" t="str">
        <f>估价对象房地状况!G6</f>
        <v>五通</v>
      </c>
      <c r="D21" s="409">
        <v>100</v>
      </c>
      <c r="E21" s="416"/>
      <c r="F21" s="417">
        <f>SUMIF(76:76,E22,77:77)-SUMIF(76:76,C22,77:77)+100</f>
        <v>100</v>
      </c>
      <c r="G21" s="418"/>
      <c r="H21" s="409">
        <f>SUMIF(76:76,G22,77:77)-SUMIF(76:76,C22,77:77)+100</f>
        <v>100</v>
      </c>
      <c r="I21" s="416"/>
      <c r="J21" s="409">
        <f>SUMIF(76:76,I22,77:77)-SUMIF(76:76,C22,77:77)+100</f>
        <v>100</v>
      </c>
      <c r="K21" s="571">
        <v>2</v>
      </c>
      <c r="L21" s="1054"/>
      <c r="M21" s="1045"/>
      <c r="N21" s="1045"/>
      <c r="O21" s="1053"/>
      <c r="P21" s="3440"/>
      <c r="Q21" s="1506" t="str">
        <f>B21</f>
        <v>基础设施水平</v>
      </c>
      <c r="R21" s="714" t="s">
        <v>17</v>
      </c>
      <c r="S21" s="715">
        <f>F21</f>
        <v>100</v>
      </c>
      <c r="T21" s="714" t="s">
        <v>17</v>
      </c>
      <c r="U21" s="715">
        <f>H21</f>
        <v>100</v>
      </c>
      <c r="V21" s="714" t="s">
        <v>17</v>
      </c>
      <c r="W21" s="715">
        <f>J21</f>
        <v>100</v>
      </c>
      <c r="X21" s="1509"/>
      <c r="Y21" s="3440"/>
      <c r="Z21" s="1510" t="str">
        <f>Q21</f>
        <v>基础设施水平</v>
      </c>
      <c r="AA21" s="1507">
        <f t="shared" ref="AA21" si="8">D21/F21</f>
        <v>1</v>
      </c>
      <c r="AB21" s="1507">
        <f t="shared" ref="AB21" si="9">D21/H21</f>
        <v>1</v>
      </c>
      <c r="AC21" s="1507">
        <f t="shared" ref="AC21" si="10">D21/J21</f>
        <v>1</v>
      </c>
    </row>
    <row r="22" spans="1:29" ht="15">
      <c r="A22" s="387"/>
      <c r="B22" s="1265"/>
      <c r="C22" s="2057" t="s">
        <v>3148</v>
      </c>
      <c r="D22" s="407"/>
      <c r="E22" s="406" t="s">
        <v>3148</v>
      </c>
      <c r="F22" s="408"/>
      <c r="G22" s="406" t="s">
        <v>3148</v>
      </c>
      <c r="H22" s="407"/>
      <c r="I22" s="406" t="s">
        <v>3148</v>
      </c>
      <c r="J22" s="407"/>
      <c r="K22" s="1264"/>
      <c r="L22" s="1054"/>
      <c r="M22" s="1045"/>
      <c r="N22" s="1045"/>
      <c r="O22" s="1053"/>
      <c r="P22" s="3440"/>
      <c r="Q22" s="1506"/>
      <c r="R22" s="714"/>
      <c r="S22" s="715"/>
      <c r="T22" s="714"/>
      <c r="U22" s="715"/>
      <c r="V22" s="714"/>
      <c r="W22" s="715"/>
      <c r="X22" s="1509"/>
      <c r="Y22" s="3440"/>
      <c r="Z22" s="1510"/>
      <c r="AA22" s="1507">
        <v>1</v>
      </c>
      <c r="AB22" s="1507">
        <v>1</v>
      </c>
      <c r="AC22" s="1507">
        <v>1</v>
      </c>
    </row>
    <row r="23" spans="1:29" ht="15">
      <c r="A23" s="387"/>
      <c r="B23" s="410" t="s">
        <v>2451</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v>2</v>
      </c>
      <c r="L23" s="1054"/>
      <c r="M23" s="1045"/>
      <c r="N23" s="1045"/>
      <c r="O23" s="1053"/>
      <c r="P23" s="3440"/>
      <c r="Q23" s="1506" t="str">
        <f>B23</f>
        <v>环境质量</v>
      </c>
      <c r="R23" s="714" t="s">
        <v>17</v>
      </c>
      <c r="S23" s="715">
        <f>F23</f>
        <v>100</v>
      </c>
      <c r="T23" s="714" t="s">
        <v>17</v>
      </c>
      <c r="U23" s="715">
        <f>H23</f>
        <v>100</v>
      </c>
      <c r="V23" s="714" t="s">
        <v>17</v>
      </c>
      <c r="W23" s="715">
        <f>J23</f>
        <v>100</v>
      </c>
      <c r="X23" s="1509"/>
      <c r="Y23" s="3440"/>
      <c r="Z23" s="1510" t="str">
        <f>Q23</f>
        <v>环境质量</v>
      </c>
      <c r="AA23" s="1507">
        <f t="shared" si="3"/>
        <v>1</v>
      </c>
      <c r="AB23" s="1507">
        <f t="shared" si="4"/>
        <v>1</v>
      </c>
      <c r="AC23" s="1507">
        <f t="shared" si="5"/>
        <v>1</v>
      </c>
    </row>
    <row r="24" spans="1:29" ht="15.75" thickBot="1">
      <c r="A24" s="387"/>
      <c r="B24" s="1265"/>
      <c r="C24" s="406" t="s">
        <v>3144</v>
      </c>
      <c r="D24" s="407"/>
      <c r="E24" s="2054" t="s">
        <v>3144</v>
      </c>
      <c r="F24" s="408"/>
      <c r="G24" s="2053" t="s">
        <v>3144</v>
      </c>
      <c r="H24" s="407"/>
      <c r="I24" s="2054" t="s">
        <v>3144</v>
      </c>
      <c r="J24" s="407"/>
      <c r="K24" s="572"/>
      <c r="L24" s="1054"/>
      <c r="M24" s="1045"/>
      <c r="N24" s="1045"/>
      <c r="O24" s="1053"/>
      <c r="P24" s="3440"/>
      <c r="Q24" s="1506"/>
      <c r="R24" s="714"/>
      <c r="S24" s="715"/>
      <c r="T24" s="714"/>
      <c r="U24" s="715"/>
      <c r="V24" s="714"/>
      <c r="W24" s="715"/>
      <c r="X24" s="1509"/>
      <c r="Y24" s="3440"/>
      <c r="Z24" s="1510"/>
      <c r="AA24" s="1507">
        <v>1</v>
      </c>
      <c r="AB24" s="1507">
        <v>1</v>
      </c>
      <c r="AC24" s="1507">
        <v>1</v>
      </c>
    </row>
    <row r="25" spans="1:29" ht="15" hidden="1">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0"/>
      <c r="Q25" s="1506">
        <f>B25</f>
        <v>111</v>
      </c>
      <c r="R25" s="714" t="s">
        <v>17</v>
      </c>
      <c r="S25" s="715">
        <f>F25</f>
        <v>100</v>
      </c>
      <c r="T25" s="714" t="s">
        <v>17</v>
      </c>
      <c r="U25" s="715">
        <f>H25</f>
        <v>100</v>
      </c>
      <c r="V25" s="714" t="s">
        <v>17</v>
      </c>
      <c r="W25" s="715">
        <f>J25</f>
        <v>100</v>
      </c>
      <c r="X25" s="1509"/>
      <c r="Y25" s="3440"/>
      <c r="Z25" s="1510">
        <f>Q25</f>
        <v>111</v>
      </c>
      <c r="AA25" s="1507">
        <f t="shared" si="3"/>
        <v>1</v>
      </c>
      <c r="AB25" s="1507">
        <f t="shared" si="4"/>
        <v>1</v>
      </c>
      <c r="AC25" s="1507">
        <f t="shared" si="5"/>
        <v>1</v>
      </c>
    </row>
    <row r="26" spans="1:29" ht="15" hidden="1">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0"/>
      <c r="Q26" s="1506">
        <f t="shared" ref="Q26:Q40" si="11">B26</f>
        <v>111</v>
      </c>
      <c r="R26" s="714" t="s">
        <v>17</v>
      </c>
      <c r="S26" s="715">
        <f>F26</f>
        <v>100</v>
      </c>
      <c r="T26" s="714" t="s">
        <v>17</v>
      </c>
      <c r="U26" s="715">
        <f>H26</f>
        <v>100</v>
      </c>
      <c r="V26" s="714" t="s">
        <v>17</v>
      </c>
      <c r="W26" s="715">
        <f>J26</f>
        <v>100</v>
      </c>
      <c r="X26" s="1509"/>
      <c r="Y26" s="3440"/>
      <c r="Z26" s="1510">
        <f>Q26</f>
        <v>111</v>
      </c>
      <c r="AA26" s="1507">
        <f t="shared" si="3"/>
        <v>1</v>
      </c>
      <c r="AB26" s="1507">
        <f t="shared" si="4"/>
        <v>1</v>
      </c>
      <c r="AC26" s="1507">
        <f t="shared" si="5"/>
        <v>1</v>
      </c>
    </row>
    <row r="27" spans="1:29" s="113" customFormat="1" ht="15" hidden="1">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0"/>
      <c r="Q27" s="1497">
        <f t="shared" si="11"/>
        <v>111</v>
      </c>
      <c r="R27" s="710" t="s">
        <v>17</v>
      </c>
      <c r="S27" s="711">
        <f>F27</f>
        <v>100</v>
      </c>
      <c r="T27" s="710" t="s">
        <v>17</v>
      </c>
      <c r="U27" s="711">
        <f>H27</f>
        <v>100</v>
      </c>
      <c r="V27" s="710" t="s">
        <v>17</v>
      </c>
      <c r="W27" s="711">
        <f>J27</f>
        <v>100</v>
      </c>
      <c r="X27" s="712"/>
      <c r="Y27" s="3440"/>
      <c r="Z27" s="55">
        <f>Q27</f>
        <v>111</v>
      </c>
      <c r="AA27" s="1507">
        <f>D27/F27</f>
        <v>1</v>
      </c>
      <c r="AB27" s="1507">
        <f>D27/H27</f>
        <v>1</v>
      </c>
      <c r="AC27" s="1507">
        <f>D27/J27</f>
        <v>1</v>
      </c>
    </row>
    <row r="28" spans="1:29" ht="15.75" hidden="1"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0"/>
      <c r="Q28" s="1506">
        <f t="shared" si="11"/>
        <v>111</v>
      </c>
      <c r="R28" s="714" t="s">
        <v>17</v>
      </c>
      <c r="S28" s="715">
        <f t="shared" ref="S28:S40" si="12">F28</f>
        <v>100</v>
      </c>
      <c r="T28" s="714" t="s">
        <v>17</v>
      </c>
      <c r="U28" s="715">
        <f t="shared" ref="U28:U40" si="13">H28</f>
        <v>100</v>
      </c>
      <c r="V28" s="714" t="s">
        <v>17</v>
      </c>
      <c r="W28" s="715">
        <f t="shared" ref="W28:W40" si="14">J28</f>
        <v>100</v>
      </c>
      <c r="X28" s="1509"/>
      <c r="Y28" s="3440"/>
      <c r="Z28" s="1510">
        <f t="shared" ref="Z28:Z40" si="15">Q28</f>
        <v>111</v>
      </c>
      <c r="AA28" s="1507">
        <f t="shared" si="3"/>
        <v>1</v>
      </c>
      <c r="AB28" s="1507">
        <f t="shared" si="4"/>
        <v>1</v>
      </c>
      <c r="AC28" s="1507">
        <f t="shared" si="5"/>
        <v>1</v>
      </c>
    </row>
    <row r="29" spans="1:29" ht="28.5">
      <c r="A29" s="425" t="s">
        <v>2324</v>
      </c>
      <c r="B29" s="67" t="s">
        <v>2454</v>
      </c>
      <c r="C29" s="2123" t="s">
        <v>3124</v>
      </c>
      <c r="D29" s="426">
        <v>100</v>
      </c>
      <c r="E29" s="2123" t="s">
        <v>3124</v>
      </c>
      <c r="F29" s="420">
        <f>SUMIF(88:88,E29,89:89)-SUMIF(88:88,C29,89:89)+100</f>
        <v>100</v>
      </c>
      <c r="G29" s="2123" t="s">
        <v>3124</v>
      </c>
      <c r="H29" s="394">
        <f>SUMIF(88:88,G29,89:89)-SUMIF(88:88,C29,89:89)+100</f>
        <v>100</v>
      </c>
      <c r="I29" s="2123" t="s">
        <v>3124</v>
      </c>
      <c r="J29" s="426">
        <f>SUMIF(88:88,I29,89:89)-SUMIF(88:88,C29,89:89)+100</f>
        <v>100</v>
      </c>
      <c r="K29" s="569">
        <v>3</v>
      </c>
      <c r="L29" s="1054"/>
      <c r="M29" s="1045"/>
      <c r="N29" s="1045"/>
      <c r="O29" s="1053"/>
      <c r="P29" s="3441" t="s">
        <v>2326</v>
      </c>
      <c r="Q29" s="1506" t="str">
        <f t="shared" si="11"/>
        <v>建筑类型</v>
      </c>
      <c r="R29" s="714" t="s">
        <v>17</v>
      </c>
      <c r="S29" s="715">
        <f t="shared" si="12"/>
        <v>100</v>
      </c>
      <c r="T29" s="714" t="s">
        <v>17</v>
      </c>
      <c r="U29" s="715">
        <f t="shared" si="13"/>
        <v>100</v>
      </c>
      <c r="V29" s="714" t="s">
        <v>17</v>
      </c>
      <c r="W29" s="715">
        <f t="shared" si="14"/>
        <v>100</v>
      </c>
      <c r="X29" s="1509"/>
      <c r="Y29" s="3442" t="s">
        <v>2326</v>
      </c>
      <c r="Z29" s="1510" t="str">
        <f t="shared" si="15"/>
        <v>建筑类型</v>
      </c>
      <c r="AA29" s="1507">
        <f t="shared" si="3"/>
        <v>1</v>
      </c>
      <c r="AB29" s="1507">
        <f t="shared" si="4"/>
        <v>1</v>
      </c>
      <c r="AC29" s="1507">
        <f t="shared" si="5"/>
        <v>1</v>
      </c>
    </row>
    <row r="30" spans="1:29" s="430" customFormat="1" ht="15">
      <c r="A30" s="427"/>
      <c r="B30" s="381" t="s">
        <v>2327</v>
      </c>
      <c r="C30" s="428">
        <f>'数据-基础表'!I13</f>
        <v>1949.77</v>
      </c>
      <c r="D30" s="132">
        <v>100</v>
      </c>
      <c r="E30" s="389">
        <v>839</v>
      </c>
      <c r="F30" s="384">
        <f>LOOKUP(E30,91:91,92:92)-LOOKUP(C30,91:91,92:92)+100</f>
        <v>102</v>
      </c>
      <c r="G30" s="388">
        <v>576</v>
      </c>
      <c r="H30" s="132">
        <f>LOOKUP(G30,91:91,92:92)-LOOKUP(C30,91:91,92:92)+100</f>
        <v>102</v>
      </c>
      <c r="I30" s="388">
        <v>2175</v>
      </c>
      <c r="J30" s="132">
        <f>LOOKUP(I30,91:91,92:92)-LOOKUP(C30,91:91,92:92)+100</f>
        <v>99</v>
      </c>
      <c r="K30" s="570"/>
      <c r="L30" s="1052"/>
      <c r="M30" s="1055"/>
      <c r="N30" s="1055"/>
      <c r="O30" s="1056"/>
      <c r="P30" s="3442"/>
      <c r="Q30" s="716" t="str">
        <f t="shared" si="11"/>
        <v>项目建筑规模</v>
      </c>
      <c r="R30" s="717" t="s">
        <v>17</v>
      </c>
      <c r="S30" s="718">
        <f t="shared" si="12"/>
        <v>102</v>
      </c>
      <c r="T30" s="717" t="s">
        <v>17</v>
      </c>
      <c r="U30" s="718">
        <f t="shared" si="13"/>
        <v>102</v>
      </c>
      <c r="V30" s="717" t="s">
        <v>17</v>
      </c>
      <c r="W30" s="718">
        <f t="shared" si="14"/>
        <v>99</v>
      </c>
      <c r="X30" s="719"/>
      <c r="Y30" s="3442"/>
      <c r="Z30" s="720" t="str">
        <f t="shared" si="15"/>
        <v>项目建筑规模</v>
      </c>
      <c r="AA30" s="1507">
        <f t="shared" si="3"/>
        <v>0.98039215686274506</v>
      </c>
      <c r="AB30" s="1507">
        <f t="shared" si="4"/>
        <v>0.98039215686274506</v>
      </c>
      <c r="AC30" s="1507">
        <f t="shared" si="5"/>
        <v>1.0101010101010102</v>
      </c>
    </row>
    <row r="31" spans="1:29" ht="15">
      <c r="A31" s="431"/>
      <c r="B31" s="381" t="s">
        <v>2328</v>
      </c>
      <c r="C31" s="419" t="s">
        <v>3135</v>
      </c>
      <c r="D31" s="394">
        <v>100</v>
      </c>
      <c r="E31" s="419" t="s">
        <v>3135</v>
      </c>
      <c r="F31" s="420">
        <f>SUMIF(93:93,E31,94:94)-SUMIF(93:93,C31,94:94)+100</f>
        <v>100</v>
      </c>
      <c r="G31" s="419" t="s">
        <v>3135</v>
      </c>
      <c r="H31" s="394">
        <f>SUMIF(93:93,G31,94:94)-SUMIF(93:93,C31,94:94)+100</f>
        <v>100</v>
      </c>
      <c r="I31" s="419" t="s">
        <v>3135</v>
      </c>
      <c r="J31" s="394">
        <f>SUMIF(93:93,I31,94:94)-SUMIF(93:93,C31,94:94)+100</f>
        <v>100</v>
      </c>
      <c r="K31" s="569">
        <v>2</v>
      </c>
      <c r="L31" s="1054"/>
      <c r="M31" s="1045"/>
      <c r="N31" s="1045"/>
      <c r="O31" s="1053"/>
      <c r="P31" s="3442"/>
      <c r="Q31" s="1506" t="str">
        <f t="shared" si="11"/>
        <v>建筑结构</v>
      </c>
      <c r="R31" s="714" t="s">
        <v>17</v>
      </c>
      <c r="S31" s="715">
        <f t="shared" si="12"/>
        <v>100</v>
      </c>
      <c r="T31" s="714" t="s">
        <v>17</v>
      </c>
      <c r="U31" s="715">
        <f t="shared" si="13"/>
        <v>100</v>
      </c>
      <c r="V31" s="714" t="s">
        <v>17</v>
      </c>
      <c r="W31" s="715">
        <f t="shared" si="14"/>
        <v>100</v>
      </c>
      <c r="X31" s="1509"/>
      <c r="Y31" s="3442"/>
      <c r="Z31" s="1510" t="str">
        <f t="shared" si="15"/>
        <v>建筑结构</v>
      </c>
      <c r="AA31" s="1507">
        <f t="shared" si="3"/>
        <v>1</v>
      </c>
      <c r="AB31" s="1507">
        <f t="shared" si="4"/>
        <v>1</v>
      </c>
      <c r="AC31" s="1507">
        <f t="shared" si="5"/>
        <v>1</v>
      </c>
    </row>
    <row r="32" spans="1:29" ht="15">
      <c r="A32" s="431"/>
      <c r="B32" s="381" t="s">
        <v>2422</v>
      </c>
      <c r="C32" s="419" t="s">
        <v>3161</v>
      </c>
      <c r="D32" s="394">
        <v>100</v>
      </c>
      <c r="E32" s="419" t="s">
        <v>3161</v>
      </c>
      <c r="F32" s="420">
        <f>SUMIF(95:95,E32,96:96)-SUMIF(95:95,C32,96:96)+100</f>
        <v>100</v>
      </c>
      <c r="G32" s="419" t="s">
        <v>3161</v>
      </c>
      <c r="H32" s="394">
        <f>SUMIF(95:95,G32,96:96)-SUMIF(95:95,C32,96:96)+100</f>
        <v>100</v>
      </c>
      <c r="I32" s="419" t="s">
        <v>3161</v>
      </c>
      <c r="J32" s="394">
        <f>SUMIF(95:95,I32,96:96)-SUMIF(95:95,C32,96:96)+100</f>
        <v>100</v>
      </c>
      <c r="K32" s="569">
        <v>2</v>
      </c>
      <c r="L32" s="1054"/>
      <c r="M32" s="1045"/>
      <c r="N32" s="1045"/>
      <c r="O32" s="1053"/>
      <c r="P32" s="3442"/>
      <c r="Q32" s="1506" t="str">
        <f t="shared" si="11"/>
        <v>公共部分装修</v>
      </c>
      <c r="R32" s="714" t="s">
        <v>17</v>
      </c>
      <c r="S32" s="715">
        <f t="shared" si="12"/>
        <v>100</v>
      </c>
      <c r="T32" s="714" t="s">
        <v>17</v>
      </c>
      <c r="U32" s="715">
        <f t="shared" si="13"/>
        <v>100</v>
      </c>
      <c r="V32" s="714" t="s">
        <v>17</v>
      </c>
      <c r="W32" s="715">
        <f t="shared" si="14"/>
        <v>100</v>
      </c>
      <c r="X32" s="1509"/>
      <c r="Y32" s="3442"/>
      <c r="Z32" s="1510" t="str">
        <f t="shared" si="15"/>
        <v>公共部分装修</v>
      </c>
      <c r="AA32" s="1507">
        <f t="shared" si="3"/>
        <v>1</v>
      </c>
      <c r="AB32" s="1507">
        <f t="shared" si="4"/>
        <v>1</v>
      </c>
      <c r="AC32" s="1507">
        <f t="shared" si="5"/>
        <v>1</v>
      </c>
    </row>
    <row r="33" spans="1:29" ht="15">
      <c r="A33" s="431"/>
      <c r="B33" s="381" t="s">
        <v>2423</v>
      </c>
      <c r="C33" s="3212">
        <f>'数据-取费表'!N6</f>
        <v>0.82</v>
      </c>
      <c r="D33" s="394">
        <v>100</v>
      </c>
      <c r="E33" s="433">
        <f>C33</f>
        <v>0.82</v>
      </c>
      <c r="F33" s="420">
        <f>LOOKUP(E33,98:98,99:99)-LOOKUP(C33,98:98,99:99)+100</f>
        <v>100</v>
      </c>
      <c r="G33" s="433">
        <f>C33</f>
        <v>0.82</v>
      </c>
      <c r="H33" s="420">
        <f>LOOKUP(G33,98:98,99:99)-LOOKUP(C33,98:98,99:99)+100</f>
        <v>100</v>
      </c>
      <c r="I33" s="433">
        <f>C33</f>
        <v>0.82</v>
      </c>
      <c r="J33" s="394">
        <f>LOOKUP(I33,98:98,99:99)-LOOKUP(C33,98:98,99:99)+100</f>
        <v>100</v>
      </c>
      <c r="K33" s="569">
        <v>2</v>
      </c>
      <c r="L33" s="1054"/>
      <c r="M33" s="1045"/>
      <c r="N33" s="1045"/>
      <c r="O33" s="1053"/>
      <c r="P33" s="3442"/>
      <c r="Q33" s="1506" t="str">
        <f t="shared" si="11"/>
        <v>成新度</v>
      </c>
      <c r="R33" s="714" t="s">
        <v>17</v>
      </c>
      <c r="S33" s="715">
        <f t="shared" si="12"/>
        <v>100</v>
      </c>
      <c r="T33" s="714" t="s">
        <v>17</v>
      </c>
      <c r="U33" s="715">
        <f t="shared" si="13"/>
        <v>100</v>
      </c>
      <c r="V33" s="714" t="s">
        <v>17</v>
      </c>
      <c r="W33" s="715">
        <f t="shared" si="14"/>
        <v>100</v>
      </c>
      <c r="X33" s="1509"/>
      <c r="Y33" s="3442"/>
      <c r="Z33" s="1510" t="str">
        <f t="shared" si="15"/>
        <v>成新度</v>
      </c>
      <c r="AA33" s="1507">
        <f t="shared" si="3"/>
        <v>1</v>
      </c>
      <c r="AB33" s="1507">
        <f t="shared" si="4"/>
        <v>1</v>
      </c>
      <c r="AC33" s="1507">
        <f t="shared" si="5"/>
        <v>1</v>
      </c>
    </row>
    <row r="34" spans="1:29" s="113" customFormat="1" ht="15">
      <c r="A34" s="432"/>
      <c r="B34" s="381" t="s">
        <v>2456</v>
      </c>
      <c r="C34" s="419" t="s">
        <v>3169</v>
      </c>
      <c r="D34" s="132">
        <v>100</v>
      </c>
      <c r="E34" s="419" t="s">
        <v>3169</v>
      </c>
      <c r="F34" s="420">
        <f>SUMIF(100:100,E34,101:101)-SUMIF(100:100,C34,101:101)+100</f>
        <v>100</v>
      </c>
      <c r="G34" s="419" t="s">
        <v>3169</v>
      </c>
      <c r="H34" s="394">
        <f>SUMIF(100:100,G34,101:101)-SUMIF(100:100,C34,101:101)+100</f>
        <v>100</v>
      </c>
      <c r="I34" s="419" t="s">
        <v>3169</v>
      </c>
      <c r="J34" s="394">
        <f>SUMIF(100:100,I34,101:101)-SUMIF(100:100,C34,101:101)+100</f>
        <v>100</v>
      </c>
      <c r="K34" s="569">
        <v>2</v>
      </c>
      <c r="L34" s="1046"/>
      <c r="M34" s="1047"/>
      <c r="N34" s="1047"/>
      <c r="O34" s="1048"/>
      <c r="P34" s="3442"/>
      <c r="Q34" s="1497" t="str">
        <f t="shared" si="11"/>
        <v>物业管理</v>
      </c>
      <c r="R34" s="710" t="s">
        <v>17</v>
      </c>
      <c r="S34" s="711">
        <f t="shared" si="12"/>
        <v>100</v>
      </c>
      <c r="T34" s="710" t="s">
        <v>17</v>
      </c>
      <c r="U34" s="711">
        <f t="shared" si="13"/>
        <v>100</v>
      </c>
      <c r="V34" s="710" t="s">
        <v>17</v>
      </c>
      <c r="W34" s="711">
        <f t="shared" si="14"/>
        <v>100</v>
      </c>
      <c r="X34" s="712"/>
      <c r="Y34" s="3442"/>
      <c r="Z34" s="55" t="str">
        <f t="shared" si="15"/>
        <v>物业管理</v>
      </c>
      <c r="AA34" s="713">
        <f t="shared" si="3"/>
        <v>1</v>
      </c>
      <c r="AB34" s="713">
        <f t="shared" si="4"/>
        <v>1</v>
      </c>
      <c r="AC34" s="713">
        <f t="shared" si="5"/>
        <v>1</v>
      </c>
    </row>
    <row r="35" spans="1:29" ht="15">
      <c r="A35" s="431"/>
      <c r="B35" s="381" t="s">
        <v>2424</v>
      </c>
      <c r="C35" s="419" t="s">
        <v>3148</v>
      </c>
      <c r="D35" s="394">
        <v>100</v>
      </c>
      <c r="E35" s="419" t="s">
        <v>3148</v>
      </c>
      <c r="F35" s="420">
        <f>SUMIF(102:102,E35,103:103)-SUMIF(102:102,C35,103:103)+100</f>
        <v>100</v>
      </c>
      <c r="G35" s="419" t="s">
        <v>3148</v>
      </c>
      <c r="H35" s="394">
        <f>SUMIF(102:102,G35,103:103)-SUMIF(102:102,C35,103:103)+100</f>
        <v>100</v>
      </c>
      <c r="I35" s="419" t="s">
        <v>3148</v>
      </c>
      <c r="J35" s="394">
        <f>SUMIF(102:102,I35,103:103)-SUMIF(102:102,C35,103:103)+100</f>
        <v>100</v>
      </c>
      <c r="K35" s="569">
        <v>2</v>
      </c>
      <c r="L35" s="1054"/>
      <c r="M35" s="1045"/>
      <c r="N35" s="1045"/>
      <c r="O35" s="1053"/>
      <c r="P35" s="3442" t="s">
        <v>2326</v>
      </c>
      <c r="Q35" s="1506" t="str">
        <f t="shared" si="11"/>
        <v>市政基础设施</v>
      </c>
      <c r="R35" s="714" t="s">
        <v>17</v>
      </c>
      <c r="S35" s="715">
        <f t="shared" si="12"/>
        <v>100</v>
      </c>
      <c r="T35" s="714" t="s">
        <v>17</v>
      </c>
      <c r="U35" s="715">
        <f t="shared" si="13"/>
        <v>100</v>
      </c>
      <c r="V35" s="714" t="s">
        <v>17</v>
      </c>
      <c r="W35" s="715">
        <f t="shared" si="14"/>
        <v>100</v>
      </c>
      <c r="X35" s="1509"/>
      <c r="Y35" s="3442" t="s">
        <v>2326</v>
      </c>
      <c r="Z35" s="1510" t="str">
        <f t="shared" si="15"/>
        <v>市政基础设施</v>
      </c>
      <c r="AA35" s="1507">
        <f t="shared" si="3"/>
        <v>1</v>
      </c>
      <c r="AB35" s="1507">
        <f t="shared" si="4"/>
        <v>1</v>
      </c>
      <c r="AC35" s="1507">
        <f t="shared" si="5"/>
        <v>1</v>
      </c>
    </row>
    <row r="36" spans="1:29" ht="15">
      <c r="A36" s="431"/>
      <c r="B36" s="381" t="s">
        <v>2429</v>
      </c>
      <c r="C36" s="419" t="s">
        <v>3161</v>
      </c>
      <c r="D36" s="394">
        <v>100</v>
      </c>
      <c r="E36" s="419" t="s">
        <v>3164</v>
      </c>
      <c r="F36" s="420">
        <f>SUMIF(104:104,E36,105:105)-SUMIF(104:104,C36,105:105)+100</f>
        <v>96</v>
      </c>
      <c r="G36" s="419" t="s">
        <v>3164</v>
      </c>
      <c r="H36" s="394">
        <f>SUMIF(104:104,G36,105:105)-SUMIF(104:104,C36,105:105)+100</f>
        <v>96</v>
      </c>
      <c r="I36" s="419" t="s">
        <v>3164</v>
      </c>
      <c r="J36" s="394">
        <f>SUMIF(104:104,I36,105:105)-SUMIF(104:104,C36,105:105)+100</f>
        <v>96</v>
      </c>
      <c r="K36" s="569">
        <v>2</v>
      </c>
      <c r="L36" s="1054"/>
      <c r="M36" s="1045"/>
      <c r="N36" s="1045"/>
      <c r="O36" s="1053"/>
      <c r="P36" s="3442"/>
      <c r="Q36" s="1506" t="str">
        <f t="shared" si="11"/>
        <v>内部装修</v>
      </c>
      <c r="R36" s="714" t="s">
        <v>17</v>
      </c>
      <c r="S36" s="715">
        <f t="shared" si="12"/>
        <v>96</v>
      </c>
      <c r="T36" s="714" t="s">
        <v>17</v>
      </c>
      <c r="U36" s="715">
        <f t="shared" si="13"/>
        <v>96</v>
      </c>
      <c r="V36" s="714" t="s">
        <v>17</v>
      </c>
      <c r="W36" s="715">
        <f t="shared" si="14"/>
        <v>96</v>
      </c>
      <c r="X36" s="1509"/>
      <c r="Y36" s="3442"/>
      <c r="Z36" s="1510" t="str">
        <f t="shared" si="15"/>
        <v>内部装修</v>
      </c>
      <c r="AA36" s="1507">
        <f t="shared" si="3"/>
        <v>1.0416666666666667</v>
      </c>
      <c r="AB36" s="1507">
        <f t="shared" si="4"/>
        <v>1.0416666666666667</v>
      </c>
      <c r="AC36" s="1507">
        <f t="shared" si="5"/>
        <v>1.0416666666666667</v>
      </c>
    </row>
    <row r="37" spans="1:29" ht="15">
      <c r="A37" s="431"/>
      <c r="B37" s="381" t="s">
        <v>2465</v>
      </c>
      <c r="C37" s="573" t="s">
        <v>3144</v>
      </c>
      <c r="D37" s="394">
        <v>100</v>
      </c>
      <c r="E37" s="573" t="s">
        <v>3144</v>
      </c>
      <c r="F37" s="420">
        <f>SUMIF(106:106,E37,107:107)-SUMIF(106:106,C37,107:107)+100</f>
        <v>100</v>
      </c>
      <c r="G37" s="573" t="s">
        <v>3144</v>
      </c>
      <c r="H37" s="394">
        <f>SUMIF(106:106,G37,107:107)-SUMIF(106:106,C37,107:107)+100</f>
        <v>100</v>
      </c>
      <c r="I37" s="573" t="s">
        <v>3144</v>
      </c>
      <c r="J37" s="394">
        <f>SUMIF(106:106,I37,107:107)-SUMIF(106:106,C37,107:107)+100</f>
        <v>100</v>
      </c>
      <c r="K37" s="569">
        <v>2</v>
      </c>
      <c r="L37" s="1054"/>
      <c r="M37" s="1045"/>
      <c r="N37" s="1045"/>
      <c r="O37" s="1053"/>
      <c r="P37" s="3442"/>
      <c r="Q37" s="1506" t="str">
        <f t="shared" si="11"/>
        <v>内部装修状况</v>
      </c>
      <c r="R37" s="714" t="s">
        <v>17</v>
      </c>
      <c r="S37" s="715">
        <f t="shared" si="12"/>
        <v>100</v>
      </c>
      <c r="T37" s="714" t="s">
        <v>17</v>
      </c>
      <c r="U37" s="715">
        <f t="shared" si="13"/>
        <v>100</v>
      </c>
      <c r="V37" s="714" t="s">
        <v>17</v>
      </c>
      <c r="W37" s="715">
        <f t="shared" si="14"/>
        <v>100</v>
      </c>
      <c r="X37" s="1509"/>
      <c r="Y37" s="3442"/>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2"/>
      <c r="Q38" s="716">
        <f t="shared" si="11"/>
        <v>111</v>
      </c>
      <c r="R38" s="717" t="s">
        <v>17</v>
      </c>
      <c r="S38" s="718">
        <f t="shared" si="12"/>
        <v>100</v>
      </c>
      <c r="T38" s="717" t="s">
        <v>17</v>
      </c>
      <c r="U38" s="718">
        <f t="shared" si="13"/>
        <v>100</v>
      </c>
      <c r="V38" s="717" t="s">
        <v>17</v>
      </c>
      <c r="W38" s="718">
        <f t="shared" si="14"/>
        <v>100</v>
      </c>
      <c r="X38" s="719"/>
      <c r="Y38" s="3442"/>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2"/>
      <c r="Q39" s="1506">
        <f t="shared" si="11"/>
        <v>111</v>
      </c>
      <c r="R39" s="714" t="s">
        <v>17</v>
      </c>
      <c r="S39" s="715">
        <f t="shared" si="12"/>
        <v>100</v>
      </c>
      <c r="T39" s="714" t="s">
        <v>17</v>
      </c>
      <c r="U39" s="715">
        <f t="shared" si="13"/>
        <v>100</v>
      </c>
      <c r="V39" s="714" t="s">
        <v>17</v>
      </c>
      <c r="W39" s="715">
        <f t="shared" si="14"/>
        <v>100</v>
      </c>
      <c r="X39" s="1509"/>
      <c r="Y39" s="3442"/>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3"/>
      <c r="Q40" s="1506">
        <f t="shared" si="11"/>
        <v>111</v>
      </c>
      <c r="R40" s="714" t="s">
        <v>17</v>
      </c>
      <c r="S40" s="715">
        <f t="shared" si="12"/>
        <v>100</v>
      </c>
      <c r="T40" s="714" t="s">
        <v>17</v>
      </c>
      <c r="U40" s="715">
        <f t="shared" si="13"/>
        <v>100</v>
      </c>
      <c r="V40" s="714" t="s">
        <v>17</v>
      </c>
      <c r="W40" s="715">
        <f t="shared" si="14"/>
        <v>100</v>
      </c>
      <c r="X40" s="1509"/>
      <c r="Y40" s="3443"/>
      <c r="Z40" s="1510">
        <f t="shared" si="15"/>
        <v>111</v>
      </c>
      <c r="AA40" s="1507">
        <f t="shared" si="3"/>
        <v>1</v>
      </c>
      <c r="AB40" s="1507">
        <f t="shared" si="4"/>
        <v>1</v>
      </c>
      <c r="AC40" s="1507">
        <f t="shared" si="5"/>
        <v>1</v>
      </c>
    </row>
    <row r="41" spans="1:29" ht="15">
      <c r="A41" s="438" t="s">
        <v>2338</v>
      </c>
      <c r="B41" s="439"/>
      <c r="C41" s="1288" t="s">
        <v>1</v>
      </c>
      <c r="D41" s="1289"/>
      <c r="E41" s="1290">
        <v>5810</v>
      </c>
      <c r="F41" s="1291"/>
      <c r="G41" s="1292">
        <v>5700</v>
      </c>
      <c r="H41" s="1293"/>
      <c r="I41" s="1290">
        <v>5373</v>
      </c>
      <c r="J41" s="1293"/>
      <c r="K41" s="723"/>
      <c r="L41" s="1057"/>
      <c r="M41" s="1058"/>
      <c r="N41" s="1045"/>
      <c r="O41" s="1058"/>
      <c r="P41" s="3424" t="str">
        <f>A41</f>
        <v>成交单价（元/平方米）</v>
      </c>
      <c r="Q41" s="3424"/>
      <c r="R41" s="3444">
        <f>E41</f>
        <v>5810</v>
      </c>
      <c r="S41" s="3444"/>
      <c r="T41" s="3444">
        <f>G41</f>
        <v>5700</v>
      </c>
      <c r="U41" s="3444"/>
      <c r="V41" s="3444">
        <f>I41</f>
        <v>5373</v>
      </c>
      <c r="W41" s="3444"/>
      <c r="X41" s="699"/>
      <c r="Y41" s="721"/>
      <c r="Z41" s="699"/>
      <c r="AA41" s="699"/>
      <c r="AB41" s="699"/>
      <c r="AC41" s="699"/>
    </row>
    <row r="42" spans="1:29" ht="15.75" thickBot="1">
      <c r="A42" s="445" t="s">
        <v>2430</v>
      </c>
      <c r="B42" s="446"/>
      <c r="C42" s="1294" t="e">
        <f>R43</f>
        <v>#DIV/0!</v>
      </c>
      <c r="D42" s="2508" t="s">
        <v>2819</v>
      </c>
      <c r="E42" s="1295" t="e">
        <f>R42</f>
        <v>#DIV/0!</v>
      </c>
      <c r="F42" s="2509"/>
      <c r="G42" s="1294" t="e">
        <f>T42</f>
        <v>#DIV/0!</v>
      </c>
      <c r="H42" s="2509"/>
      <c r="I42" s="1295" t="e">
        <f>V42</f>
        <v>#DIV/0!</v>
      </c>
      <c r="J42" s="2509"/>
      <c r="K42" s="2511">
        <f>F42+H42+J42</f>
        <v>0</v>
      </c>
      <c r="L42" s="1057"/>
      <c r="M42" s="1058"/>
      <c r="N42" s="1045"/>
      <c r="O42" s="1058"/>
      <c r="P42" s="3424" t="str">
        <f>A42</f>
        <v>比较价值（元/平方米）</v>
      </c>
      <c r="Q42" s="3424"/>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f>IF(E41&lt;G41,G41/E41-1,E41/G41-1)</f>
        <v>1.9298245614035148E-2</v>
      </c>
      <c r="F48" s="457" t="str">
        <f>IF(OR(E48&gt;=0.3,E48&lt;=-0.3),"超过30%","")</f>
        <v/>
      </c>
      <c r="G48" s="456">
        <f>IF(G41&lt;I41,I41/G41-1,G41/I41-1)</f>
        <v>6.085985482970413E-2</v>
      </c>
      <c r="H48" s="457" t="str">
        <f>IF(OR(G48&gt;=0.3,G48&lt;=-0.3),"超过30%","")</f>
        <v/>
      </c>
      <c r="I48" s="456">
        <f>IF(I41&lt;E41,E41/I41-1,I41/E41-1)</f>
        <v>8.1332588870277389E-2</v>
      </c>
      <c r="J48" s="457" t="str">
        <f>IF(OR(I48&gt;=0.3,I48&lt;=-0.3),"超过30%","")</f>
        <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2022-8</v>
      </c>
      <c r="D52" s="1319">
        <f>EDATE(C52,-1)</f>
        <v>44743</v>
      </c>
      <c r="E52" s="1319">
        <f t="shared" ref="E52:O52" si="16">EDATE(D52,-1)</f>
        <v>44713</v>
      </c>
      <c r="F52" s="1319">
        <f t="shared" si="16"/>
        <v>44682</v>
      </c>
      <c r="G52" s="1319">
        <f t="shared" si="16"/>
        <v>44652</v>
      </c>
      <c r="H52" s="1319">
        <f t="shared" si="16"/>
        <v>44621</v>
      </c>
      <c r="I52" s="1319">
        <f t="shared" si="16"/>
        <v>44593</v>
      </c>
      <c r="J52" s="1319">
        <f t="shared" si="16"/>
        <v>44562</v>
      </c>
      <c r="K52" s="1319">
        <f t="shared" si="16"/>
        <v>44531</v>
      </c>
      <c r="L52" s="1319">
        <f t="shared" si="16"/>
        <v>44501</v>
      </c>
      <c r="M52" s="1319">
        <f t="shared" si="16"/>
        <v>44470</v>
      </c>
      <c r="N52" s="1319">
        <f t="shared" si="16"/>
        <v>44440</v>
      </c>
      <c r="O52" s="1319">
        <f t="shared" si="16"/>
        <v>44409</v>
      </c>
      <c r="P52" s="464"/>
    </row>
    <row r="53" spans="1:17" s="113" customFormat="1" ht="15">
      <c r="A53" s="466"/>
      <c r="B53" s="467"/>
      <c r="C53" s="1317">
        <v>100</v>
      </c>
      <c r="D53" s="469">
        <f>C53</f>
        <v>100</v>
      </c>
      <c r="E53" s="469">
        <f t="shared" ref="E53:M53" si="17">D53</f>
        <v>100</v>
      </c>
      <c r="F53" s="469">
        <f t="shared" si="17"/>
        <v>100</v>
      </c>
      <c r="G53" s="469">
        <f t="shared" si="17"/>
        <v>100</v>
      </c>
      <c r="H53" s="469">
        <f t="shared" si="17"/>
        <v>100</v>
      </c>
      <c r="I53" s="469">
        <f t="shared" si="17"/>
        <v>100</v>
      </c>
      <c r="J53" s="469">
        <f t="shared" si="17"/>
        <v>100</v>
      </c>
      <c r="K53" s="469">
        <f t="shared" si="17"/>
        <v>100</v>
      </c>
      <c r="L53" s="469">
        <f t="shared" si="17"/>
        <v>100</v>
      </c>
      <c r="M53" s="469">
        <f t="shared" si="17"/>
        <v>100</v>
      </c>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t="str">
        <f>C9</f>
        <v>工业</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98</v>
      </c>
      <c r="G60" s="501">
        <f>F60-$K10</f>
        <v>96</v>
      </c>
      <c r="H60" s="501">
        <f>G60-$K10</f>
        <v>94</v>
      </c>
      <c r="I60" s="501">
        <f>H60-$K10</f>
        <v>92</v>
      </c>
      <c r="J60" s="501"/>
      <c r="K60" s="501"/>
      <c r="L60" s="501"/>
      <c r="M60" s="502"/>
      <c r="N60" s="1065"/>
      <c r="O60" s="1065"/>
      <c r="P60" s="45"/>
      <c r="Q60" s="461"/>
    </row>
    <row r="61" spans="1:17" ht="15.75" thickTop="1">
      <c r="A61" s="491"/>
      <c r="B61" s="503" t="s">
        <v>2319</v>
      </c>
      <c r="C61" s="504" t="str">
        <f>C62&amp;"（含）"&amp;"-"&amp;D62</f>
        <v>0（含）-1</v>
      </c>
      <c r="D61" s="504" t="str">
        <f t="shared" ref="D61:L61" si="18">D62&amp;"（含）"&amp;"-"&amp;E62</f>
        <v>1（含）-</v>
      </c>
      <c r="E61" s="504" t="str">
        <f t="shared" si="18"/>
        <v>（含）-</v>
      </c>
      <c r="F61" s="504" t="str">
        <f t="shared" si="18"/>
        <v>（含）-</v>
      </c>
      <c r="G61" s="504" t="str">
        <f t="shared" si="18"/>
        <v>（含）-</v>
      </c>
      <c r="H61" s="504" t="str">
        <f t="shared" si="18"/>
        <v>（含）-</v>
      </c>
      <c r="I61" s="504" t="str">
        <f t="shared" si="18"/>
        <v>（含）-</v>
      </c>
      <c r="J61" s="504" t="str">
        <f t="shared" si="18"/>
        <v>（含）-</v>
      </c>
      <c r="K61" s="504" t="str">
        <f t="shared" si="18"/>
        <v>（含）-</v>
      </c>
      <c r="L61" s="504" t="str">
        <f t="shared" si="18"/>
        <v>（含）-</v>
      </c>
      <c r="M61" s="407" t="str">
        <f>M62&amp;"（含）"&amp;"-"&amp;P62</f>
        <v>（含）-</v>
      </c>
      <c r="N61" s="1065"/>
      <c r="O61" s="1065"/>
      <c r="P61" s="45"/>
      <c r="Q61" s="461"/>
    </row>
    <row r="62" spans="1:17" ht="15">
      <c r="A62" s="491"/>
      <c r="B62" s="505"/>
      <c r="C62" s="506">
        <v>0</v>
      </c>
      <c r="D62" s="506">
        <v>1</v>
      </c>
      <c r="E62" s="506"/>
      <c r="F62" s="506"/>
      <c r="G62" s="506"/>
      <c r="H62" s="506"/>
      <c r="I62" s="506"/>
      <c r="J62" s="506"/>
      <c r="K62" s="507"/>
      <c r="L62" s="508"/>
      <c r="M62" s="509"/>
      <c r="N62" s="1064"/>
      <c r="O62" s="1064"/>
      <c r="P62" s="45"/>
      <c r="Q62" s="461"/>
    </row>
    <row r="63" spans="1:17" ht="15.75" thickBot="1">
      <c r="A63" s="491"/>
      <c r="B63" s="492"/>
      <c r="C63" s="501">
        <v>100</v>
      </c>
      <c r="D63" s="501">
        <f t="shared" ref="D63:M63" si="19">C63-$K11</f>
        <v>100</v>
      </c>
      <c r="E63" s="501">
        <f t="shared" si="19"/>
        <v>100</v>
      </c>
      <c r="F63" s="501">
        <f t="shared" si="19"/>
        <v>100</v>
      </c>
      <c r="G63" s="501">
        <f t="shared" si="19"/>
        <v>100</v>
      </c>
      <c r="H63" s="501">
        <f t="shared" si="19"/>
        <v>100</v>
      </c>
      <c r="I63" s="501">
        <f t="shared" si="19"/>
        <v>100</v>
      </c>
      <c r="J63" s="501">
        <f t="shared" si="19"/>
        <v>100</v>
      </c>
      <c r="K63" s="501">
        <f t="shared" si="19"/>
        <v>100</v>
      </c>
      <c r="L63" s="501">
        <f t="shared" si="19"/>
        <v>100</v>
      </c>
      <c r="M63" s="502">
        <f t="shared" si="19"/>
        <v>100</v>
      </c>
      <c r="N63" s="1065"/>
      <c r="O63" s="1065"/>
      <c r="P63" s="45"/>
      <c r="Q63" s="461"/>
    </row>
    <row r="64" spans="1:17" s="430" customFormat="1" ht="15.75" hidden="1" thickTop="1">
      <c r="A64" s="510"/>
      <c r="B64" s="495">
        <f>B12</f>
        <v>111</v>
      </c>
      <c r="C64" s="511"/>
      <c r="D64" s="511"/>
      <c r="E64" s="511"/>
      <c r="F64" s="511"/>
      <c r="G64" s="511"/>
      <c r="H64" s="512"/>
      <c r="I64" s="512"/>
      <c r="J64" s="512"/>
      <c r="K64" s="512"/>
      <c r="L64" s="513"/>
      <c r="M64" s="514"/>
      <c r="N64" s="1066"/>
      <c r="O64" s="1066"/>
      <c r="P64" s="515"/>
      <c r="Q64" s="516"/>
    </row>
    <row r="65" spans="1:17" s="430" customFormat="1" ht="15.75" hidden="1" thickBot="1">
      <c r="A65" s="510"/>
      <c r="B65" s="500"/>
      <c r="C65" s="517"/>
      <c r="D65" s="493"/>
      <c r="E65" s="493"/>
      <c r="F65" s="493"/>
      <c r="G65" s="493"/>
      <c r="H65" s="493"/>
      <c r="I65" s="493"/>
      <c r="J65" s="493"/>
      <c r="K65" s="493"/>
      <c r="L65" s="493"/>
      <c r="M65" s="494"/>
      <c r="N65" s="1065"/>
      <c r="O65" s="1065"/>
      <c r="P65" s="515"/>
      <c r="Q65" s="516"/>
    </row>
    <row r="66" spans="1:17" s="430" customFormat="1" ht="15.75" hidden="1" thickTop="1">
      <c r="A66" s="510"/>
      <c r="B66" s="495">
        <f>B13</f>
        <v>111</v>
      </c>
      <c r="C66" s="511"/>
      <c r="D66" s="511"/>
      <c r="E66" s="511"/>
      <c r="F66" s="511"/>
      <c r="G66" s="511"/>
      <c r="H66" s="512"/>
      <c r="I66" s="512"/>
      <c r="J66" s="512"/>
      <c r="K66" s="512"/>
      <c r="L66" s="513"/>
      <c r="M66" s="514"/>
      <c r="N66" s="1066"/>
      <c r="O66" s="1066"/>
      <c r="P66" s="429"/>
      <c r="Q66" s="518"/>
    </row>
    <row r="67" spans="1:17" s="430" customFormat="1" ht="15.75" hidden="1" thickBot="1">
      <c r="A67" s="510"/>
      <c r="B67" s="500"/>
      <c r="C67" s="517"/>
      <c r="D67" s="493"/>
      <c r="E67" s="493"/>
      <c r="F67" s="493"/>
      <c r="G67" s="517"/>
      <c r="H67" s="519"/>
      <c r="I67" s="519"/>
      <c r="J67" s="519"/>
      <c r="K67" s="519"/>
      <c r="L67" s="519"/>
      <c r="M67" s="520"/>
      <c r="N67" s="1066"/>
      <c r="O67" s="1066"/>
      <c r="P67" s="515"/>
      <c r="Q67" s="516"/>
    </row>
    <row r="68" spans="1:17" s="430" customFormat="1" ht="15.75" hidden="1" thickTop="1">
      <c r="A68" s="510"/>
      <c r="B68" s="503">
        <f>B14</f>
        <v>111</v>
      </c>
      <c r="C68" s="480"/>
      <c r="D68" s="480"/>
      <c r="E68" s="480"/>
      <c r="F68" s="480"/>
      <c r="G68" s="480"/>
      <c r="H68" s="521"/>
      <c r="I68" s="521"/>
      <c r="J68" s="521"/>
      <c r="K68" s="521"/>
      <c r="L68" s="522"/>
      <c r="M68" s="523"/>
      <c r="N68" s="1066"/>
      <c r="O68" s="1066"/>
      <c r="P68" s="524"/>
      <c r="Q68" s="516"/>
    </row>
    <row r="69" spans="1:17" s="430" customFormat="1" ht="15.75" hidden="1" thickBot="1">
      <c r="A69" s="525"/>
      <c r="B69" s="526"/>
      <c r="C69" s="527"/>
      <c r="D69" s="527"/>
      <c r="E69" s="527"/>
      <c r="F69" s="527"/>
      <c r="G69" s="527"/>
      <c r="H69" s="528"/>
      <c r="I69" s="528"/>
      <c r="J69" s="528"/>
      <c r="K69" s="528"/>
      <c r="L69" s="528"/>
      <c r="M69" s="529"/>
      <c r="N69" s="1066"/>
      <c r="O69" s="1066"/>
      <c r="P69" s="515"/>
      <c r="Q69" s="516"/>
    </row>
    <row r="70" spans="1:17" ht="15" thickTop="1">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98</v>
      </c>
      <c r="E71" s="501">
        <f>D71-$K15</f>
        <v>96</v>
      </c>
      <c r="F71" s="501">
        <f>E71-$K15</f>
        <v>94</v>
      </c>
      <c r="G71" s="501">
        <f>F71-$K15</f>
        <v>92</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98</v>
      </c>
      <c r="E73" s="501">
        <f>D73-$K17</f>
        <v>96</v>
      </c>
      <c r="F73" s="501">
        <f>E73-$K17</f>
        <v>94</v>
      </c>
      <c r="G73" s="501">
        <f>F73-$K17</f>
        <v>92</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98</v>
      </c>
      <c r="E75" s="501">
        <f>D75-$K19</f>
        <v>96</v>
      </c>
      <c r="F75" s="501">
        <f>E75-$K19</f>
        <v>94</v>
      </c>
      <c r="G75" s="501">
        <f>F75-$K19</f>
        <v>92</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98</v>
      </c>
      <c r="E77" s="501">
        <f>D77-$K21</f>
        <v>96</v>
      </c>
      <c r="F77" s="501">
        <f>E77-$K21</f>
        <v>94</v>
      </c>
      <c r="G77" s="501">
        <f>F77-$K21</f>
        <v>92</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98</v>
      </c>
      <c r="E79" s="501">
        <f>D79-$K23</f>
        <v>96</v>
      </c>
      <c r="F79" s="501">
        <f>E79-$K23</f>
        <v>94</v>
      </c>
      <c r="G79" s="501">
        <f>F79-$K23</f>
        <v>92</v>
      </c>
      <c r="H79" s="501"/>
      <c r="I79" s="501"/>
      <c r="J79" s="501"/>
      <c r="K79" s="501"/>
      <c r="L79" s="501"/>
      <c r="M79" s="502"/>
      <c r="N79" s="1065"/>
      <c r="O79" s="1065"/>
      <c r="P79" s="45"/>
      <c r="Q79" s="461"/>
    </row>
    <row r="80" spans="1:17" s="113" customFormat="1" ht="15.75" hidden="1" thickTop="1">
      <c r="A80" s="536"/>
      <c r="B80" s="495">
        <f>B25</f>
        <v>111</v>
      </c>
      <c r="C80" s="511"/>
      <c r="D80" s="511"/>
      <c r="E80" s="511"/>
      <c r="F80" s="511"/>
      <c r="G80" s="511"/>
      <c r="H80" s="511"/>
      <c r="I80" s="511"/>
      <c r="J80" s="511"/>
      <c r="K80" s="511"/>
      <c r="L80" s="537"/>
      <c r="M80" s="538"/>
      <c r="N80" s="1063"/>
      <c r="O80" s="1063"/>
      <c r="P80" s="45"/>
      <c r="Q80" s="461"/>
    </row>
    <row r="81" spans="1:17" s="113" customFormat="1" ht="15.75" hidden="1" thickBot="1">
      <c r="A81" s="536"/>
      <c r="B81" s="500"/>
      <c r="C81" s="517"/>
      <c r="D81" s="493"/>
      <c r="E81" s="493"/>
      <c r="F81" s="493"/>
      <c r="G81" s="493"/>
      <c r="H81" s="493"/>
      <c r="I81" s="493"/>
      <c r="J81" s="493"/>
      <c r="K81" s="493"/>
      <c r="L81" s="493"/>
      <c r="M81" s="494"/>
      <c r="N81" s="1065"/>
      <c r="O81" s="1065"/>
      <c r="P81" s="45"/>
      <c r="Q81" s="461"/>
    </row>
    <row r="82" spans="1:17" s="113" customFormat="1" ht="15.75" hidden="1" thickTop="1">
      <c r="A82" s="536"/>
      <c r="B82" s="495">
        <f>B26</f>
        <v>111</v>
      </c>
      <c r="C82" s="511"/>
      <c r="D82" s="511"/>
      <c r="E82" s="511"/>
      <c r="F82" s="511"/>
      <c r="G82" s="511"/>
      <c r="H82" s="511"/>
      <c r="I82" s="511"/>
      <c r="J82" s="511"/>
      <c r="K82" s="511"/>
      <c r="L82" s="537"/>
      <c r="M82" s="538"/>
      <c r="N82" s="1063"/>
      <c r="O82" s="1063"/>
      <c r="P82" s="45"/>
      <c r="Q82" s="461"/>
    </row>
    <row r="83" spans="1:17" s="113" customFormat="1" ht="15.75" hidden="1" thickBot="1">
      <c r="A83" s="536"/>
      <c r="B83" s="500"/>
      <c r="C83" s="517"/>
      <c r="D83" s="493"/>
      <c r="E83" s="493"/>
      <c r="F83" s="493"/>
      <c r="G83" s="493"/>
      <c r="H83" s="493"/>
      <c r="I83" s="493"/>
      <c r="J83" s="493"/>
      <c r="K83" s="493"/>
      <c r="L83" s="493"/>
      <c r="M83" s="494"/>
      <c r="N83" s="1065"/>
      <c r="O83" s="1065"/>
      <c r="P83" s="45"/>
      <c r="Q83" s="461"/>
    </row>
    <row r="84" spans="1:17" s="430" customFormat="1" ht="15.75" hidden="1" thickTop="1">
      <c r="A84" s="510"/>
      <c r="B84" s="495">
        <f>B27</f>
        <v>111</v>
      </c>
      <c r="C84" s="511"/>
      <c r="D84" s="511"/>
      <c r="E84" s="511"/>
      <c r="F84" s="511"/>
      <c r="G84" s="511"/>
      <c r="H84" s="511"/>
      <c r="I84" s="511"/>
      <c r="J84" s="511"/>
      <c r="K84" s="511"/>
      <c r="L84" s="537"/>
      <c r="M84" s="538"/>
      <c r="N84" s="1066"/>
      <c r="O84" s="1066"/>
      <c r="P84" s="515"/>
      <c r="Q84" s="516"/>
    </row>
    <row r="85" spans="1:17" s="430" customFormat="1" ht="15.75" hidden="1" thickBot="1">
      <c r="A85" s="510"/>
      <c r="B85" s="500"/>
      <c r="C85" s="517"/>
      <c r="D85" s="493"/>
      <c r="E85" s="493"/>
      <c r="F85" s="493"/>
      <c r="G85" s="493"/>
      <c r="H85" s="493"/>
      <c r="I85" s="493"/>
      <c r="J85" s="493"/>
      <c r="K85" s="493"/>
      <c r="L85" s="493"/>
      <c r="M85" s="494"/>
      <c r="N85" s="1066"/>
      <c r="O85" s="1066"/>
      <c r="P85" s="515"/>
      <c r="Q85" s="516"/>
    </row>
    <row r="86" spans="1:17" ht="15.75" hidden="1" thickTop="1">
      <c r="A86" s="491"/>
      <c r="B86" s="503">
        <f>B28</f>
        <v>111</v>
      </c>
      <c r="C86" s="480"/>
      <c r="D86" s="480"/>
      <c r="E86" s="480"/>
      <c r="F86" s="480"/>
      <c r="G86" s="544"/>
      <c r="H86" s="544"/>
      <c r="I86" s="544"/>
      <c r="J86" s="544"/>
      <c r="K86" s="545"/>
      <c r="L86" s="546"/>
      <c r="M86" s="547"/>
      <c r="N86" s="1064"/>
      <c r="O86" s="1064"/>
      <c r="P86" s="45"/>
      <c r="Q86" s="461"/>
    </row>
    <row r="87" spans="1:17" ht="15.75" hidden="1" thickBot="1">
      <c r="A87" s="2084"/>
      <c r="B87" s="526"/>
      <c r="C87" s="527"/>
      <c r="D87" s="527"/>
      <c r="E87" s="527"/>
      <c r="F87" s="527"/>
      <c r="G87" s="548"/>
      <c r="H87" s="548"/>
      <c r="I87" s="548"/>
      <c r="J87" s="548"/>
      <c r="K87" s="548"/>
      <c r="L87" s="548"/>
      <c r="M87" s="549"/>
      <c r="N87" s="1065"/>
      <c r="O87" s="1065"/>
      <c r="P87" s="45"/>
      <c r="Q87" s="461"/>
    </row>
    <row r="88" spans="1:17" ht="15" thickTop="1">
      <c r="A88" s="484" t="s">
        <v>2324</v>
      </c>
      <c r="B88" s="485" t="s">
        <v>2373</v>
      </c>
      <c r="C88" s="3214" t="s">
        <v>3158</v>
      </c>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20">C89-$K29</f>
        <v>97</v>
      </c>
      <c r="E89" s="501">
        <f t="shared" si="20"/>
        <v>94</v>
      </c>
      <c r="F89" s="501">
        <f t="shared" si="20"/>
        <v>91</v>
      </c>
      <c r="G89" s="501">
        <f t="shared" si="20"/>
        <v>88</v>
      </c>
      <c r="H89" s="501">
        <f t="shared" si="20"/>
        <v>85</v>
      </c>
      <c r="I89" s="501">
        <f t="shared" si="20"/>
        <v>82</v>
      </c>
      <c r="J89" s="501">
        <f t="shared" si="20"/>
        <v>79</v>
      </c>
      <c r="K89" s="501">
        <f t="shared" si="20"/>
        <v>76</v>
      </c>
      <c r="L89" s="501">
        <f t="shared" si="20"/>
        <v>73</v>
      </c>
      <c r="M89" s="502">
        <f t="shared" si="20"/>
        <v>70</v>
      </c>
      <c r="N89" s="1065"/>
      <c r="O89" s="1065"/>
      <c r="P89" s="45"/>
      <c r="Q89" s="461"/>
    </row>
    <row r="90" spans="1:17" ht="29.25" thickTop="1">
      <c r="A90" s="491"/>
      <c r="B90" s="495" t="s">
        <v>2374</v>
      </c>
      <c r="C90" s="535" t="str">
        <f>C91&amp;"(含)"&amp;"-"&amp;D91</f>
        <v>0(含)-500</v>
      </c>
      <c r="D90" s="535" t="str">
        <f t="shared" ref="D90:L90" si="21">D91&amp;"(含)"&amp;"-"&amp;E91</f>
        <v>500(含)-1000</v>
      </c>
      <c r="E90" s="535" t="str">
        <f t="shared" si="21"/>
        <v>1000(含)-1500</v>
      </c>
      <c r="F90" s="535" t="str">
        <f t="shared" si="21"/>
        <v>1500(含)-2000</v>
      </c>
      <c r="G90" s="535" t="str">
        <f t="shared" si="21"/>
        <v>2000(含)-</v>
      </c>
      <c r="H90" s="535" t="str">
        <f t="shared" si="21"/>
        <v>(含)-</v>
      </c>
      <c r="I90" s="535" t="str">
        <f t="shared" si="21"/>
        <v>(含)-</v>
      </c>
      <c r="J90" s="535" t="str">
        <f t="shared" si="21"/>
        <v>(含)-</v>
      </c>
      <c r="K90" s="535" t="str">
        <f t="shared" si="21"/>
        <v>(含)-</v>
      </c>
      <c r="L90" s="535" t="str">
        <f t="shared" si="21"/>
        <v>(含)-</v>
      </c>
      <c r="M90" s="578" t="str">
        <f>M91&amp;"(含)"&amp;"-"&amp;P91</f>
        <v>(含)-</v>
      </c>
      <c r="N90" s="1063"/>
      <c r="O90" s="1063"/>
      <c r="P90" s="45"/>
      <c r="Q90" s="461"/>
    </row>
    <row r="91" spans="1:17" s="430" customFormat="1">
      <c r="A91" s="550"/>
      <c r="B91" s="551"/>
      <c r="C91" s="9">
        <v>0</v>
      </c>
      <c r="D91" s="9">
        <v>500</v>
      </c>
      <c r="E91" s="9">
        <v>1000</v>
      </c>
      <c r="F91" s="9">
        <v>1500</v>
      </c>
      <c r="G91" s="552">
        <v>2000</v>
      </c>
      <c r="H91" s="552"/>
      <c r="I91" s="552"/>
      <c r="J91" s="553"/>
      <c r="K91" s="553"/>
      <c r="L91" s="554"/>
      <c r="M91" s="555"/>
      <c r="N91" s="1066"/>
      <c r="O91" s="1066"/>
      <c r="P91" s="515"/>
      <c r="Q91" s="516"/>
    </row>
    <row r="92" spans="1:17" s="430" customFormat="1" ht="15.75" thickBot="1">
      <c r="A92" s="510"/>
      <c r="B92" s="500"/>
      <c r="C92" s="3210">
        <v>100</v>
      </c>
      <c r="D92" s="3211">
        <v>99</v>
      </c>
      <c r="E92" s="3211">
        <v>98</v>
      </c>
      <c r="F92" s="3211">
        <v>97</v>
      </c>
      <c r="G92" s="493">
        <v>96</v>
      </c>
      <c r="H92" s="493"/>
      <c r="I92" s="493"/>
      <c r="J92" s="493"/>
      <c r="K92" s="493"/>
      <c r="L92" s="493"/>
      <c r="M92" s="494"/>
      <c r="N92" s="1065"/>
      <c r="O92" s="1065"/>
      <c r="P92" s="515"/>
      <c r="Q92" s="516"/>
    </row>
    <row r="93" spans="1:17" ht="15" thickTop="1">
      <c r="A93" s="556"/>
      <c r="B93" s="495" t="s">
        <v>2375</v>
      </c>
      <c r="C93" s="3215" t="s">
        <v>3159</v>
      </c>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2">C94-$K31</f>
        <v>98</v>
      </c>
      <c r="E94" s="501">
        <f t="shared" si="22"/>
        <v>96</v>
      </c>
      <c r="F94" s="501">
        <f t="shared" si="22"/>
        <v>94</v>
      </c>
      <c r="G94" s="501">
        <f t="shared" si="22"/>
        <v>92</v>
      </c>
      <c r="H94" s="501">
        <f t="shared" si="22"/>
        <v>90</v>
      </c>
      <c r="I94" s="501">
        <f t="shared" si="22"/>
        <v>88</v>
      </c>
      <c r="J94" s="501">
        <f t="shared" si="22"/>
        <v>86</v>
      </c>
      <c r="K94" s="501">
        <f t="shared" si="22"/>
        <v>84</v>
      </c>
      <c r="L94" s="501">
        <f t="shared" si="22"/>
        <v>82</v>
      </c>
      <c r="M94" s="502">
        <f t="shared" si="22"/>
        <v>80</v>
      </c>
      <c r="N94" s="1065"/>
      <c r="O94" s="1065"/>
      <c r="P94" s="45"/>
      <c r="Q94" s="461"/>
    </row>
    <row r="95" spans="1:17" ht="15" thickTop="1">
      <c r="A95" s="556"/>
      <c r="B95" s="495" t="s">
        <v>2377</v>
      </c>
      <c r="C95" s="3215" t="s">
        <v>3160</v>
      </c>
      <c r="D95" s="3215" t="s">
        <v>3162</v>
      </c>
      <c r="E95" s="3215" t="s">
        <v>3163</v>
      </c>
      <c r="F95" s="3216" t="s">
        <v>3165</v>
      </c>
      <c r="G95" s="540"/>
      <c r="H95" s="540"/>
      <c r="I95" s="540"/>
      <c r="J95" s="540"/>
      <c r="K95" s="541"/>
      <c r="L95" s="542"/>
      <c r="M95" s="543"/>
      <c r="N95" s="1064"/>
      <c r="O95" s="1064"/>
      <c r="P95" s="45"/>
      <c r="Q95" s="461"/>
    </row>
    <row r="96" spans="1:17" ht="15.75" thickBot="1">
      <c r="A96" s="491"/>
      <c r="B96" s="500"/>
      <c r="C96" s="501">
        <v>100</v>
      </c>
      <c r="D96" s="501">
        <f t="shared" ref="D96:M96" si="23">C96-$K32</f>
        <v>98</v>
      </c>
      <c r="E96" s="501">
        <f t="shared" si="23"/>
        <v>96</v>
      </c>
      <c r="F96" s="501">
        <f t="shared" si="23"/>
        <v>94</v>
      </c>
      <c r="G96" s="501">
        <f t="shared" si="23"/>
        <v>92</v>
      </c>
      <c r="H96" s="501">
        <f t="shared" si="23"/>
        <v>90</v>
      </c>
      <c r="I96" s="501">
        <f t="shared" si="23"/>
        <v>88</v>
      </c>
      <c r="J96" s="501">
        <f t="shared" si="23"/>
        <v>86</v>
      </c>
      <c r="K96" s="501">
        <f t="shared" si="23"/>
        <v>84</v>
      </c>
      <c r="L96" s="501">
        <f t="shared" si="23"/>
        <v>82</v>
      </c>
      <c r="M96" s="502">
        <f t="shared" si="23"/>
        <v>80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102</v>
      </c>
      <c r="E99" s="501">
        <f t="shared" ref="E99:M99" si="24">D99+$K33</f>
        <v>104</v>
      </c>
      <c r="F99" s="501">
        <f t="shared" si="24"/>
        <v>106</v>
      </c>
      <c r="G99" s="501">
        <f t="shared" si="24"/>
        <v>108</v>
      </c>
      <c r="H99" s="501">
        <f t="shared" si="24"/>
        <v>110</v>
      </c>
      <c r="I99" s="501">
        <f t="shared" si="24"/>
        <v>112</v>
      </c>
      <c r="J99" s="501">
        <f t="shared" si="24"/>
        <v>114</v>
      </c>
      <c r="K99" s="501">
        <f t="shared" si="24"/>
        <v>116</v>
      </c>
      <c r="L99" s="501">
        <f t="shared" si="24"/>
        <v>118</v>
      </c>
      <c r="M99" s="501">
        <f t="shared" si="24"/>
        <v>120</v>
      </c>
      <c r="N99" s="1065"/>
      <c r="O99" s="1065"/>
      <c r="P99" s="45"/>
      <c r="Q99" s="461"/>
    </row>
    <row r="100" spans="1:17" s="430" customFormat="1" ht="15" thickTop="1">
      <c r="A100" s="550"/>
      <c r="B100" s="495" t="s">
        <v>2378</v>
      </c>
      <c r="C100" s="3215" t="s">
        <v>3170</v>
      </c>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98</v>
      </c>
      <c r="E101" s="501">
        <f t="shared" ref="E101:M101" si="25">D101-$K34</f>
        <v>96</v>
      </c>
      <c r="F101" s="501">
        <f t="shared" si="25"/>
        <v>94</v>
      </c>
      <c r="G101" s="501">
        <f t="shared" si="25"/>
        <v>92</v>
      </c>
      <c r="H101" s="501">
        <f t="shared" si="25"/>
        <v>90</v>
      </c>
      <c r="I101" s="501">
        <f t="shared" si="25"/>
        <v>88</v>
      </c>
      <c r="J101" s="501">
        <f t="shared" si="25"/>
        <v>86</v>
      </c>
      <c r="K101" s="501">
        <f t="shared" si="25"/>
        <v>84</v>
      </c>
      <c r="L101" s="501">
        <f t="shared" si="25"/>
        <v>82</v>
      </c>
      <c r="M101" s="501">
        <f t="shared" si="25"/>
        <v>80</v>
      </c>
      <c r="N101" s="1066"/>
      <c r="O101" s="1066"/>
      <c r="P101" s="515"/>
      <c r="Q101" s="516"/>
    </row>
    <row r="102" spans="1:17" ht="15" thickTop="1">
      <c r="A102" s="556"/>
      <c r="B102" s="495" t="s">
        <v>2379</v>
      </c>
      <c r="C102" s="3215" t="s">
        <v>3166</v>
      </c>
      <c r="D102" s="3215" t="s">
        <v>3167</v>
      </c>
      <c r="E102" s="3215" t="s">
        <v>3168</v>
      </c>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6">C103-$K35</f>
        <v>98</v>
      </c>
      <c r="E103" s="501">
        <f t="shared" si="26"/>
        <v>96</v>
      </c>
      <c r="F103" s="501">
        <f t="shared" si="26"/>
        <v>94</v>
      </c>
      <c r="G103" s="501">
        <f t="shared" si="26"/>
        <v>92</v>
      </c>
      <c r="H103" s="501">
        <f t="shared" si="26"/>
        <v>90</v>
      </c>
      <c r="I103" s="501">
        <f t="shared" si="26"/>
        <v>88</v>
      </c>
      <c r="J103" s="501">
        <f t="shared" si="26"/>
        <v>86</v>
      </c>
      <c r="K103" s="501">
        <f t="shared" si="26"/>
        <v>84</v>
      </c>
      <c r="L103" s="501">
        <f t="shared" si="26"/>
        <v>82</v>
      </c>
      <c r="M103" s="502">
        <f t="shared" si="26"/>
        <v>80</v>
      </c>
      <c r="N103" s="1065"/>
      <c r="O103" s="1065"/>
      <c r="P103" s="45"/>
      <c r="Q103" s="461"/>
    </row>
    <row r="104" spans="1:17" ht="15" thickTop="1">
      <c r="A104" s="556"/>
      <c r="B104" s="495" t="s">
        <v>2381</v>
      </c>
      <c r="C104" s="3215" t="s">
        <v>3160</v>
      </c>
      <c r="D104" s="3215" t="s">
        <v>3162</v>
      </c>
      <c r="E104" s="3215" t="s">
        <v>3163</v>
      </c>
      <c r="F104" s="3216" t="s">
        <v>3165</v>
      </c>
      <c r="G104" s="511"/>
      <c r="H104" s="540"/>
      <c r="I104" s="540"/>
      <c r="J104" s="540"/>
      <c r="K104" s="541"/>
      <c r="L104" s="542"/>
      <c r="M104" s="543"/>
      <c r="N104" s="1064"/>
      <c r="O104" s="1064"/>
      <c r="P104" s="45"/>
      <c r="Q104" s="461"/>
    </row>
    <row r="105" spans="1:17" ht="15.75" thickBot="1">
      <c r="A105" s="491"/>
      <c r="B105" s="500"/>
      <c r="C105" s="501">
        <v>100</v>
      </c>
      <c r="D105" s="501">
        <f>C105-$K36</f>
        <v>98</v>
      </c>
      <c r="E105" s="501">
        <f>D105-$K36</f>
        <v>96</v>
      </c>
      <c r="F105" s="501">
        <f>E105-$K36</f>
        <v>94</v>
      </c>
      <c r="G105" s="501">
        <f>F105-$K36</f>
        <v>92</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7">C107-$K37</f>
        <v>98</v>
      </c>
      <c r="E107" s="501">
        <f t="shared" si="27"/>
        <v>96</v>
      </c>
      <c r="F107" s="501">
        <f t="shared" si="27"/>
        <v>94</v>
      </c>
      <c r="G107" s="501">
        <f t="shared" si="27"/>
        <v>92</v>
      </c>
      <c r="H107" s="501">
        <f t="shared" si="27"/>
        <v>90</v>
      </c>
      <c r="I107" s="501">
        <f t="shared" si="27"/>
        <v>88</v>
      </c>
      <c r="J107" s="501">
        <f t="shared" si="27"/>
        <v>86</v>
      </c>
      <c r="K107" s="501">
        <f t="shared" si="27"/>
        <v>84</v>
      </c>
      <c r="L107" s="501">
        <f t="shared" si="27"/>
        <v>82</v>
      </c>
      <c r="M107" s="501">
        <f t="shared" si="27"/>
        <v>80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65" priority="20" stopIfTrue="1" operator="containsText" text="超过">
      <formula>NOT(ISERROR(SEARCH("超过",F46)))</formula>
    </cfRule>
  </conditionalFormatting>
  <conditionalFormatting sqref="H48">
    <cfRule type="containsText" dxfId="164" priority="19" stopIfTrue="1" operator="containsText" text="超过">
      <formula>NOT(ISERROR(SEARCH("超过",H48)))</formula>
    </cfRule>
  </conditionalFormatting>
  <conditionalFormatting sqref="F48">
    <cfRule type="containsText" dxfId="163" priority="18" stopIfTrue="1" operator="containsText" text="超过">
      <formula>NOT(ISERROR(SEARCH("超过",F48)))</formula>
    </cfRule>
  </conditionalFormatting>
  <conditionalFormatting sqref="F47 H47">
    <cfRule type="containsText" dxfId="162" priority="17" stopIfTrue="1" operator="containsText" text="超过">
      <formula>NOT(ISERROR(SEARCH("超过",F47)))</formula>
    </cfRule>
  </conditionalFormatting>
  <conditionalFormatting sqref="E46">
    <cfRule type="expression" dxfId="161" priority="16" stopIfTrue="1">
      <formula>$F$46="超过30%"</formula>
    </cfRule>
  </conditionalFormatting>
  <conditionalFormatting sqref="E47">
    <cfRule type="expression" dxfId="160" priority="15" stopIfTrue="1">
      <formula>$F$47="超过20%"</formula>
    </cfRule>
  </conditionalFormatting>
  <conditionalFormatting sqref="E48">
    <cfRule type="expression" dxfId="159" priority="14" stopIfTrue="1">
      <formula>$F$48="超过30%"</formula>
    </cfRule>
  </conditionalFormatting>
  <conditionalFormatting sqref="G48">
    <cfRule type="expression" dxfId="158" priority="13" stopIfTrue="1">
      <formula>$H$48="超过30%"</formula>
    </cfRule>
  </conditionalFormatting>
  <conditionalFormatting sqref="G46">
    <cfRule type="expression" dxfId="157" priority="12" stopIfTrue="1">
      <formula>$H$46="超过30%"</formula>
    </cfRule>
  </conditionalFormatting>
  <conditionalFormatting sqref="G47">
    <cfRule type="expression" dxfId="156" priority="11" stopIfTrue="1">
      <formula>$H$47="超过20%"</formula>
    </cfRule>
  </conditionalFormatting>
  <conditionalFormatting sqref="J46">
    <cfRule type="containsText" dxfId="155" priority="10" stopIfTrue="1" operator="containsText" text="超过">
      <formula>NOT(ISERROR(SEARCH("超过",J46)))</formula>
    </cfRule>
  </conditionalFormatting>
  <conditionalFormatting sqref="J48">
    <cfRule type="containsText" dxfId="154" priority="9" stopIfTrue="1" operator="containsText" text="超过">
      <formula>NOT(ISERROR(SEARCH("超过",J48)))</formula>
    </cfRule>
  </conditionalFormatting>
  <conditionalFormatting sqref="J47">
    <cfRule type="containsText" dxfId="153" priority="8" stopIfTrue="1" operator="containsText" text="超过">
      <formula>NOT(ISERROR(SEARCH("超过",J47)))</formula>
    </cfRule>
  </conditionalFormatting>
  <conditionalFormatting sqref="I46">
    <cfRule type="expression" dxfId="152" priority="7" stopIfTrue="1">
      <formula>$J$46="超过30%"</formula>
    </cfRule>
  </conditionalFormatting>
  <conditionalFormatting sqref="I47">
    <cfRule type="expression" dxfId="151" priority="6" stopIfTrue="1">
      <formula>$J$47="超过20%"</formula>
    </cfRule>
  </conditionalFormatting>
  <conditionalFormatting sqref="I48">
    <cfRule type="expression" dxfId="150" priority="5" stopIfTrue="1">
      <formula>$J$48="超过30%"</formula>
    </cfRule>
  </conditionalFormatting>
  <conditionalFormatting sqref="F42">
    <cfRule type="expression" dxfId="149" priority="4">
      <formula>$D$42="简单平均"</formula>
    </cfRule>
  </conditionalFormatting>
  <conditionalFormatting sqref="H42">
    <cfRule type="expression" dxfId="148" priority="3">
      <formula>$D$42="简单平均"</formula>
    </cfRule>
  </conditionalFormatting>
  <conditionalFormatting sqref="J42">
    <cfRule type="expression" dxfId="147" priority="2">
      <formula>$D$42="简单平均"</formula>
    </cfRule>
  </conditionalFormatting>
  <conditionalFormatting sqref="F7:F40 H7:H40 J7:J40">
    <cfRule type="cellIs" dxfId="146"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7" t="str">
        <f>项目基本情况!B1</f>
        <v>北京市房地产抵押价值预评估</v>
      </c>
      <c r="C37" s="3217"/>
      <c r="D37" s="3217"/>
      <c r="E37" s="3217"/>
      <c r="F37" s="3217"/>
      <c r="G37" s="3217"/>
      <c r="H37" s="3217"/>
      <c r="I37" s="321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52ACB-3FC7-4751-A46D-3C81B8426214}">
  <dimension ref="A1"/>
  <sheetViews>
    <sheetView workbookViewId="0">
      <selection activeCell="G20" sqref="G20"/>
    </sheetView>
  </sheetViews>
  <sheetFormatPr defaultRowHeight="13.5"/>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D22" sqref="D2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998</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5119</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171</v>
      </c>
      <c r="D5" s="217" t="s">
        <v>2095</v>
      </c>
      <c r="E5" s="218" t="s">
        <v>2096</v>
      </c>
      <c r="F5" s="218" t="s">
        <v>2097</v>
      </c>
      <c r="G5" s="219"/>
    </row>
    <row r="6" spans="1:9" s="220" customFormat="1" ht="13.5" customHeight="1">
      <c r="A6" s="886" t="s">
        <v>2098</v>
      </c>
      <c r="B6" s="221" t="s">
        <v>2099</v>
      </c>
      <c r="C6" s="222">
        <f>[2]基准地价修正!$E$33</f>
        <v>134</v>
      </c>
      <c r="D6" s="223"/>
      <c r="E6" s="224"/>
      <c r="F6" s="224"/>
      <c r="G6" s="225"/>
    </row>
    <row r="7" spans="1:9" s="220" customFormat="1" ht="13.5" customHeight="1">
      <c r="A7" s="886" t="s">
        <v>2100</v>
      </c>
      <c r="B7" s="221" t="s">
        <v>2101</v>
      </c>
      <c r="C7" s="226">
        <f>ROUND(C6*F7,0)</f>
        <v>4</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33</v>
      </c>
      <c r="D8" s="228"/>
      <c r="E8" s="226"/>
      <c r="F8" s="227"/>
      <c r="G8" s="2012"/>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140</v>
      </c>
      <c r="F9" s="227"/>
      <c r="G9" s="2013"/>
      <c r="H9" s="1271"/>
      <c r="I9" s="2014" t="s">
        <v>2105</v>
      </c>
    </row>
    <row r="10" spans="1:9" s="220" customFormat="1" ht="13.5" customHeight="1">
      <c r="A10" s="887" t="s">
        <v>801</v>
      </c>
      <c r="B10" s="230" t="s">
        <v>2106</v>
      </c>
      <c r="C10" s="231">
        <f ca="1">ROUND(D10*E10/10000,0)</f>
        <v>33</v>
      </c>
      <c r="D10" s="954">
        <f ca="1">IF(B1="",'数据-汇总表'!E6,IF(INDIRECT("'数据-取费表'!c"&amp;$G$1)="住宅",INDIRECT("'数据-取费表'!s"&amp;$G$1),INDIRECT("'数据-取费表'!k"&amp;$G$1)+INDIRECT("'数据-取费表'!s"&amp;$G$1)))</f>
        <v>1949.77</v>
      </c>
      <c r="E10" s="231">
        <f>'数据-取费表'!B28</f>
        <v>170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1949.77</v>
      </c>
      <c r="E19" s="217">
        <f>'数据-取费表'!B31</f>
        <v>200</v>
      </c>
      <c r="F19" s="237"/>
      <c r="G19" s="2012" t="s">
        <v>3171</v>
      </c>
    </row>
    <row r="20" spans="1:7" s="220" customFormat="1" ht="13.5" customHeight="1">
      <c r="A20" s="261" t="s">
        <v>2119</v>
      </c>
      <c r="B20" s="216" t="s">
        <v>2120</v>
      </c>
      <c r="C20" s="238">
        <f ca="1">ROUND((C5+C19)*F20,0)</f>
        <v>5</v>
      </c>
      <c r="D20" s="238"/>
      <c r="E20" s="238"/>
      <c r="F20" s="239">
        <f>'数据-取费表'!B37</f>
        <v>0.03</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6">
        <f ca="1">ROUND(SUM(C23:C25),0)</f>
        <v>7</v>
      </c>
      <c r="D22" s="241">
        <f ca="1">C26</f>
        <v>5.9999999999999995E-4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7</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0</v>
      </c>
      <c r="D25" s="244"/>
      <c r="E25" s="247"/>
      <c r="F25" s="245"/>
      <c r="G25" s="248" t="s">
        <v>2136</v>
      </c>
    </row>
    <row r="26" spans="1:7" s="220" customFormat="1">
      <c r="A26" s="888" t="s">
        <v>795</v>
      </c>
      <c r="B26" s="221" t="s">
        <v>2137</v>
      </c>
      <c r="C26" s="244">
        <f ca="1">ROUND(IF('数据-取费表'!B22&lt;=1,F21*F22*'数据-取费表'!B23/2,F21*(POWER((1+F22),'数据-取费表'!B23/2)-1)),4)</f>
        <v>5.9999999999999995E-4</v>
      </c>
      <c r="D26" s="244"/>
      <c r="E26" s="247"/>
      <c r="F26" s="245"/>
      <c r="G26" s="249"/>
    </row>
    <row r="27" spans="1:7" s="220" customFormat="1" ht="24.75">
      <c r="A27" s="261" t="s">
        <v>2138</v>
      </c>
      <c r="B27" s="250" t="s">
        <v>2139</v>
      </c>
      <c r="C27" s="251">
        <f ca="1">C28</f>
        <v>18</v>
      </c>
      <c r="D27" s="241">
        <f ca="1">C29</f>
        <v>3.0000000000000001E-3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18</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220</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751</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682</v>
      </c>
      <c r="D34" s="223"/>
      <c r="E34" s="226"/>
      <c r="F34" s="263">
        <f ca="1">IF('数据-取费表'!B24=0,1,IF(B1="",'数据-取费表'!N16,INDIRECT("'数据-取费表'!n"&amp;$G$1)))</f>
        <v>1</v>
      </c>
      <c r="G34" s="225" t="s">
        <v>2152</v>
      </c>
    </row>
    <row r="35" spans="1:7" ht="13.5" customHeight="1">
      <c r="A35" s="888" t="s">
        <v>796</v>
      </c>
      <c r="B35" s="221" t="s">
        <v>2153</v>
      </c>
      <c r="C35" s="226">
        <f ca="1">ROUND(C34*F35,0)</f>
        <v>20</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39</v>
      </c>
      <c r="D37" s="223">
        <f ca="1">D19</f>
        <v>1949.77</v>
      </c>
      <c r="E37" s="255">
        <f>'数据-取费表'!B35</f>
        <v>200</v>
      </c>
      <c r="F37" s="265"/>
      <c r="G37" s="267" t="s">
        <v>2158</v>
      </c>
    </row>
    <row r="38" spans="1:7" ht="13.5" customHeight="1">
      <c r="A38" s="888" t="s">
        <v>799</v>
      </c>
      <c r="B38" s="221" t="s">
        <v>2159</v>
      </c>
      <c r="C38" s="226">
        <f ca="1">ROUND(C34*F38,0)</f>
        <v>10</v>
      </c>
      <c r="D38" s="226"/>
      <c r="E38" s="226"/>
      <c r="F38" s="265">
        <f>'数据-取费表'!B36</f>
        <v>1.4999999999999999E-2</v>
      </c>
      <c r="G38" s="225" t="s">
        <v>2154</v>
      </c>
    </row>
    <row r="39" spans="1:7" s="220" customFormat="1" ht="13.5" customHeight="1">
      <c r="A39" s="261" t="s">
        <v>2160</v>
      </c>
      <c r="B39" s="216" t="s">
        <v>2161</v>
      </c>
      <c r="C39" s="238">
        <f ca="1">ROUND(C33*F20,0)</f>
        <v>23</v>
      </c>
      <c r="D39" s="238"/>
      <c r="E39" s="238"/>
      <c r="F39" s="2505">
        <f>F20</f>
        <v>0.03</v>
      </c>
      <c r="G39" s="240" t="s">
        <v>2162</v>
      </c>
    </row>
    <row r="40" spans="1:7" s="220" customFormat="1" ht="13.5" customHeight="1">
      <c r="A40" s="261" t="s">
        <v>2163</v>
      </c>
      <c r="B40" s="216" t="s">
        <v>2164</v>
      </c>
      <c r="C40" s="1467">
        <f>F21</f>
        <v>0.03</v>
      </c>
      <c r="D40" s="242" t="s">
        <v>2165</v>
      </c>
      <c r="E40" s="238"/>
      <c r="F40" s="2505">
        <f>F21</f>
        <v>0.03</v>
      </c>
      <c r="G40" s="240" t="s">
        <v>2166</v>
      </c>
    </row>
    <row r="41" spans="1:7" s="220" customFormat="1" ht="13.5" customHeight="1">
      <c r="A41" s="261" t="s">
        <v>2167</v>
      </c>
      <c r="B41" s="216" t="s">
        <v>2168</v>
      </c>
      <c r="C41" s="238">
        <f ca="1">ROUND(SUM(C42:C43),0)</f>
        <v>16</v>
      </c>
      <c r="D41" s="241">
        <f ca="1">C44</f>
        <v>5.9999999999999995E-4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16</v>
      </c>
      <c r="D42" s="244"/>
      <c r="E42" s="244"/>
      <c r="F42" s="245"/>
      <c r="G42" s="3448" t="s">
        <v>2170</v>
      </c>
    </row>
    <row r="43" spans="1:7" ht="13.5" customHeight="1">
      <c r="A43" s="888" t="s">
        <v>792</v>
      </c>
      <c r="B43" s="221" t="s">
        <v>2171</v>
      </c>
      <c r="C43" s="244">
        <f ca="1">ROUND(IF('数据-取费表'!B22&lt;=1,C39*F22*'数据-取费表'!B21/2,C39*(POWER((1+F22),'数据-取费表'!B21/2)-1)),0)</f>
        <v>0</v>
      </c>
      <c r="D43" s="244"/>
      <c r="E43" s="244"/>
      <c r="F43" s="245"/>
      <c r="G43" s="3449"/>
    </row>
    <row r="44" spans="1:7" ht="13.5" customHeight="1">
      <c r="A44" s="888" t="s">
        <v>793</v>
      </c>
      <c r="B44" s="221" t="s">
        <v>2172</v>
      </c>
      <c r="C44" s="244">
        <f ca="1">ROUND(IF('数据-取费表'!B22&lt;=1,C40*F22*'数据-取费表'!B21/2,C40*(POWER((1+F22),'数据-取费表'!B21/2)-1)),4)</f>
        <v>5.9999999999999995E-4</v>
      </c>
      <c r="D44" s="244"/>
      <c r="E44" s="244"/>
      <c r="F44" s="245"/>
      <c r="G44" s="3450"/>
    </row>
    <row r="45" spans="1:7" s="220" customFormat="1" ht="13.5" customHeight="1">
      <c r="A45" s="261" t="s">
        <v>2173</v>
      </c>
      <c r="B45" s="250" t="s">
        <v>2139</v>
      </c>
      <c r="C45" s="251">
        <f ca="1">C46</f>
        <v>77</v>
      </c>
      <c r="D45" s="241">
        <f ca="1">C47</f>
        <v>3.0000000000000001E-3</v>
      </c>
      <c r="E45" s="242" t="s">
        <v>2165</v>
      </c>
      <c r="F45" s="2507">
        <f ca="1">F27</f>
        <v>0.1</v>
      </c>
      <c r="G45" s="253" t="s">
        <v>2174</v>
      </c>
    </row>
    <row r="46" spans="1:7" s="220" customFormat="1" ht="13.5" customHeight="1">
      <c r="A46" s="888" t="s">
        <v>791</v>
      </c>
      <c r="B46" s="254" t="s">
        <v>2175</v>
      </c>
      <c r="C46" s="255">
        <f ca="1">ROUND((C33+C39)*F27,0)</f>
        <v>77</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949</v>
      </c>
      <c r="D49" s="238"/>
      <c r="E49" s="238"/>
      <c r="F49" s="270"/>
      <c r="G49" s="240" t="s">
        <v>2180</v>
      </c>
    </row>
    <row r="50" spans="1:7" s="264" customFormat="1" ht="24">
      <c r="A50" s="261" t="s">
        <v>2181</v>
      </c>
      <c r="B50" s="216" t="s">
        <v>2182</v>
      </c>
      <c r="C50" s="238"/>
      <c r="D50" s="238"/>
      <c r="E50" s="238"/>
      <c r="F50" s="270">
        <f>IF('数据-取费表'!B24=0,'数据-取费表'!N16,1)</f>
        <v>0.82</v>
      </c>
      <c r="G50" s="253" t="s">
        <v>2183</v>
      </c>
    </row>
    <row r="51" spans="1:7" ht="16.5" customHeight="1">
      <c r="A51" s="261" t="s">
        <v>2184</v>
      </c>
      <c r="B51" s="216" t="s">
        <v>2185</v>
      </c>
      <c r="C51" s="238">
        <f ca="1">ROUND(C49*F50,0)</f>
        <v>778</v>
      </c>
      <c r="D51" s="238"/>
      <c r="E51" s="238"/>
      <c r="F51" s="270"/>
      <c r="G51" s="240" t="s">
        <v>2186</v>
      </c>
    </row>
    <row r="52" spans="1:7" s="214" customFormat="1" ht="16.5" thickBot="1">
      <c r="A52" s="271" t="s">
        <v>2187</v>
      </c>
      <c r="B52" s="272"/>
      <c r="C52" s="273">
        <f ca="1">C31+C51</f>
        <v>998</v>
      </c>
      <c r="D52" s="272"/>
      <c r="E52" s="272"/>
      <c r="F52" s="272"/>
      <c r="G52" s="274"/>
    </row>
    <row r="55" spans="1:7" ht="15">
      <c r="B55" s="276" t="s">
        <v>2188</v>
      </c>
      <c r="C55" s="277"/>
    </row>
    <row r="56" spans="1:7">
      <c r="B56" s="279" t="s">
        <v>1418</v>
      </c>
      <c r="C56" s="281">
        <f ca="1">1-C57</f>
        <v>0.21999999999999997</v>
      </c>
    </row>
    <row r="57" spans="1:7">
      <c r="B57" s="279" t="s">
        <v>1419</v>
      </c>
      <c r="C57" s="280">
        <f ca="1">ROUND(C51/C52,3)</f>
        <v>0.78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80" zoomScaleNormal="80" zoomScaleSheetLayoutView="80" workbookViewId="0">
      <selection activeCell="H19" sqref="H19"/>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1949.77</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0</v>
      </c>
      <c r="C2" s="2155" t="s">
        <v>2574</v>
      </c>
      <c r="D2" s="2156" t="s">
        <v>2575</v>
      </c>
      <c r="E2" s="2157" t="s">
        <v>6</v>
      </c>
      <c r="F2" s="2156" t="s">
        <v>2576</v>
      </c>
      <c r="G2" s="2158" t="str">
        <f>IF(E2="商业",项目基本情况!B37,IF(E2="办公",项目基本情况!C37,IF(E2="住宅",项目基本情况!D37,项目基本情况!E37)))</f>
        <v>九级</v>
      </c>
      <c r="H2" s="2156" t="s">
        <v>2577</v>
      </c>
      <c r="I2" s="2158" t="str">
        <f>IF(E2="商业",项目基本情况!B38,IF(E2="办公",项目基本情况!C38,IF(E2="住宅",项目基本情况!D38,项目基本情况!E38)))</f>
        <v>Ⅸ-通2</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1.9419999999999999</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f>ROUND(B2*10000/D1,0)</f>
        <v>0</v>
      </c>
      <c r="C3" s="2155" t="s">
        <v>2580</v>
      </c>
      <c r="D3" s="2156" t="s">
        <v>2581</v>
      </c>
      <c r="E3" s="2161" t="s">
        <v>3139</v>
      </c>
      <c r="F3" s="2162" t="s">
        <v>3138</v>
      </c>
      <c r="G3" s="855">
        <f>IF(F3="宗地容积率",'数据-汇总表'!I4,IF(F3="估价对象容积率",'数据-汇总表'!I6,'数据-汇总表'!I7))</f>
        <v>1.47</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1.2799</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70"/>
      <c r="B4" s="3471"/>
      <c r="C4" s="3471"/>
      <c r="D4" s="3472"/>
      <c r="E4" s="3472"/>
      <c r="F4" s="3472"/>
      <c r="G4" s="3472"/>
      <c r="H4" s="3472"/>
      <c r="I4" s="3472"/>
      <c r="J4" s="3473"/>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1.0072000000000001</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790</v>
      </c>
      <c r="D5" s="1493">
        <f>ROUND(C6+C16,0)</f>
        <v>790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0.75249999999999995</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790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0.56589999999999996</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451" t="str">
        <f>IF(E2="商业",IF(C8="不临58条商业街","",2),"")</f>
        <v/>
      </c>
      <c r="B7" s="2179" t="s">
        <v>2592</v>
      </c>
      <c r="C7" s="858">
        <f>IF(C8="不临58条商业街",1,ROUND(1+(1.6*E8+1.2*E9+0.8*E10+0.4*E11)*C9,4))</f>
        <v>1</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0.45250000000000001</v>
      </c>
      <c r="T7" s="1346">
        <f t="shared" si="0"/>
        <v>0</v>
      </c>
      <c r="U7" s="1347"/>
      <c r="V7" s="1346">
        <f t="shared" si="1"/>
        <v>0</v>
      </c>
      <c r="W7" s="1512" t="s">
        <v>2595</v>
      </c>
      <c r="X7" s="1348" t="str">
        <f>G2</f>
        <v>九级</v>
      </c>
      <c r="Y7" s="1348" t="s">
        <v>2596</v>
      </c>
      <c r="Z7" s="1349">
        <f>G3</f>
        <v>1.47</v>
      </c>
      <c r="AA7" s="1350"/>
      <c r="AB7" s="1350"/>
      <c r="AC7" s="1351"/>
      <c r="AD7" s="1352"/>
      <c r="AE7" s="1352"/>
      <c r="AF7" s="1352"/>
      <c r="AG7" s="1352"/>
      <c r="AH7" s="1352"/>
      <c r="AI7" s="1352"/>
      <c r="AJ7" s="1353"/>
    </row>
    <row r="8" spans="1:36" ht="25.5">
      <c r="A8" s="3474"/>
      <c r="B8" s="175" t="s">
        <v>2597</v>
      </c>
      <c r="C8" s="2184" t="s">
        <v>3140</v>
      </c>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67" t="s">
        <v>2600</v>
      </c>
      <c r="X8" s="3468"/>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474"/>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790</v>
      </c>
      <c r="N9" s="997">
        <f>SUMPRODUCT((因素修正幅度!B245:B289=I2)*(因素修正幅度!C3:F3=E2)*(因素修正幅度!C245:F289))</f>
        <v>0.13900000000000001</v>
      </c>
      <c r="O9" s="1252"/>
      <c r="P9" s="1252"/>
      <c r="Q9" s="1252"/>
      <c r="R9" s="1346">
        <v>8</v>
      </c>
      <c r="S9" s="1347"/>
      <c r="T9" s="1346">
        <f t="shared" si="0"/>
        <v>0</v>
      </c>
      <c r="U9" s="1347"/>
      <c r="V9" s="1346">
        <f t="shared" si="1"/>
        <v>0</v>
      </c>
      <c r="W9" s="3469"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74"/>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6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74"/>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69" t="s">
        <v>2624</v>
      </c>
      <c r="X11" s="1358" t="s">
        <v>2625</v>
      </c>
      <c r="Y11" s="1359">
        <f>$G$3</f>
        <v>1.47</v>
      </c>
      <c r="Z11" s="1359">
        <f t="shared" ref="Z11:AJ11" si="3">$G$3</f>
        <v>1.47</v>
      </c>
      <c r="AA11" s="1359">
        <f t="shared" si="3"/>
        <v>1.47</v>
      </c>
      <c r="AB11" s="1359">
        <f t="shared" si="3"/>
        <v>1.47</v>
      </c>
      <c r="AC11" s="1359">
        <f t="shared" si="3"/>
        <v>1.47</v>
      </c>
      <c r="AD11" s="1359">
        <f t="shared" si="3"/>
        <v>1.47</v>
      </c>
      <c r="AE11" s="1359">
        <f t="shared" si="3"/>
        <v>1.47</v>
      </c>
      <c r="AF11" s="1359">
        <f t="shared" si="3"/>
        <v>1.47</v>
      </c>
      <c r="AG11" s="1359">
        <f t="shared" si="3"/>
        <v>1.47</v>
      </c>
      <c r="AH11" s="1359">
        <f t="shared" si="3"/>
        <v>1.47</v>
      </c>
      <c r="AI11" s="1359">
        <f t="shared" si="3"/>
        <v>1.47</v>
      </c>
      <c r="AJ11" s="1359">
        <f t="shared" si="3"/>
        <v>1.47</v>
      </c>
    </row>
    <row r="12" spans="1:36" ht="25.5" thickBot="1">
      <c r="A12" s="3451"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69"/>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75"/>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469"/>
      <c r="X13" s="1360"/>
      <c r="Y13" s="1357">
        <f>(-0.163*(Y12^2)-0.59*Y12+7617)*(10^(-4))/Y11</f>
        <v>0.51816326530612244</v>
      </c>
      <c r="Z13" s="1357">
        <f t="shared" ref="Z13:AJ13" si="5">(-0.163*(Z12^2)-0.59*Z12+7617)*(10^(-4))/Z11</f>
        <v>0.51816326530612244</v>
      </c>
      <c r="AA13" s="1357">
        <f t="shared" si="5"/>
        <v>0.51816326530612244</v>
      </c>
      <c r="AB13" s="1357">
        <f t="shared" si="5"/>
        <v>0.51816326530612244</v>
      </c>
      <c r="AC13" s="1357">
        <f t="shared" si="5"/>
        <v>0.51816326530612244</v>
      </c>
      <c r="AD13" s="1357">
        <f t="shared" si="5"/>
        <v>0.51816326530612244</v>
      </c>
      <c r="AE13" s="1357">
        <f t="shared" si="5"/>
        <v>0.51816326530612244</v>
      </c>
      <c r="AF13" s="1357">
        <f t="shared" si="5"/>
        <v>0.51816326530612244</v>
      </c>
      <c r="AG13" s="1357">
        <f t="shared" si="5"/>
        <v>0.51816326530612244</v>
      </c>
      <c r="AH13" s="1357">
        <f t="shared" si="5"/>
        <v>0.51816326530612244</v>
      </c>
      <c r="AI13" s="1357">
        <f t="shared" si="5"/>
        <v>0.51816326530612244</v>
      </c>
      <c r="AJ13" s="1357">
        <f t="shared" si="5"/>
        <v>0.51816326530612244</v>
      </c>
    </row>
    <row r="14" spans="1:36" ht="15">
      <c r="A14" s="3475"/>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8"/>
      <c r="AE14" s="2988"/>
      <c r="AF14" s="2988"/>
      <c r="AG14" s="2988"/>
      <c r="AH14" s="2988"/>
      <c r="AI14" s="2988"/>
      <c r="AJ14" s="2989"/>
    </row>
    <row r="15" spans="1:36" ht="15.75" thickBot="1">
      <c r="A15" s="3476"/>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8"/>
      <c r="AE15" s="2988"/>
      <c r="AF15" s="2988"/>
      <c r="AG15" s="2988"/>
      <c r="AH15" s="2988"/>
      <c r="AI15" s="2988"/>
      <c r="AJ15" s="2989"/>
    </row>
    <row r="16" spans="1:36" ht="24.6" customHeight="1">
      <c r="A16" s="3451" t="s">
        <v>2643</v>
      </c>
      <c r="B16" s="2179" t="s">
        <v>2644</v>
      </c>
      <c r="C16" s="2341">
        <f>ROUND(IF(F17="与级别开发程度一致",0,(G17-E17)/C17),0)</f>
        <v>0</v>
      </c>
      <c r="D16" s="3464" t="s">
        <v>2648</v>
      </c>
      <c r="E16" s="3465"/>
      <c r="F16" s="3464" t="s">
        <v>2645</v>
      </c>
      <c r="G16" s="3465"/>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88"/>
      <c r="AE16" s="2988"/>
      <c r="AF16" s="2988"/>
      <c r="AG16" s="2988"/>
      <c r="AH16" s="2988"/>
      <c r="AI16" s="2988"/>
      <c r="AJ16" s="2989"/>
    </row>
    <row r="17" spans="1:37" ht="26.25" thickBot="1">
      <c r="A17" s="3452"/>
      <c r="B17" s="2352" t="s">
        <v>2647</v>
      </c>
      <c r="C17" s="2353">
        <f>SUMPRODUCT((修正!A2:A5=E2)*(修正!B1:M1=G2)*(修正!B2:M5))</f>
        <v>1</v>
      </c>
      <c r="D17" s="193" t="str">
        <f>IF(OR(G2="八级",G2="九级",G2="十级",G2="十一级",G2="十二级"),"五通一平","七通一平")</f>
        <v>五通一平</v>
      </c>
      <c r="E17" s="2342">
        <f>SUMPRODUCT((修正!B1:M1=G2)*(修正!B15:M15))</f>
        <v>155</v>
      </c>
      <c r="F17" s="2343" t="s">
        <v>3141</v>
      </c>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1</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7.75" thickBot="1">
      <c r="A19" s="2216" t="s">
        <v>809</v>
      </c>
      <c r="B19" s="2217" t="s">
        <v>2651</v>
      </c>
      <c r="C19" s="863">
        <f>ROUND(IF(H19="按公示增长率计算",SUMPRODUCT((地价!A3:A37=YEAR(G19)&amp;"-"&amp;ROUNDUP(MONTH(G19)/3,0))*(地价!X2:AB2=E2)*(地价!X3:AB37)),IF(H19="地价指数",M20/M19,(1+I19)^O19)),4)</f>
        <v>0</v>
      </c>
      <c r="D19" s="2221" t="s">
        <v>2652</v>
      </c>
      <c r="E19" s="864">
        <v>41640</v>
      </c>
      <c r="F19" s="2221" t="s">
        <v>2653</v>
      </c>
      <c r="G19" s="865">
        <f>'数据-取费表'!B2</f>
        <v>44781</v>
      </c>
      <c r="H19" s="2222" t="s">
        <v>3142</v>
      </c>
      <c r="I19" s="866" t="str">
        <f>IF(H19="季度增幅（自定义）",SUMIF(N21:N24,E2,O21:O24),"")</f>
        <v/>
      </c>
      <c r="J19" s="2219"/>
      <c r="K19" s="1259"/>
      <c r="L19" s="2223" t="s">
        <v>2654</v>
      </c>
      <c r="M19" s="1468">
        <f>ROUND(SUMIF(地价!B2:F2,E2,地价!B37:F37),0)</f>
        <v>230</v>
      </c>
      <c r="N19" s="2224" t="s">
        <v>2655</v>
      </c>
      <c r="O19" s="867">
        <f>ROUNDDOWN(DATEDIF(E19,G19,"M")/3,0)</f>
        <v>34</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2656</v>
      </c>
      <c r="C20" s="868">
        <f>ROUND(POWER(1+G20,J20-I20)*(POWER(1+G20,I20)-1)/(POWER(1+G20,J20)-1),4)</f>
        <v>0.93220000000000003</v>
      </c>
      <c r="D20" s="2228" t="s">
        <v>2657</v>
      </c>
      <c r="E20" s="1475">
        <f>存贷款利率!E20/100</f>
        <v>4.3499999999999997E-2</v>
      </c>
      <c r="F20" s="2228" t="s">
        <v>2649</v>
      </c>
      <c r="G20" s="873">
        <f>SUMIF(M26:P26,E2,M28:P28)</f>
        <v>4.8000000000000001E-2</v>
      </c>
      <c r="H20" s="2228" t="s">
        <v>2658</v>
      </c>
      <c r="I20" s="874">
        <f>SUMIF('数据-取费表'!C6:C15,E2,'数据-取费表'!F6:F15)/COUNTIF('数据-取费表'!C6:C15,E2)</f>
        <v>39.46</v>
      </c>
      <c r="J20" s="875">
        <f>IF(E2="住宅",70,IF(E2="商业",40,50))</f>
        <v>50</v>
      </c>
      <c r="K20" s="1259"/>
      <c r="L20" s="2229" t="s">
        <v>2659</v>
      </c>
      <c r="M20" s="1469">
        <f>ROUND(SUMPRODUCT((地价!A4:A37=YEAR(G19)&amp;"-"&amp;ROUNDUP(MONTH(G19)/3,0))*(地价!B2:F2=E2)*(地价!B4:F37)),0)</f>
        <v>0</v>
      </c>
      <c r="N20" s="2230" t="s">
        <v>2660</v>
      </c>
      <c r="O20" s="2231" t="s">
        <v>2661</v>
      </c>
      <c r="P20" s="2232" t="s">
        <v>2662</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3143</v>
      </c>
      <c r="C21" s="876">
        <f>IF(B21="容积率修正",IF(G3&lt;=10,D22,J22),C23)</f>
        <v>0.80789999999999995</v>
      </c>
      <c r="D21" s="2235"/>
      <c r="E21" s="2235"/>
      <c r="F21" s="2235"/>
      <c r="G21" s="2235"/>
      <c r="H21" s="2235"/>
      <c r="I21" s="2235"/>
      <c r="J21" s="2236"/>
      <c r="K21" s="1259"/>
      <c r="L21" s="2987"/>
      <c r="M21" s="2987"/>
      <c r="N21" s="2237" t="s">
        <v>2663</v>
      </c>
      <c r="O21" s="1307"/>
      <c r="P21" s="1308">
        <f>SUMPRODUCT((地价!A3:A37=YEAR(G19)&amp;"-"&amp;ROUNDUP(MONTH(G19)/3,0))*(地价!AD2:AH2=N21)*(地价!AD3:AH37))</f>
        <v>0</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2664</v>
      </c>
      <c r="B22" s="2238" t="s">
        <v>2665</v>
      </c>
      <c r="C22" s="1506" t="s">
        <v>2666</v>
      </c>
      <c r="D22" s="1506">
        <f>IF(E22=G22,F22,IF(G3&lt;=10,ROUND(F22+(H22-F22)*(G3-E22)/(G22-E22),4),"——"))</f>
        <v>0.80789999999999995</v>
      </c>
      <c r="E22" s="855">
        <f>ROUNDDOWN(G3,1)</f>
        <v>1.4</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0.82379999999999998</v>
      </c>
      <c r="G22" s="855">
        <f>ROUNDUP(G3,1)</f>
        <v>1.5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06" t="s">
        <v>155</v>
      </c>
      <c r="J22" s="877" t="str">
        <f>IF(G3&gt;10,D113,"——")</f>
        <v>——</v>
      </c>
      <c r="K22" s="1259"/>
      <c r="L22" s="2987"/>
      <c r="M22" s="2987"/>
      <c r="N22" s="2237" t="s">
        <v>2667</v>
      </c>
      <c r="O22" s="1307"/>
      <c r="P22" s="1308">
        <f>SUMPRODUCT((地价!A3:A37=YEAR(G19)&amp;"-"&amp;ROUNDUP(MONTH(G19)/3,0))*(地价!AD2:AH2=N22)*(地价!AD3:AH37))</f>
        <v>0</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2668</v>
      </c>
      <c r="B23" s="2239" t="s">
        <v>2669</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2670</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2671</v>
      </c>
      <c r="C24" s="863">
        <f>SUMIF(A45:A88,E2,B45:B88)</f>
        <v>1.0255000000000001</v>
      </c>
      <c r="D24" s="2218"/>
      <c r="E24" s="2245"/>
      <c r="F24" s="2245"/>
      <c r="G24" s="2245"/>
      <c r="H24" s="2245"/>
      <c r="I24" s="2245"/>
      <c r="J24" s="2246"/>
      <c r="K24" s="1259"/>
      <c r="L24" s="2987"/>
      <c r="M24" s="2987"/>
      <c r="N24" s="2247" t="s">
        <v>2672</v>
      </c>
      <c r="O24" s="1309"/>
      <c r="P24" s="1310">
        <f>SUMPRODUCT((地价!A3:A37=YEAR(G19)&amp;"-"&amp;ROUNDUP(MONTH(G19)/3,0))*(地价!AD2:AH2=N24)*(地价!AD3:AH37))</f>
        <v>0</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2673</v>
      </c>
      <c r="C25" s="869"/>
      <c r="D25" s="2182"/>
      <c r="E25" s="2182"/>
      <c r="F25" s="2249"/>
      <c r="G25" s="2182"/>
      <c r="H25" s="2182"/>
      <c r="I25" s="2182"/>
      <c r="J25" s="2183"/>
      <c r="K25" s="1252"/>
      <c r="L25" s="2153"/>
      <c r="M25" s="2153"/>
      <c r="N25" s="2982" t="s">
        <v>2674</v>
      </c>
      <c r="O25" s="2983"/>
      <c r="P25" s="2984">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2675</v>
      </c>
      <c r="C26" s="2512">
        <f>IF(B21="容积率修正",E29+SUM(E33:E39),SUM(V2:V16)+SUM(E33:E39))</f>
        <v>0</v>
      </c>
      <c r="D26" s="2251"/>
      <c r="E26" s="2207"/>
      <c r="F26" s="2252"/>
      <c r="G26" s="2207"/>
      <c r="H26" s="2207"/>
      <c r="I26" s="2207"/>
      <c r="J26" s="2253"/>
      <c r="K26" s="1252"/>
      <c r="L26" s="2985" t="s">
        <v>2575</v>
      </c>
      <c r="M26" s="2180" t="s">
        <v>2639</v>
      </c>
      <c r="N26" s="2180" t="s">
        <v>2640</v>
      </c>
      <c r="O26" s="2180" t="s">
        <v>2641</v>
      </c>
      <c r="P26" s="2986"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2676</v>
      </c>
      <c r="C27" s="870">
        <f>E30+SUM(I33:I39)</f>
        <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2677</v>
      </c>
      <c r="C28" s="2261" t="s">
        <v>2678</v>
      </c>
      <c r="D28" s="2261" t="s">
        <v>2679</v>
      </c>
      <c r="E28" s="2262" t="s">
        <v>2680</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2681</v>
      </c>
      <c r="C29" s="180">
        <f>ROUND(C5*C18*C19*C20*C21*C24,0)</f>
        <v>0</v>
      </c>
      <c r="D29" s="2266">
        <f>'数据-汇总表'!F19</f>
        <v>1949.77</v>
      </c>
      <c r="E29" s="879">
        <f>ROUND(C29*D29/10000,0)</f>
        <v>0</v>
      </c>
      <c r="F29" s="2267" t="s">
        <v>2682</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2683</v>
      </c>
      <c r="C30" s="193">
        <f>ROUND(IF(E2="工业",C29*M39,C29*M38),0)</f>
        <v>0</v>
      </c>
      <c r="D30" s="2272"/>
      <c r="E30" s="879">
        <f>ROUND(C30*D30/10000,0)</f>
        <v>0</v>
      </c>
      <c r="F30" s="2273" t="s">
        <v>2684</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2685</v>
      </c>
      <c r="C31" s="2278" t="s">
        <v>2686</v>
      </c>
      <c r="D31" s="2195"/>
      <c r="E31" s="2278"/>
      <c r="F31" s="2278"/>
      <c r="G31" s="2193" t="s">
        <v>2687</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2678</v>
      </c>
      <c r="D32" s="455" t="s">
        <v>2679</v>
      </c>
      <c r="E32" s="455" t="s">
        <v>2680</v>
      </c>
      <c r="F32" s="348" t="s">
        <v>2688</v>
      </c>
      <c r="G32" s="2281" t="s">
        <v>2678</v>
      </c>
      <c r="H32" s="2281" t="s">
        <v>2679</v>
      </c>
      <c r="I32" s="2281"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61"/>
      <c r="B33" s="2282" t="s">
        <v>2689</v>
      </c>
      <c r="C33" s="180">
        <f>ROUND(D5*C19*C20*C24*F33,0)</f>
        <v>0</v>
      </c>
      <c r="D33" s="2266"/>
      <c r="E33" s="176">
        <f>ROUND(C33*D33/10000,0)</f>
        <v>0</v>
      </c>
      <c r="F33" s="176">
        <f>SUMIF(修正!A45:A56,G2,修正!B45:B56)</f>
        <v>0.6</v>
      </c>
      <c r="G33" s="176">
        <f t="shared" ref="G33" si="6">ROUND(IF(E2="工业",C33*$M$39,C33*$M$38),0)</f>
        <v>0</v>
      </c>
      <c r="H33" s="176">
        <f>D33</f>
        <v>0</v>
      </c>
      <c r="I33" s="176">
        <f>ROUND(G33*H33/10000,0)</f>
        <v>0</v>
      </c>
      <c r="J33" s="3466" t="s">
        <v>2983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62"/>
      <c r="B34" s="2199" t="s">
        <v>2690</v>
      </c>
      <c r="C34" s="180">
        <f>ROUND(D5*C19*C20*C24*F34,0)</f>
        <v>0</v>
      </c>
      <c r="D34" s="2266"/>
      <c r="E34" s="176">
        <f t="shared" ref="E34:E39" si="7">ROUND(C34*D34/10000,0)</f>
        <v>0</v>
      </c>
      <c r="F34" s="176">
        <f>SUMIF(修正!A45:A56,G2,修正!C45:C56)</f>
        <v>0.3</v>
      </c>
      <c r="G34" s="176">
        <f>ROUND(IF(E2="工业",C34*$M$39,C34*$M$38),0)</f>
        <v>0</v>
      </c>
      <c r="H34" s="176">
        <f t="shared" ref="H34:H39" si="8">D34</f>
        <v>0</v>
      </c>
      <c r="I34" s="176">
        <f t="shared" ref="I34:I39" si="9">ROUND(G34*H34/10000,0)</f>
        <v>0</v>
      </c>
      <c r="J34" s="3462"/>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62"/>
      <c r="B35" s="2199" t="s">
        <v>2691</v>
      </c>
      <c r="C35" s="180">
        <f>ROUND(D5*C19*C20*C24*F35,0)</f>
        <v>0</v>
      </c>
      <c r="D35" s="2266"/>
      <c r="E35" s="176">
        <f t="shared" si="7"/>
        <v>0</v>
      </c>
      <c r="F35" s="176">
        <f>SUMIF(修正!A45:A56,G2,修正!D45:D56)</f>
        <v>0.2</v>
      </c>
      <c r="G35" s="176">
        <f>ROUND(IF(E2="工业",C35*$M$39,C35*$M$38),0)</f>
        <v>0</v>
      </c>
      <c r="H35" s="176">
        <f t="shared" si="8"/>
        <v>0</v>
      </c>
      <c r="I35" s="176">
        <f t="shared" si="9"/>
        <v>0</v>
      </c>
      <c r="J35" s="3462"/>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63"/>
      <c r="B36" s="2199" t="s">
        <v>2692</v>
      </c>
      <c r="C36" s="180">
        <f>ROUND(D5*C19*C20*C24*F36,0)</f>
        <v>0</v>
      </c>
      <c r="D36" s="2266"/>
      <c r="E36" s="176">
        <f t="shared" si="7"/>
        <v>0</v>
      </c>
      <c r="F36" s="176">
        <f>SUMIF(修正!A45:A56,G2,修正!E45:E56)</f>
        <v>0.2</v>
      </c>
      <c r="G36" s="176">
        <f>ROUND(IF(E2="工业",C36*$M$39,C36*$M$38),0)</f>
        <v>0</v>
      </c>
      <c r="H36" s="176">
        <f t="shared" si="8"/>
        <v>0</v>
      </c>
      <c r="I36" s="176">
        <f t="shared" si="9"/>
        <v>0</v>
      </c>
      <c r="J36" s="3463"/>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2693</v>
      </c>
      <c r="C37" s="176">
        <f>ROUND(D5*C19*C20*C24*F37,0)</f>
        <v>0</v>
      </c>
      <c r="D37" s="2266"/>
      <c r="E37" s="176">
        <f t="shared" si="7"/>
        <v>0</v>
      </c>
      <c r="F37" s="180">
        <f>SUMIF(修正!A45:A56,G2,修正!F45:F56)</f>
        <v>0.2</v>
      </c>
      <c r="G37" s="176">
        <f>ROUND(IF(E2="工业",C37*$M$39,C37*$M$38),0)</f>
        <v>0</v>
      </c>
      <c r="H37" s="176">
        <f t="shared" si="8"/>
        <v>0</v>
      </c>
      <c r="I37" s="176">
        <f t="shared" si="9"/>
        <v>0</v>
      </c>
      <c r="J37" s="2283"/>
      <c r="K37" s="1252"/>
      <c r="L37" s="2285" t="s">
        <v>2694</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2695</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2696</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2697</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2802</v>
      </c>
      <c r="C41" s="348">
        <f>ROUND(POWER(1+E41,H41-G41)*(POWER(1+E41,G41)-1)/(POWER(1+E41,H41)-1),4)</f>
        <v>0</v>
      </c>
      <c r="D41" s="176" t="s">
        <v>2649</v>
      </c>
      <c r="E41" s="2339">
        <f>G20</f>
        <v>4.8000000000000001E-2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2698</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2699</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2700</v>
      </c>
      <c r="B47" s="1505" t="s">
        <v>2701</v>
      </c>
      <c r="C47" s="1505" t="s">
        <v>2702</v>
      </c>
      <c r="D47" s="1505" t="s">
        <v>2703</v>
      </c>
      <c r="E47" s="758" t="s">
        <v>2704</v>
      </c>
      <c r="F47" s="2300" t="s">
        <v>2705</v>
      </c>
      <c r="G47" s="1505" t="s">
        <v>754</v>
      </c>
      <c r="H47" s="2301" t="s">
        <v>2706</v>
      </c>
      <c r="I47" s="1505"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24.75">
      <c r="A48" s="2299" t="s">
        <v>2708</v>
      </c>
      <c r="B48" s="2302">
        <f>估价对象房地状况!C4</f>
        <v>0</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9" t="s">
        <v>2709</v>
      </c>
      <c r="B49" s="2303">
        <f>估价对象房地状况!C18</f>
        <v>0</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2710</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2711</v>
      </c>
      <c r="B51" s="2304" t="s">
        <v>2712</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2713</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2714</v>
      </c>
      <c r="B53" s="2305" t="s">
        <v>2715</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6" t="s">
        <v>2716</v>
      </c>
      <c r="B54" s="1466">
        <f>估价对象房地状况!C21</f>
        <v>0</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6" t="s">
        <v>2717</v>
      </c>
      <c r="B55" s="2303">
        <f>估价对象房地状况!C22</f>
        <v>0</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7" t="s">
        <v>2718</v>
      </c>
      <c r="B56" s="2308">
        <f>估价对象房地状况!C20</f>
        <v>0</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2719</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2700</v>
      </c>
      <c r="B58" s="1505"/>
      <c r="C58" s="1505" t="s">
        <v>2702</v>
      </c>
      <c r="D58" s="1505" t="s">
        <v>2703</v>
      </c>
      <c r="E58" s="758" t="s">
        <v>2704</v>
      </c>
      <c r="F58" s="2300" t="s">
        <v>2720</v>
      </c>
      <c r="G58" s="1505" t="s">
        <v>754</v>
      </c>
      <c r="H58" s="2301" t="s">
        <v>2706</v>
      </c>
      <c r="I58" s="1505"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24">
      <c r="A59" s="2299" t="s">
        <v>2721</v>
      </c>
      <c r="B59" s="2302">
        <f>估价对象房地状况!C17</f>
        <v>0</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9" t="s">
        <v>2709</v>
      </c>
      <c r="B60" s="2303">
        <f>估价对象房地状况!C18</f>
        <v>0</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2710</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2711</v>
      </c>
      <c r="B62" s="2304" t="s">
        <v>2712</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2713</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2714</v>
      </c>
      <c r="B64" s="2305" t="s">
        <v>2715</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9" t="s">
        <v>2716</v>
      </c>
      <c r="B65" s="1466">
        <f>估价对象房地状况!C21</f>
        <v>0</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9" t="s">
        <v>2717</v>
      </c>
      <c r="B66" s="1466">
        <f>估价对象房地状况!C22</f>
        <v>0</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7" t="s">
        <v>2718</v>
      </c>
      <c r="B67" s="2309">
        <f>估价对象房地状况!C20</f>
        <v>0</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2722</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2700</v>
      </c>
      <c r="B69" s="1505"/>
      <c r="C69" s="1505" t="s">
        <v>2702</v>
      </c>
      <c r="D69" s="1505" t="s">
        <v>2703</v>
      </c>
      <c r="E69" s="758" t="s">
        <v>2704</v>
      </c>
      <c r="F69" s="2300" t="s">
        <v>2720</v>
      </c>
      <c r="G69" s="1505" t="s">
        <v>754</v>
      </c>
      <c r="H69" s="2301" t="s">
        <v>2706</v>
      </c>
      <c r="I69" s="1505"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24">
      <c r="A70" s="2299" t="s">
        <v>2723</v>
      </c>
      <c r="B70" s="2302">
        <f>估价对象房地状况!C15</f>
        <v>0</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9" t="s">
        <v>2709</v>
      </c>
      <c r="B71" s="2303">
        <f>估价对象房地状况!C18</f>
        <v>0</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2710</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2724</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9" t="s">
        <v>2716</v>
      </c>
      <c r="B74" s="1466">
        <f>估价对象房地状况!C21</f>
        <v>0</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9" t="s">
        <v>2717</v>
      </c>
      <c r="B75" s="1466">
        <f>估价对象房地状况!C22</f>
        <v>0</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2714</v>
      </c>
      <c r="B76" s="2305" t="s">
        <v>2715</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24">
      <c r="A77" s="2299" t="s">
        <v>2718</v>
      </c>
      <c r="B77" s="2302">
        <f>估价对象房地状况!C20</f>
        <v>0</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2725</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2726</v>
      </c>
      <c r="B79" s="2296">
        <f>1+E81</f>
        <v>1.0255000000000001</v>
      </c>
      <c r="C79" s="753"/>
      <c r="D79" s="753"/>
      <c r="E79" s="754"/>
      <c r="F79" s="2298"/>
      <c r="G79" s="6"/>
      <c r="H79" s="6"/>
      <c r="I79" s="6"/>
      <c r="J79" s="7"/>
      <c r="K79" s="7"/>
      <c r="L79" s="7"/>
      <c r="M79" s="7"/>
      <c r="N79" s="7"/>
      <c r="Z79" s="2154"/>
      <c r="AA79" s="2220"/>
      <c r="AG79" s="1254"/>
      <c r="AK79" s="2220"/>
    </row>
    <row r="80" spans="1:37" ht="24.75">
      <c r="A80" s="2299" t="s">
        <v>2700</v>
      </c>
      <c r="B80" s="1505"/>
      <c r="C80" s="1505" t="s">
        <v>2702</v>
      </c>
      <c r="D80" s="1505" t="s">
        <v>2703</v>
      </c>
      <c r="E80" s="758" t="s">
        <v>2704</v>
      </c>
      <c r="F80" s="2300" t="s">
        <v>2720</v>
      </c>
      <c r="G80" s="1505" t="s">
        <v>754</v>
      </c>
      <c r="H80" s="2301" t="s">
        <v>2706</v>
      </c>
      <c r="I80" s="1505" t="s">
        <v>2707</v>
      </c>
      <c r="J80" s="560" t="s">
        <v>2358</v>
      </c>
      <c r="K80" s="560" t="s">
        <v>2359</v>
      </c>
      <c r="L80" s="560" t="s">
        <v>2360</v>
      </c>
      <c r="M80" s="560" t="s">
        <v>2361</v>
      </c>
      <c r="N80" s="560" t="s">
        <v>2362</v>
      </c>
      <c r="Z80" s="2154"/>
      <c r="AA80" s="2220"/>
      <c r="AG80" s="1254"/>
      <c r="AK80" s="2220"/>
    </row>
    <row r="81" spans="1:37" ht="24">
      <c r="A81" s="2299" t="s">
        <v>2727</v>
      </c>
      <c r="B81" s="2303" t="str">
        <f>估价对象房地状况!G15</f>
        <v>一般</v>
      </c>
      <c r="C81" s="2204" t="s">
        <v>3144</v>
      </c>
      <c r="D81" s="1196">
        <f t="shared" ref="D81:D88" si="25">SUMIF($J$80:$N$80,C81,J81:N81)</f>
        <v>1.7999999999999999E-2</v>
      </c>
      <c r="E81" s="760">
        <f>ROUND(SUM(D81:D88),4)</f>
        <v>2.5499999999999998E-2</v>
      </c>
      <c r="F81" s="1970">
        <f>IF(E2="工业",SUMIF(L1:L12,G2,N1:N12),"——")</f>
        <v>0.13900000000000001</v>
      </c>
      <c r="G81" s="1194">
        <f>H81</f>
        <v>1.7999999999999999E-2</v>
      </c>
      <c r="H81" s="1198">
        <f t="shared" ref="H81:H88" si="26">IFERROR(ROUNDDOWN($F$81*I81/2,4),"——")</f>
        <v>1.7999999999999999E-2</v>
      </c>
      <c r="I81" s="759">
        <v>0.26</v>
      </c>
      <c r="J81" s="1195">
        <f t="shared" ref="J81:J88" si="27">K81+$G81</f>
        <v>3.5999999999999997E-2</v>
      </c>
      <c r="K81" s="1195">
        <f t="shared" ref="K81:K88" si="28">$L81+$G81</f>
        <v>1.7999999999999999E-2</v>
      </c>
      <c r="L81" s="1195">
        <v>0</v>
      </c>
      <c r="M81" s="1195">
        <f t="shared" ref="M81:N88" si="29">L81-$G81</f>
        <v>-1.7999999999999999E-2</v>
      </c>
      <c r="N81" s="1195">
        <f t="shared" si="29"/>
        <v>-3.5999999999999997E-2</v>
      </c>
      <c r="Z81" s="2154"/>
      <c r="AA81" s="2220"/>
      <c r="AG81" s="1254"/>
      <c r="AK81" s="2220"/>
    </row>
    <row r="82" spans="1:37" ht="14.25">
      <c r="A82" s="2299" t="s">
        <v>2709</v>
      </c>
      <c r="B82" s="2303" t="str">
        <f>估价对象房地状况!G16</f>
        <v>一般</v>
      </c>
      <c r="C82" s="2204" t="s">
        <v>3145</v>
      </c>
      <c r="D82" s="1196">
        <f t="shared" si="25"/>
        <v>0</v>
      </c>
      <c r="E82" s="765"/>
      <c r="F82" s="1970"/>
      <c r="G82" s="1194">
        <f t="shared" ref="G82:G88" si="30">H82</f>
        <v>2.29E-2</v>
      </c>
      <c r="H82" s="1198">
        <f t="shared" si="26"/>
        <v>2.29E-2</v>
      </c>
      <c r="I82" s="759">
        <v>0.33</v>
      </c>
      <c r="J82" s="1195">
        <f t="shared" si="27"/>
        <v>4.58E-2</v>
      </c>
      <c r="K82" s="1195">
        <f t="shared" si="28"/>
        <v>2.29E-2</v>
      </c>
      <c r="L82" s="1195">
        <v>0</v>
      </c>
      <c r="M82" s="1195">
        <f t="shared" si="29"/>
        <v>-2.29E-2</v>
      </c>
      <c r="N82" s="1195">
        <f t="shared" si="29"/>
        <v>-4.58E-2</v>
      </c>
      <c r="Z82" s="2154"/>
      <c r="AA82" s="2220"/>
      <c r="AG82" s="1254"/>
      <c r="AK82" s="2220"/>
    </row>
    <row r="83" spans="1:37" ht="24">
      <c r="A83" s="2299" t="s">
        <v>2710</v>
      </c>
      <c r="B83" s="2303" t="str">
        <f>估价对象房地状况!G17</f>
        <v>一般</v>
      </c>
      <c r="C83" s="2204" t="s">
        <v>3145</v>
      </c>
      <c r="D83" s="1196">
        <f t="shared" si="25"/>
        <v>0</v>
      </c>
      <c r="E83" s="765"/>
      <c r="F83" s="1970"/>
      <c r="G83" s="1194">
        <f t="shared" si="30"/>
        <v>3.3999999999999998E-3</v>
      </c>
      <c r="H83" s="1198">
        <f t="shared" si="26"/>
        <v>3.3999999999999998E-3</v>
      </c>
      <c r="I83" s="759">
        <v>0.05</v>
      </c>
      <c r="J83" s="1195">
        <f t="shared" si="27"/>
        <v>6.7999999999999996E-3</v>
      </c>
      <c r="K83" s="1195">
        <f t="shared" si="28"/>
        <v>3.3999999999999998E-3</v>
      </c>
      <c r="L83" s="1195">
        <v>0</v>
      </c>
      <c r="M83" s="1195">
        <f t="shared" si="29"/>
        <v>-3.3999999999999998E-3</v>
      </c>
      <c r="N83" s="1195">
        <f t="shared" si="29"/>
        <v>-6.7999999999999996E-3</v>
      </c>
      <c r="Z83" s="2154"/>
      <c r="AA83" s="2220"/>
      <c r="AG83" s="1254"/>
      <c r="AK83" s="2220"/>
    </row>
    <row r="84" spans="1:37" ht="14.25">
      <c r="A84" s="2299" t="s">
        <v>2724</v>
      </c>
      <c r="B84" s="2303">
        <f>估价对象房地状况!G22</f>
        <v>0</v>
      </c>
      <c r="C84" s="2204" t="s">
        <v>3145</v>
      </c>
      <c r="D84" s="1196">
        <f t="shared" si="25"/>
        <v>0</v>
      </c>
      <c r="E84" s="765"/>
      <c r="F84" s="1970"/>
      <c r="G84" s="1194">
        <f t="shared" si="30"/>
        <v>2.7000000000000001E-3</v>
      </c>
      <c r="H84" s="1198">
        <f t="shared" si="26"/>
        <v>2.7000000000000001E-3</v>
      </c>
      <c r="I84" s="759">
        <v>0.04</v>
      </c>
      <c r="J84" s="1195">
        <f t="shared" si="27"/>
        <v>5.4000000000000003E-3</v>
      </c>
      <c r="K84" s="1195">
        <f t="shared" si="28"/>
        <v>2.7000000000000001E-3</v>
      </c>
      <c r="L84" s="1195">
        <v>0</v>
      </c>
      <c r="M84" s="1195">
        <f t="shared" si="29"/>
        <v>-2.7000000000000001E-3</v>
      </c>
      <c r="N84" s="1195">
        <f t="shared" si="29"/>
        <v>-5.4000000000000003E-3</v>
      </c>
      <c r="Z84" s="2154"/>
      <c r="AA84" s="2220"/>
      <c r="AG84" s="1254"/>
      <c r="AK84" s="2220"/>
    </row>
    <row r="85" spans="1:37" ht="24">
      <c r="A85" s="2299" t="s">
        <v>2716</v>
      </c>
      <c r="B85" s="1466" t="str">
        <f>估价对象房地状况!G19</f>
        <v>较差</v>
      </c>
      <c r="C85" s="2204" t="s">
        <v>3145</v>
      </c>
      <c r="D85" s="1196">
        <f t="shared" si="25"/>
        <v>0</v>
      </c>
      <c r="E85" s="765"/>
      <c r="F85" s="1970"/>
      <c r="G85" s="1194">
        <f t="shared" si="30"/>
        <v>4.1000000000000003E-3</v>
      </c>
      <c r="H85" s="1198">
        <f t="shared" si="26"/>
        <v>4.1000000000000003E-3</v>
      </c>
      <c r="I85" s="759">
        <v>0.06</v>
      </c>
      <c r="J85" s="1195">
        <f t="shared" si="27"/>
        <v>8.2000000000000007E-3</v>
      </c>
      <c r="K85" s="1195">
        <f t="shared" si="28"/>
        <v>4.1000000000000003E-3</v>
      </c>
      <c r="L85" s="1195">
        <v>0</v>
      </c>
      <c r="M85" s="1195">
        <f t="shared" si="29"/>
        <v>-4.1000000000000003E-3</v>
      </c>
      <c r="N85" s="1195">
        <f t="shared" si="29"/>
        <v>-8.2000000000000007E-3</v>
      </c>
      <c r="Z85" s="2154"/>
      <c r="AA85" s="2220"/>
      <c r="AG85" s="1254"/>
      <c r="AK85" s="2220"/>
    </row>
    <row r="86" spans="1:37" ht="24">
      <c r="A86" s="2299" t="s">
        <v>2717</v>
      </c>
      <c r="B86" s="1466" t="str">
        <f>估价对象房地状况!G20</f>
        <v>五通</v>
      </c>
      <c r="C86" s="2204" t="s">
        <v>3145</v>
      </c>
      <c r="D86" s="1196">
        <f t="shared" si="25"/>
        <v>0</v>
      </c>
      <c r="E86" s="765"/>
      <c r="F86" s="1970"/>
      <c r="G86" s="1194">
        <f t="shared" si="30"/>
        <v>1.04E-2</v>
      </c>
      <c r="H86" s="1198">
        <f t="shared" si="26"/>
        <v>1.04E-2</v>
      </c>
      <c r="I86" s="759">
        <v>0.15</v>
      </c>
      <c r="J86" s="1195">
        <f t="shared" si="27"/>
        <v>2.0799999999999999E-2</v>
      </c>
      <c r="K86" s="1195">
        <f t="shared" si="28"/>
        <v>1.04E-2</v>
      </c>
      <c r="L86" s="1195">
        <v>0</v>
      </c>
      <c r="M86" s="1195">
        <f t="shared" si="29"/>
        <v>-1.04E-2</v>
      </c>
      <c r="N86" s="1195">
        <f t="shared" si="29"/>
        <v>-2.0799999999999999E-2</v>
      </c>
      <c r="Z86" s="2154"/>
      <c r="AA86" s="2220"/>
      <c r="AG86" s="1254"/>
      <c r="AK86" s="2220"/>
    </row>
    <row r="87" spans="1:37" ht="24">
      <c r="A87" s="2299" t="s">
        <v>2714</v>
      </c>
      <c r="B87" s="2305" t="s">
        <v>2728</v>
      </c>
      <c r="C87" s="2204" t="s">
        <v>3144</v>
      </c>
      <c r="D87" s="1196">
        <f t="shared" si="25"/>
        <v>3.3999999999999998E-3</v>
      </c>
      <c r="E87" s="765"/>
      <c r="F87" s="1970"/>
      <c r="G87" s="1194">
        <f t="shared" si="30"/>
        <v>3.3999999999999998E-3</v>
      </c>
      <c r="H87" s="1198">
        <f t="shared" si="26"/>
        <v>3.3999999999999998E-3</v>
      </c>
      <c r="I87" s="759">
        <v>0.05</v>
      </c>
      <c r="J87" s="1195">
        <f t="shared" si="27"/>
        <v>6.7999999999999996E-3</v>
      </c>
      <c r="K87" s="1195">
        <f t="shared" si="28"/>
        <v>3.3999999999999998E-3</v>
      </c>
      <c r="L87" s="1195">
        <v>0</v>
      </c>
      <c r="M87" s="1195">
        <f t="shared" si="29"/>
        <v>-3.3999999999999998E-3</v>
      </c>
      <c r="N87" s="1195">
        <f t="shared" si="29"/>
        <v>-6.7999999999999996E-3</v>
      </c>
      <c r="Z87" s="2154"/>
      <c r="AA87" s="2220"/>
      <c r="AG87" s="1254"/>
      <c r="AK87" s="2220"/>
    </row>
    <row r="88" spans="1:37" ht="15" thickBot="1">
      <c r="A88" s="2307" t="s">
        <v>2729</v>
      </c>
      <c r="B88" s="2312" t="str">
        <f>估价对象房地状况!G18</f>
        <v>较好</v>
      </c>
      <c r="C88" s="2204" t="s">
        <v>3144</v>
      </c>
      <c r="D88" s="1196">
        <f t="shared" si="25"/>
        <v>4.1000000000000003E-3</v>
      </c>
      <c r="E88" s="766"/>
      <c r="F88" s="1970"/>
      <c r="G88" s="1194">
        <f t="shared" si="30"/>
        <v>4.1000000000000003E-3</v>
      </c>
      <c r="H88" s="1198">
        <f t="shared" si="26"/>
        <v>4.1000000000000003E-3</v>
      </c>
      <c r="I88" s="763">
        <v>0.06</v>
      </c>
      <c r="J88" s="1195">
        <f t="shared" si="27"/>
        <v>8.2000000000000007E-3</v>
      </c>
      <c r="K88" s="1195">
        <f t="shared" si="28"/>
        <v>4.1000000000000003E-3</v>
      </c>
      <c r="L88" s="1195">
        <v>0</v>
      </c>
      <c r="M88" s="1195">
        <f t="shared" si="29"/>
        <v>-4.1000000000000003E-3</v>
      </c>
      <c r="N88" s="1195">
        <f t="shared" si="29"/>
        <v>-8.2000000000000007E-3</v>
      </c>
      <c r="Z88" s="2154"/>
      <c r="AA88" s="2220"/>
      <c r="AG88" s="1254"/>
      <c r="AK88" s="2220"/>
    </row>
    <row r="90" spans="1:37">
      <c r="A90" s="3453" t="s">
        <v>2730</v>
      </c>
      <c r="B90" s="3453"/>
      <c r="C90" s="3453"/>
      <c r="D90" s="3453"/>
      <c r="E90" s="3453"/>
      <c r="F90" s="3453"/>
      <c r="G90" s="3453"/>
      <c r="H90" s="3453"/>
      <c r="I90" s="3453"/>
      <c r="J90" s="3453"/>
      <c r="K90" s="2313"/>
      <c r="L90" s="2313"/>
      <c r="M90" s="2313"/>
      <c r="N90" s="2313"/>
    </row>
    <row r="91" spans="1:37">
      <c r="A91" s="3455" t="s">
        <v>2731</v>
      </c>
      <c r="B91" s="3455" t="s">
        <v>2732</v>
      </c>
      <c r="C91" s="2267" t="s">
        <v>2733</v>
      </c>
      <c r="D91" s="2268"/>
      <c r="E91" s="2268"/>
      <c r="F91" s="2268"/>
      <c r="G91" s="2268"/>
      <c r="H91" s="2268"/>
      <c r="I91" s="2268"/>
      <c r="J91" s="2314"/>
      <c r="K91" s="2315"/>
      <c r="L91" s="2315"/>
      <c r="M91" s="2315"/>
      <c r="N91" s="2315"/>
    </row>
    <row r="92" spans="1:37">
      <c r="A92" s="3455"/>
      <c r="B92" s="3455"/>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456" t="s">
        <v>2734</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57"/>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57"/>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57"/>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57"/>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57"/>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57"/>
      <c r="B99" s="2316" t="s">
        <v>2617</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58"/>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56" t="s">
        <v>2735</v>
      </c>
      <c r="B101" s="2320" t="s">
        <v>2736</v>
      </c>
      <c r="C101" s="2321">
        <f>$G$3</f>
        <v>1.47</v>
      </c>
      <c r="D101" s="2321">
        <f t="shared" ref="D101:N101" si="32">$G$3</f>
        <v>1.47</v>
      </c>
      <c r="E101" s="2321">
        <f t="shared" si="32"/>
        <v>1.47</v>
      </c>
      <c r="F101" s="2321">
        <f t="shared" si="32"/>
        <v>1.47</v>
      </c>
      <c r="G101" s="2321">
        <f t="shared" si="32"/>
        <v>1.47</v>
      </c>
      <c r="H101" s="2321">
        <f t="shared" si="32"/>
        <v>1.47</v>
      </c>
      <c r="I101" s="2321">
        <f t="shared" si="32"/>
        <v>1.47</v>
      </c>
      <c r="J101" s="2321">
        <f t="shared" si="32"/>
        <v>1.47</v>
      </c>
      <c r="K101" s="2321">
        <f t="shared" si="32"/>
        <v>1.47</v>
      </c>
      <c r="L101" s="2321">
        <f t="shared" si="32"/>
        <v>1.47</v>
      </c>
      <c r="M101" s="2321">
        <f t="shared" si="32"/>
        <v>1.47</v>
      </c>
      <c r="N101" s="2321">
        <f t="shared" si="32"/>
        <v>1.47</v>
      </c>
    </row>
    <row r="102" spans="1:14">
      <c r="A102" s="3457"/>
      <c r="B102" s="2316">
        <v>1</v>
      </c>
      <c r="C102" s="2317">
        <f>1.9362/C101</f>
        <v>1.3171428571428572</v>
      </c>
      <c r="D102" s="2317">
        <f>1.9362/D101</f>
        <v>1.3171428571428572</v>
      </c>
      <c r="E102" s="2317">
        <f>1.8629/E101</f>
        <v>1.2672789115646259</v>
      </c>
      <c r="F102" s="2317">
        <f>1.8629/F101</f>
        <v>1.2672789115646259</v>
      </c>
      <c r="G102" s="2317">
        <f>1.8629/G101</f>
        <v>1.2672789115646259</v>
      </c>
      <c r="H102" s="2317">
        <f>1.8629/H101</f>
        <v>1.2672789115646259</v>
      </c>
      <c r="I102" s="2317">
        <f>1.8629/I101</f>
        <v>1.2672789115646259</v>
      </c>
      <c r="J102" s="2317">
        <f>1.942/J101</f>
        <v>1.3210884353741497</v>
      </c>
      <c r="K102" s="2317">
        <f>1.942/K101</f>
        <v>1.3210884353741497</v>
      </c>
      <c r="L102" s="2317">
        <f>1.942/L101</f>
        <v>1.3210884353741497</v>
      </c>
      <c r="M102" s="2317">
        <f>1.942/M101</f>
        <v>1.3210884353741497</v>
      </c>
      <c r="N102" s="2317">
        <f>1.942/N101</f>
        <v>1.3210884353741497</v>
      </c>
    </row>
    <row r="103" spans="1:14">
      <c r="A103" s="3457"/>
      <c r="B103" s="2316">
        <v>2</v>
      </c>
      <c r="C103" s="2317">
        <f>1.4198/C101</f>
        <v>0.96585034013605442</v>
      </c>
      <c r="D103" s="2317">
        <f>1.4198/D101</f>
        <v>0.96585034013605442</v>
      </c>
      <c r="E103" s="2317">
        <f>1.3372/E101</f>
        <v>0.90965986394557818</v>
      </c>
      <c r="F103" s="2317">
        <f>1.3372/F101</f>
        <v>0.90965986394557818</v>
      </c>
      <c r="G103" s="2317">
        <f>1.3372/G101</f>
        <v>0.90965986394557818</v>
      </c>
      <c r="H103" s="2317">
        <f>1.3372/H101</f>
        <v>0.90965986394557818</v>
      </c>
      <c r="I103" s="2317">
        <f>1.3372/I101</f>
        <v>0.90965986394557818</v>
      </c>
      <c r="J103" s="2317">
        <f>1.2799/J101</f>
        <v>0.87068027210884358</v>
      </c>
      <c r="K103" s="2317">
        <f>1.2799/K101</f>
        <v>0.87068027210884358</v>
      </c>
      <c r="L103" s="2317">
        <f>1.2799/L101</f>
        <v>0.87068027210884358</v>
      </c>
      <c r="M103" s="2317">
        <f>1.2799/M101</f>
        <v>0.87068027210884358</v>
      </c>
      <c r="N103" s="2317">
        <f>1.2799/N101</f>
        <v>0.87068027210884358</v>
      </c>
    </row>
    <row r="104" spans="1:14">
      <c r="A104" s="3457"/>
      <c r="B104" s="2316">
        <v>3</v>
      </c>
      <c r="C104" s="2317">
        <f>1.1594/C101</f>
        <v>0.78870748299319726</v>
      </c>
      <c r="D104" s="2317">
        <f>1.1594/D101</f>
        <v>0.78870748299319726</v>
      </c>
      <c r="E104" s="2317">
        <f>1.0788/E101</f>
        <v>0.73387755102040819</v>
      </c>
      <c r="F104" s="2317">
        <f>1.0788/F101</f>
        <v>0.73387755102040819</v>
      </c>
      <c r="G104" s="2317">
        <f>1.0788/G101</f>
        <v>0.73387755102040819</v>
      </c>
      <c r="H104" s="2317">
        <f>1.0788/H101</f>
        <v>0.73387755102040819</v>
      </c>
      <c r="I104" s="2317">
        <f>1.0788/I101</f>
        <v>0.73387755102040819</v>
      </c>
      <c r="J104" s="2317">
        <f>1.0072/J101</f>
        <v>0.68517006802721092</v>
      </c>
      <c r="K104" s="2317">
        <f>1.0072/K101</f>
        <v>0.68517006802721092</v>
      </c>
      <c r="L104" s="2317">
        <f>1.0072/L101</f>
        <v>0.68517006802721092</v>
      </c>
      <c r="M104" s="2317">
        <f>1.0072/M101</f>
        <v>0.68517006802721092</v>
      </c>
      <c r="N104" s="2317">
        <f>1.0072/N101</f>
        <v>0.68517006802721092</v>
      </c>
    </row>
    <row r="105" spans="1:14">
      <c r="A105" s="3457"/>
      <c r="B105" s="2316">
        <v>4</v>
      </c>
      <c r="C105" s="2317">
        <f>0.9622/C101</f>
        <v>0.6545578231292517</v>
      </c>
      <c r="D105" s="2317">
        <f>0.9622/D101</f>
        <v>0.6545578231292517</v>
      </c>
      <c r="E105" s="2317">
        <f>0.8656/E101</f>
        <v>0.58884353741496598</v>
      </c>
      <c r="F105" s="2317">
        <f>0.8656/F101</f>
        <v>0.58884353741496598</v>
      </c>
      <c r="G105" s="2317">
        <f>0.8656/G101</f>
        <v>0.58884353741496598</v>
      </c>
      <c r="H105" s="2317">
        <f>0.8656/H101</f>
        <v>0.58884353741496598</v>
      </c>
      <c r="I105" s="2317">
        <f>0.8656/I101</f>
        <v>0.58884353741496598</v>
      </c>
      <c r="J105" s="2317">
        <f>0.7525/J101</f>
        <v>0.51190476190476186</v>
      </c>
      <c r="K105" s="2317">
        <f>0.7525/K101</f>
        <v>0.51190476190476186</v>
      </c>
      <c r="L105" s="2317">
        <f>0.7525/L101</f>
        <v>0.51190476190476186</v>
      </c>
      <c r="M105" s="2317">
        <f>0.7525/M101</f>
        <v>0.51190476190476186</v>
      </c>
      <c r="N105" s="2317">
        <f>0.7525/N101</f>
        <v>0.51190476190476186</v>
      </c>
    </row>
    <row r="106" spans="1:14">
      <c r="A106" s="3457"/>
      <c r="B106" s="2316">
        <v>5</v>
      </c>
      <c r="C106" s="2317">
        <f>0.8417/C101</f>
        <v>0.5725850340136055</v>
      </c>
      <c r="D106" s="2317">
        <f>0.8417/D101</f>
        <v>0.5725850340136055</v>
      </c>
      <c r="E106" s="2317">
        <f>0.7371/E101</f>
        <v>0.50142857142857145</v>
      </c>
      <c r="F106" s="2317">
        <f>0.7371/F101</f>
        <v>0.50142857142857145</v>
      </c>
      <c r="G106" s="2317">
        <f>0.7371/G101</f>
        <v>0.50142857142857145</v>
      </c>
      <c r="H106" s="2317">
        <f>0.7371/H101</f>
        <v>0.50142857142857145</v>
      </c>
      <c r="I106" s="2317">
        <f>0.7371/I101</f>
        <v>0.50142857142857145</v>
      </c>
      <c r="J106" s="2317">
        <f>0.5659/J101</f>
        <v>0.38496598639455781</v>
      </c>
      <c r="K106" s="2317">
        <f>0.5659/K101</f>
        <v>0.38496598639455781</v>
      </c>
      <c r="L106" s="2317">
        <f>0.5659/L101</f>
        <v>0.38496598639455781</v>
      </c>
      <c r="M106" s="2317">
        <f>0.5659/M101</f>
        <v>0.38496598639455781</v>
      </c>
      <c r="N106" s="2317">
        <f>0.5659/N101</f>
        <v>0.38496598639455781</v>
      </c>
    </row>
    <row r="107" spans="1:14">
      <c r="A107" s="3457"/>
      <c r="B107" s="2316">
        <v>6</v>
      </c>
      <c r="C107" s="2317">
        <f>0.7608/C101</f>
        <v>0.51755102040816325</v>
      </c>
      <c r="D107" s="2317">
        <f>0.7608/D101</f>
        <v>0.51755102040816325</v>
      </c>
      <c r="E107" s="2317">
        <f>0.6482/E101</f>
        <v>0.44095238095238098</v>
      </c>
      <c r="F107" s="2317">
        <f>0.6482/F101</f>
        <v>0.44095238095238098</v>
      </c>
      <c r="G107" s="2317">
        <f>0.6482/G101</f>
        <v>0.44095238095238098</v>
      </c>
      <c r="H107" s="2317">
        <f>0.6482/H101</f>
        <v>0.44095238095238098</v>
      </c>
      <c r="I107" s="2317">
        <f>0.6482/I101</f>
        <v>0.44095238095238098</v>
      </c>
      <c r="J107" s="2317">
        <f>0.4525/J101</f>
        <v>0.30782312925170069</v>
      </c>
      <c r="K107" s="2317">
        <f>0.4525/K101</f>
        <v>0.30782312925170069</v>
      </c>
      <c r="L107" s="2317">
        <f>0.4525/L101</f>
        <v>0.30782312925170069</v>
      </c>
      <c r="M107" s="2317">
        <f>0.4525/M101</f>
        <v>0.30782312925170069</v>
      </c>
      <c r="N107" s="2317">
        <f>0.4525/N101</f>
        <v>0.30782312925170069</v>
      </c>
    </row>
    <row r="108" spans="1:14">
      <c r="A108" s="3457"/>
      <c r="B108" s="3459" t="s">
        <v>2737</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58"/>
      <c r="B109" s="3460"/>
      <c r="C109" s="2319">
        <f>(-0.163*(C108^2)-0.59*C108+7617)*(10^(-4))/C101</f>
        <v>0.51816326530612244</v>
      </c>
      <c r="D109" s="2319">
        <f>(-0.163*(D108^2)-0.59*D108+7617)*(10^(-4))/D101</f>
        <v>0.51816326530612244</v>
      </c>
      <c r="E109" s="2319">
        <f>(-0.161*(E108^2)-7.509*E108+6533)*(10^(-4))/E101</f>
        <v>0.44442176870748301</v>
      </c>
      <c r="F109" s="2319">
        <f>(-0.161*(F108^2)-7.509*F108+6533)*(10^(-4))/F101</f>
        <v>0.44442176870748301</v>
      </c>
      <c r="G109" s="2319">
        <f>(-0.161*(G108^2)-7.509*G108+6533)*(10^(-4))/G101</f>
        <v>0.44442176870748301</v>
      </c>
      <c r="H109" s="2319">
        <f>(-0.161*(H108^2)-7.509*H108+6533)*(10^(-4))/H101</f>
        <v>0.44442176870748301</v>
      </c>
      <c r="I109" s="2319">
        <f>(-0.161*(I108^2)-7.509*I108+6533)*(10^(-4))/I101</f>
        <v>0.44442176870748301</v>
      </c>
      <c r="J109" s="2319">
        <f>(-0.214*(J108^2)-21.991*J108+4665)*(10^(-4))/J101</f>
        <v>0.31734693877551023</v>
      </c>
      <c r="K109" s="2319">
        <f>(-0.214*(K108^2)-21.991*K108+4665)*(10^(-4))/K101</f>
        <v>0.31734693877551023</v>
      </c>
      <c r="L109" s="2319">
        <f>(-0.214*(L108^2)-21.991*L108+4665)*(10^(-4))/L101</f>
        <v>0.31734693877551023</v>
      </c>
      <c r="M109" s="2319">
        <f>(-0.214*(M108^2)-21.991*M108+4665)*(10^(-4))/M101</f>
        <v>0.31734693877551023</v>
      </c>
      <c r="N109" s="2319">
        <f>(-0.214*(N108^2)-21.991*N108+4665)*(10^(-4))/N101</f>
        <v>0.31734693877551023</v>
      </c>
    </row>
    <row r="110" spans="1:14">
      <c r="A110" s="3454" t="s">
        <v>2738</v>
      </c>
      <c r="B110" s="3454"/>
      <c r="C110" s="3454"/>
      <c r="D110" s="3454"/>
      <c r="E110" s="3454"/>
      <c r="F110" s="3454"/>
      <c r="G110" s="3454"/>
      <c r="H110" s="3454"/>
      <c r="I110" s="3454"/>
      <c r="J110" s="3454"/>
      <c r="K110" s="2322"/>
      <c r="L110" s="2322"/>
      <c r="M110" s="2322"/>
      <c r="N110" s="2322"/>
    </row>
    <row r="112" spans="1:14" ht="13.5" thickBot="1"/>
    <row r="113" spans="1:13" ht="25.5" thickBot="1">
      <c r="A113" s="842" t="s">
        <v>2739</v>
      </c>
      <c r="B113" s="1197">
        <f>G3</f>
        <v>1.47</v>
      </c>
      <c r="C113" s="843" t="s">
        <v>2740</v>
      </c>
      <c r="D113" s="844">
        <f>SUMPRODUCT((A115:A118=F113)*(B114:M114=H113)*B115:M118)</f>
        <v>0.54669999999999996</v>
      </c>
      <c r="E113" s="2158" t="s">
        <v>2575</v>
      </c>
      <c r="F113" s="2324" t="str">
        <f>E2</f>
        <v>工业</v>
      </c>
      <c r="G113" s="2158" t="s">
        <v>2576</v>
      </c>
      <c r="H113" s="2324" t="str">
        <f>G2</f>
        <v>九级</v>
      </c>
      <c r="I113" s="2158"/>
      <c r="J113" s="2325"/>
      <c r="K113" s="2325"/>
      <c r="L113" s="2325"/>
      <c r="M113" s="2325"/>
    </row>
    <row r="114" spans="1:13">
      <c r="A114" s="847"/>
      <c r="B114" s="2326" t="s">
        <v>2741</v>
      </c>
      <c r="C114" s="2326" t="s">
        <v>2742</v>
      </c>
      <c r="D114" s="2326" t="s">
        <v>2743</v>
      </c>
      <c r="E114" s="2327" t="s">
        <v>2744</v>
      </c>
      <c r="F114" s="2327" t="s">
        <v>2745</v>
      </c>
      <c r="G114" s="2327" t="s">
        <v>2746</v>
      </c>
      <c r="H114" s="2328" t="s">
        <v>2747</v>
      </c>
      <c r="I114" s="2328" t="s">
        <v>2748</v>
      </c>
      <c r="J114" s="2329" t="s">
        <v>2749</v>
      </c>
      <c r="K114" s="2329" t="s">
        <v>2750</v>
      </c>
      <c r="L114" s="2329" t="s">
        <v>2751</v>
      </c>
      <c r="M114" s="2330" t="s">
        <v>2752</v>
      </c>
    </row>
    <row r="115" spans="1:13">
      <c r="A115" s="848" t="s">
        <v>2639</v>
      </c>
      <c r="B115" s="849">
        <f>ROUND(0.9335-0.0094*B113,4)</f>
        <v>0.91969999999999996</v>
      </c>
      <c r="C115" s="849">
        <f>B115</f>
        <v>0.91969999999999996</v>
      </c>
      <c r="D115" s="849">
        <f>ROUND(0.8331-0.0109*B113,4)</f>
        <v>0.81710000000000005</v>
      </c>
      <c r="E115" s="849">
        <f>D115</f>
        <v>0.81710000000000005</v>
      </c>
      <c r="F115" s="849">
        <f>E115</f>
        <v>0.81710000000000005</v>
      </c>
      <c r="G115" s="849">
        <f>F115</f>
        <v>0.81710000000000005</v>
      </c>
      <c r="H115" s="849">
        <f>G115</f>
        <v>0.81710000000000005</v>
      </c>
      <c r="I115" s="849">
        <f>ROUND(0.689-0.0155*B113,4)</f>
        <v>0.66620000000000001</v>
      </c>
      <c r="J115" s="849">
        <f t="shared" ref="J115:M118" si="34">I115</f>
        <v>0.66620000000000001</v>
      </c>
      <c r="K115" s="849">
        <f t="shared" si="34"/>
        <v>0.66620000000000001</v>
      </c>
      <c r="L115" s="849">
        <f t="shared" si="34"/>
        <v>0.66620000000000001</v>
      </c>
      <c r="M115" s="850">
        <f t="shared" si="34"/>
        <v>0.66620000000000001</v>
      </c>
    </row>
    <row r="116" spans="1:13">
      <c r="A116" s="848" t="s">
        <v>2640</v>
      </c>
      <c r="B116" s="849">
        <f>ROUND(0.949-0.012*B113,4)</f>
        <v>0.93140000000000001</v>
      </c>
      <c r="C116" s="849">
        <f>B116</f>
        <v>0.93140000000000001</v>
      </c>
      <c r="D116" s="849">
        <f>ROUND(0.8567-0.013*B113,4)</f>
        <v>0.83760000000000001</v>
      </c>
      <c r="E116" s="849">
        <f t="shared" ref="E116:H117" si="35">D116</f>
        <v>0.83760000000000001</v>
      </c>
      <c r="F116" s="849">
        <f t="shared" si="35"/>
        <v>0.83760000000000001</v>
      </c>
      <c r="G116" s="849">
        <f t="shared" si="35"/>
        <v>0.83760000000000001</v>
      </c>
      <c r="H116" s="849">
        <f t="shared" si="35"/>
        <v>0.83760000000000001</v>
      </c>
      <c r="I116" s="849">
        <f>ROUND(0.7694-0.014*B113,4)</f>
        <v>0.74880000000000002</v>
      </c>
      <c r="J116" s="849">
        <f t="shared" si="34"/>
        <v>0.74880000000000002</v>
      </c>
      <c r="K116" s="849">
        <f t="shared" si="34"/>
        <v>0.74880000000000002</v>
      </c>
      <c r="L116" s="849">
        <f t="shared" si="34"/>
        <v>0.74880000000000002</v>
      </c>
      <c r="M116" s="850">
        <f t="shared" si="34"/>
        <v>0.74880000000000002</v>
      </c>
    </row>
    <row r="117" spans="1:13">
      <c r="A117" s="848" t="s">
        <v>2641</v>
      </c>
      <c r="B117" s="849">
        <f>ROUND(0.8808-0.006*B113,4)</f>
        <v>0.872</v>
      </c>
      <c r="C117" s="849">
        <f>B117</f>
        <v>0.872</v>
      </c>
      <c r="D117" s="849">
        <f>ROUND(0.8748-0.008*B113,4)</f>
        <v>0.86299999999999999</v>
      </c>
      <c r="E117" s="849">
        <f t="shared" si="35"/>
        <v>0.86299999999999999</v>
      </c>
      <c r="F117" s="849">
        <f t="shared" si="35"/>
        <v>0.86299999999999999</v>
      </c>
      <c r="G117" s="849">
        <f t="shared" si="35"/>
        <v>0.86299999999999999</v>
      </c>
      <c r="H117" s="849">
        <f t="shared" si="35"/>
        <v>0.86299999999999999</v>
      </c>
      <c r="I117" s="849">
        <f>ROUND(0.7412-0.0095*B113,4)</f>
        <v>0.72719999999999996</v>
      </c>
      <c r="J117" s="849">
        <f t="shared" si="34"/>
        <v>0.72719999999999996</v>
      </c>
      <c r="K117" s="849">
        <f t="shared" si="34"/>
        <v>0.72719999999999996</v>
      </c>
      <c r="L117" s="849">
        <f t="shared" si="34"/>
        <v>0.72719999999999996</v>
      </c>
      <c r="M117" s="850">
        <f t="shared" si="34"/>
        <v>0.72719999999999996</v>
      </c>
    </row>
    <row r="118" spans="1:13" ht="13.5" thickBot="1">
      <c r="A118" s="670" t="s">
        <v>2642</v>
      </c>
      <c r="B118" s="851">
        <f>ROUND(0.7275-0.01*B113,4)</f>
        <v>0.71279999999999999</v>
      </c>
      <c r="C118" s="851">
        <f>B118</f>
        <v>0.71279999999999999</v>
      </c>
      <c r="D118" s="851">
        <f>ROUND(0.7043-0.012*B113,4)</f>
        <v>0.68669999999999998</v>
      </c>
      <c r="E118" s="851">
        <f>D118</f>
        <v>0.68669999999999998</v>
      </c>
      <c r="F118" s="851">
        <f>E118</f>
        <v>0.68669999999999998</v>
      </c>
      <c r="G118" s="851">
        <f>ROUND(0.6299-0.0122*B113,4)</f>
        <v>0.61199999999999999</v>
      </c>
      <c r="H118" s="851">
        <f>G118</f>
        <v>0.61199999999999999</v>
      </c>
      <c r="I118" s="851">
        <f>ROUND(0.5667-0.0136*B113,4)</f>
        <v>0.54669999999999996</v>
      </c>
      <c r="J118" s="851">
        <f t="shared" si="34"/>
        <v>0.54669999999999996</v>
      </c>
      <c r="K118" s="851">
        <f t="shared" si="34"/>
        <v>0.54669999999999996</v>
      </c>
      <c r="L118" s="851">
        <f t="shared" si="34"/>
        <v>0.54669999999999996</v>
      </c>
      <c r="M118" s="852">
        <f t="shared" si="34"/>
        <v>0.54669999999999996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45" priority="5" stopIfTrue="1" operator="notEqual">
      <formula>"——"</formula>
    </cfRule>
  </conditionalFormatting>
  <conditionalFormatting sqref="F59">
    <cfRule type="cellIs" dxfId="144" priority="4" stopIfTrue="1" operator="notEqual">
      <formula>"——"</formula>
    </cfRule>
  </conditionalFormatting>
  <conditionalFormatting sqref="F70">
    <cfRule type="cellIs" dxfId="143" priority="3" stopIfTrue="1" operator="notEqual">
      <formula>"——"</formula>
    </cfRule>
  </conditionalFormatting>
  <conditionalFormatting sqref="F81">
    <cfRule type="cellIs" dxfId="142" priority="2" stopIfTrue="1" operator="notEqual">
      <formula>"——"</formula>
    </cfRule>
  </conditionalFormatting>
  <conditionalFormatting sqref="H48:H56 H59:H67 H70:H78 H81:H88">
    <cfRule type="cellIs" dxfId="14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D33" sqref="D3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1000</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5129</v>
      </c>
      <c r="C3" s="205" t="s">
        <v>2091</v>
      </c>
      <c r="D3" s="205"/>
      <c r="E3" s="205"/>
      <c r="F3" s="205"/>
      <c r="G3" s="205"/>
      <c r="H3" s="206">
        <f>1000/1949.77*10000</f>
        <v>5128.8100647768706</v>
      </c>
    </row>
    <row r="4" spans="1:8" s="214" customFormat="1" ht="15.75">
      <c r="A4" s="211" t="s">
        <v>2092</v>
      </c>
      <c r="B4" s="212"/>
      <c r="C4" s="212"/>
      <c r="D4" s="212"/>
      <c r="E4" s="212"/>
      <c r="F4" s="212"/>
      <c r="G4" s="213"/>
    </row>
    <row r="5" spans="1:8" s="220" customFormat="1" ht="13.5" customHeight="1">
      <c r="A5" s="261" t="s">
        <v>2093</v>
      </c>
      <c r="B5" s="216" t="s">
        <v>2094</v>
      </c>
      <c r="C5" s="217">
        <f ca="1">C6+C7+C8</f>
        <v>1713817</v>
      </c>
      <c r="D5" s="217" t="s">
        <v>2095</v>
      </c>
      <c r="E5" s="218" t="s">
        <v>2096</v>
      </c>
      <c r="F5" s="218" t="s">
        <v>2097</v>
      </c>
      <c r="G5" s="219"/>
    </row>
    <row r="6" spans="1:8" s="220" customFormat="1" ht="13.5" customHeight="1">
      <c r="A6" s="886" t="s">
        <v>2098</v>
      </c>
      <c r="B6" s="221" t="s">
        <v>2099</v>
      </c>
      <c r="C6" s="222">
        <f>ROUND([2]基准地价修正!$C$33*[2]基准地价修正!$D$33,0)</f>
        <v>1341442</v>
      </c>
      <c r="D6" s="223"/>
      <c r="E6" s="224"/>
      <c r="F6" s="224"/>
      <c r="G6" s="225"/>
    </row>
    <row r="7" spans="1:8" s="220" customFormat="1" ht="13.5" customHeight="1">
      <c r="A7" s="886" t="s">
        <v>2100</v>
      </c>
      <c r="B7" s="221" t="s">
        <v>2101</v>
      </c>
      <c r="C7" s="226">
        <f>ROUND(C6*F7,0)</f>
        <v>40914</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331461</v>
      </c>
      <c r="D8" s="228"/>
      <c r="E8" s="226"/>
      <c r="F8" s="227"/>
      <c r="G8" s="2012" t="s">
        <v>3174</v>
      </c>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140</v>
      </c>
      <c r="F9" s="227"/>
      <c r="G9" s="232"/>
    </row>
    <row r="10" spans="1:8" s="220" customFormat="1" ht="13.5" customHeight="1">
      <c r="A10" s="887" t="s">
        <v>801</v>
      </c>
      <c r="B10" s="230" t="s">
        <v>2106</v>
      </c>
      <c r="C10" s="231">
        <f ca="1">ROUND(D10*E10,0)</f>
        <v>331461</v>
      </c>
      <c r="D10" s="954">
        <f ca="1">IF(B1="",'数据-汇总表'!E6,IF(INDIRECT("'数据-取费表'!c"&amp;$G$1)="住宅",INDIRECT("'数据-取费表'!s"&amp;$G$1),INDIRECT("'数据-取费表'!k"&amp;$G$1)+INDIRECT("'数据-取费表'!s"&amp;$G$1)))</f>
        <v>1949.77</v>
      </c>
      <c r="E10" s="231">
        <f>'数据-取费表'!B28</f>
        <v>170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8" s="220" customFormat="1" ht="13.5" hidden="1" customHeight="1">
      <c r="A17" s="233" t="s">
        <v>13</v>
      </c>
      <c r="B17" s="221" t="s">
        <v>2195</v>
      </c>
      <c r="C17" s="235"/>
      <c r="D17" s="957"/>
      <c r="E17" s="235"/>
      <c r="F17" s="235"/>
      <c r="G17" s="225" t="s">
        <v>2194</v>
      </c>
    </row>
    <row r="18" spans="1:8" s="220" customFormat="1" ht="13.5" hidden="1" customHeight="1">
      <c r="A18" s="233" t="s">
        <v>14</v>
      </c>
      <c r="B18" s="221" t="s">
        <v>2196</v>
      </c>
      <c r="C18" s="226">
        <v>0</v>
      </c>
      <c r="D18" s="956"/>
      <c r="E18" s="224"/>
      <c r="F18" s="227">
        <v>3.0499999999999999E-2</v>
      </c>
      <c r="G18" s="225" t="s">
        <v>2197</v>
      </c>
    </row>
    <row r="19" spans="1:8" s="229" customFormat="1" ht="13.5" customHeight="1">
      <c r="A19" s="261" t="s">
        <v>2198</v>
      </c>
      <c r="B19" s="216" t="s">
        <v>2199</v>
      </c>
      <c r="C19" s="217" t="str">
        <f>IF(G19="已包含在土地取得成本中","0",ROUND(D19*E19,0))</f>
        <v>0</v>
      </c>
      <c r="D19" s="958">
        <f ca="1">D9+D10</f>
        <v>1949.77</v>
      </c>
      <c r="E19" s="217">
        <f>'数据-取费表'!B31</f>
        <v>200</v>
      </c>
      <c r="F19" s="237"/>
      <c r="G19" s="2012" t="s">
        <v>3171</v>
      </c>
    </row>
    <row r="20" spans="1:8" s="220" customFormat="1" ht="13.5" customHeight="1">
      <c r="A20" s="261" t="s">
        <v>2200</v>
      </c>
      <c r="B20" s="216" t="s">
        <v>2201</v>
      </c>
      <c r="C20" s="238">
        <f ca="1">ROUND((C5+C19)*F20,0)</f>
        <v>51415</v>
      </c>
      <c r="D20" s="238"/>
      <c r="E20" s="238"/>
      <c r="F20" s="239">
        <f>'数据-取费表'!B37</f>
        <v>0.03</v>
      </c>
      <c r="G20" s="240" t="s">
        <v>2202</v>
      </c>
    </row>
    <row r="21" spans="1:8" s="220" customFormat="1" ht="13.5" customHeight="1">
      <c r="A21" s="261" t="s">
        <v>2203</v>
      </c>
      <c r="B21" s="216" t="s">
        <v>2204</v>
      </c>
      <c r="C21" s="241">
        <f>F21</f>
        <v>0.03</v>
      </c>
      <c r="D21" s="242" t="s">
        <v>2205</v>
      </c>
      <c r="E21" s="238"/>
      <c r="F21" s="239">
        <f>'数据-取费表'!B38</f>
        <v>0.03</v>
      </c>
      <c r="G21" s="240" t="s">
        <v>2206</v>
      </c>
    </row>
    <row r="22" spans="1:8" s="220" customFormat="1" ht="13.5" customHeight="1">
      <c r="A22" s="261" t="s">
        <v>2207</v>
      </c>
      <c r="B22" s="216" t="s">
        <v>2208</v>
      </c>
      <c r="C22" s="1261">
        <f ca="1">ROUND(SUM(C23:C25),0)</f>
        <v>73060</v>
      </c>
      <c r="D22" s="241">
        <f ca="1">C26</f>
        <v>5.9999999999999995E-4</v>
      </c>
      <c r="E22" s="242" t="s">
        <v>2205</v>
      </c>
      <c r="F22" s="243">
        <f ca="1">'数据-取费表'!B40</f>
        <v>4.2000000000000003E-2</v>
      </c>
      <c r="G22" s="240" t="str">
        <f>IF('数据-取费表'!B22&lt;=1,"单利计息","复利计息")</f>
        <v>单利计息</v>
      </c>
    </row>
    <row r="23" spans="1:8" s="220" customFormat="1" ht="13.5" customHeight="1">
      <c r="A23" s="888" t="s">
        <v>2098</v>
      </c>
      <c r="B23" s="221" t="s">
        <v>2209</v>
      </c>
      <c r="C23" s="1262">
        <f ca="1">ROUND(IF('数据-取费表'!B22&lt;=1,C5*F22*'数据-取费表'!B22,C5*(POWER((1+F22),'数据-取费表'!B22)-1)),0)</f>
        <v>71980</v>
      </c>
      <c r="D23" s="244"/>
      <c r="E23" s="244"/>
      <c r="F23" s="245"/>
      <c r="G23" s="246" t="s">
        <v>2210</v>
      </c>
    </row>
    <row r="24" spans="1:8" s="220" customFormat="1" ht="13.5" customHeight="1">
      <c r="A24" s="888" t="s">
        <v>2100</v>
      </c>
      <c r="B24" s="221" t="s">
        <v>2211</v>
      </c>
      <c r="C24" s="1262">
        <f ca="1">ROUND(IF('数据-取费表'!B22&lt;=1,C19*F22*('数据-取费表'!B19/2+'数据-取费表'!B20),C19*(POWER((1+F22),('数据-取费表'!B19/2+'数据-取费表'!B20))-1)),0)</f>
        <v>0</v>
      </c>
      <c r="D24" s="244"/>
      <c r="E24" s="244"/>
      <c r="F24" s="245"/>
      <c r="G24" s="246" t="s">
        <v>2212</v>
      </c>
    </row>
    <row r="25" spans="1:8" s="220" customFormat="1" ht="24">
      <c r="A25" s="888" t="s">
        <v>2102</v>
      </c>
      <c r="B25" s="221" t="s">
        <v>2213</v>
      </c>
      <c r="C25" s="1262">
        <f ca="1">ROUND(IF('数据-取费表'!B22&lt;=1,C20*F22*'数据-取费表'!B22/2,C20*(POWER((1+F22),'数据-取费表'!B22/2)-1)),0)</f>
        <v>1080</v>
      </c>
      <c r="D25" s="244"/>
      <c r="E25" s="247"/>
      <c r="F25" s="245"/>
      <c r="G25" s="248" t="s">
        <v>2214</v>
      </c>
    </row>
    <row r="26" spans="1:8" s="220" customFormat="1">
      <c r="A26" s="888" t="s">
        <v>795</v>
      </c>
      <c r="B26" s="221" t="s">
        <v>2137</v>
      </c>
      <c r="C26" s="244">
        <f ca="1">ROUND(IF('数据-取费表'!B22&lt;=1,F21*F22*'数据-取费表'!B22/2,F21*(POWER((1+F22),'数据-取费表'!B22/2)-1)),4)</f>
        <v>5.9999999999999995E-4</v>
      </c>
      <c r="D26" s="244"/>
      <c r="E26" s="247"/>
      <c r="F26" s="245"/>
      <c r="G26" s="249"/>
    </row>
    <row r="27" spans="1:8" s="220" customFormat="1" ht="24.75">
      <c r="A27" s="261" t="s">
        <v>2138</v>
      </c>
      <c r="B27" s="250" t="s">
        <v>2139</v>
      </c>
      <c r="C27" s="251">
        <f ca="1">C28</f>
        <v>176523</v>
      </c>
      <c r="D27" s="241">
        <f ca="1">C29</f>
        <v>3.0000000000000001E-3</v>
      </c>
      <c r="E27" s="242" t="s">
        <v>2140</v>
      </c>
      <c r="F27" s="252">
        <f ca="1">IF(B1="",'数据-取费表'!Q16,INDIRECT("'数据-取费表'!q"&amp;$G$1))</f>
        <v>0.1</v>
      </c>
      <c r="G27" s="253" t="s">
        <v>2141</v>
      </c>
      <c r="H27" s="220">
        <f>0.03*4.2%*1/2</f>
        <v>6.3000000000000003E-4</v>
      </c>
    </row>
    <row r="28" spans="1:8" s="220" customFormat="1" ht="13.5" customHeight="1">
      <c r="A28" s="888" t="s">
        <v>791</v>
      </c>
      <c r="B28" s="254" t="s">
        <v>2142</v>
      </c>
      <c r="C28" s="255">
        <f ca="1">ROUND((C5+C19+C20)*F27,0)</f>
        <v>176523</v>
      </c>
      <c r="D28" s="241"/>
      <c r="E28" s="242"/>
      <c r="F28" s="252"/>
      <c r="G28" s="253"/>
    </row>
    <row r="29" spans="1:8" s="220" customFormat="1" ht="13.5" customHeight="1">
      <c r="A29" s="888" t="s">
        <v>792</v>
      </c>
      <c r="B29" s="254" t="s">
        <v>2143</v>
      </c>
      <c r="C29" s="244">
        <f ca="1">ROUND(C21*F27,4)</f>
        <v>3.0000000000000001E-3</v>
      </c>
      <c r="D29" s="241"/>
      <c r="E29" s="242"/>
      <c r="F29" s="252"/>
      <c r="G29" s="253"/>
    </row>
    <row r="30" spans="1:8"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8" ht="16.5" customHeight="1">
      <c r="A31" s="215">
        <v>1</v>
      </c>
      <c r="B31" s="216" t="s">
        <v>2147</v>
      </c>
      <c r="C31" s="217">
        <f ca="1">ROUND((C5+C19+C20+C22+C27)/(1-C21-D22-D27-C30),0)</f>
        <v>2204393</v>
      </c>
      <c r="D31" s="236"/>
      <c r="E31" s="217"/>
      <c r="F31" s="256"/>
      <c r="G31" s="240" t="s">
        <v>2148</v>
      </c>
    </row>
    <row r="32" spans="1:8" s="214" customFormat="1" ht="15.75">
      <c r="A32" s="258" t="s">
        <v>2215</v>
      </c>
      <c r="B32" s="259"/>
      <c r="C32" s="259"/>
      <c r="D32" s="259"/>
      <c r="E32" s="259"/>
      <c r="F32" s="259"/>
      <c r="G32" s="260"/>
    </row>
    <row r="33" spans="1:8" s="220" customFormat="1" ht="13.5" customHeight="1">
      <c r="A33" s="261" t="s">
        <v>782</v>
      </c>
      <c r="B33" s="216" t="s">
        <v>2216</v>
      </c>
      <c r="C33" s="262">
        <f ca="1">SUM(C34:C38)</f>
        <v>7521238</v>
      </c>
      <c r="D33" s="238"/>
      <c r="E33" s="218"/>
      <c r="F33" s="247"/>
      <c r="G33" s="240"/>
      <c r="H33" s="220">
        <f>6824195+204726+0+389954+102363</f>
        <v>7521238</v>
      </c>
    </row>
    <row r="34" spans="1:8" s="264" customFormat="1" ht="13.5" customHeight="1">
      <c r="A34" s="888" t="s">
        <v>791</v>
      </c>
      <c r="B34" s="221" t="s">
        <v>2151</v>
      </c>
      <c r="C34" s="226">
        <f ca="1">ROUND(IF(B1="",SUMPRODUCT('数据-取费表'!K6:K14,'数据-取费表'!L6:L14),INDIRECT("'数据-取费表'!l"&amp;$G$1)*INDIRECT("'数据-取费表'!k"&amp;$G$1)+'数据-取费表'!L14*INDIRECT("'数据-取费表'!S"&amp;$G$1)),0)</f>
        <v>6824195</v>
      </c>
      <c r="D34" s="223"/>
      <c r="E34" s="226"/>
      <c r="F34" s="263"/>
      <c r="G34" s="225"/>
      <c r="H34" s="264">
        <f>3500*1949.77</f>
        <v>6824195</v>
      </c>
    </row>
    <row r="35" spans="1:8" ht="13.5" customHeight="1">
      <c r="A35" s="888" t="s">
        <v>796</v>
      </c>
      <c r="B35" s="221" t="s">
        <v>2153</v>
      </c>
      <c r="C35" s="226">
        <f ca="1">ROUND(C34*F35,0)</f>
        <v>204726</v>
      </c>
      <c r="D35" s="226"/>
      <c r="E35" s="226"/>
      <c r="F35" s="265">
        <f>'数据-取费表'!B33</f>
        <v>0.03</v>
      </c>
      <c r="G35" s="225" t="s">
        <v>2154</v>
      </c>
    </row>
    <row r="36" spans="1:8"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8" s="264" customFormat="1" ht="13.5" customHeight="1">
      <c r="A37" s="888" t="s">
        <v>798</v>
      </c>
      <c r="B37" s="221" t="s">
        <v>2157</v>
      </c>
      <c r="C37" s="255">
        <f ca="1">ROUND(E37*D37,0)</f>
        <v>389954</v>
      </c>
      <c r="D37" s="223">
        <f ca="1">D19</f>
        <v>1949.77</v>
      </c>
      <c r="E37" s="255">
        <f>'数据-取费表'!B35</f>
        <v>200</v>
      </c>
      <c r="F37" s="265"/>
      <c r="G37" s="267"/>
    </row>
    <row r="38" spans="1:8" ht="13.5" customHeight="1">
      <c r="A38" s="888" t="s">
        <v>799</v>
      </c>
      <c r="B38" s="221" t="s">
        <v>2159</v>
      </c>
      <c r="C38" s="226">
        <f ca="1">ROUND(C34*F38,0)</f>
        <v>102363</v>
      </c>
      <c r="D38" s="226"/>
      <c r="E38" s="226"/>
      <c r="F38" s="265">
        <f>'数据-取费表'!B36</f>
        <v>1.4999999999999999E-2</v>
      </c>
      <c r="G38" s="225" t="s">
        <v>2154</v>
      </c>
    </row>
    <row r="39" spans="1:8" s="220" customFormat="1" ht="13.5" customHeight="1">
      <c r="A39" s="261" t="s">
        <v>2160</v>
      </c>
      <c r="B39" s="216" t="s">
        <v>2161</v>
      </c>
      <c r="C39" s="238">
        <f ca="1">ROUND(C33*F20,0)</f>
        <v>225637</v>
      </c>
      <c r="D39" s="238"/>
      <c r="E39" s="238"/>
      <c r="F39" s="2505">
        <f>F20</f>
        <v>0.03</v>
      </c>
      <c r="G39" s="240" t="s">
        <v>2162</v>
      </c>
    </row>
    <row r="40" spans="1:8" s="220" customFormat="1" ht="13.5" customHeight="1">
      <c r="A40" s="261" t="s">
        <v>2163</v>
      </c>
      <c r="B40" s="216" t="s">
        <v>2164</v>
      </c>
      <c r="C40" s="1467">
        <f>F21</f>
        <v>0.03</v>
      </c>
      <c r="D40" s="242" t="s">
        <v>2165</v>
      </c>
      <c r="E40" s="238"/>
      <c r="F40" s="2505">
        <f>F21</f>
        <v>0.03</v>
      </c>
      <c r="G40" s="240" t="s">
        <v>2166</v>
      </c>
    </row>
    <row r="41" spans="1:8" s="220" customFormat="1" ht="13.5" customHeight="1">
      <c r="A41" s="261" t="s">
        <v>2167</v>
      </c>
      <c r="B41" s="216" t="s">
        <v>2168</v>
      </c>
      <c r="C41" s="238">
        <f ca="1">ROUND(SUM(C42:C43),0)</f>
        <v>162684</v>
      </c>
      <c r="D41" s="241">
        <f ca="1">C44</f>
        <v>5.9999999999999995E-4</v>
      </c>
      <c r="E41" s="242" t="s">
        <v>2165</v>
      </c>
      <c r="F41" s="2506">
        <f ca="1">F22</f>
        <v>4.2000000000000003E-2</v>
      </c>
      <c r="G41" s="240" t="str">
        <f>IF('数据-取费表'!B22&lt;=1,"单利计息","复利计息")</f>
        <v>单利计息</v>
      </c>
      <c r="H41" s="220">
        <f>(7521238+225637)*4.2%*1/2</f>
        <v>162684.375</v>
      </c>
    </row>
    <row r="42" spans="1:8" ht="13.5" customHeight="1">
      <c r="A42" s="888" t="s">
        <v>791</v>
      </c>
      <c r="B42" s="221" t="s">
        <v>2169</v>
      </c>
      <c r="C42" s="244">
        <f ca="1">ROUND(IF('数据-取费表'!B22&lt;=1,C33*F22*'数据-取费表'!B20/2,C33*(POWER((1+F22),'数据-取费表'!B20/2)-1)),0)</f>
        <v>157946</v>
      </c>
      <c r="D42" s="244"/>
      <c r="E42" s="244"/>
      <c r="F42" s="245"/>
      <c r="G42" s="3448" t="s">
        <v>2217</v>
      </c>
    </row>
    <row r="43" spans="1:8" ht="13.5" customHeight="1">
      <c r="A43" s="888" t="s">
        <v>792</v>
      </c>
      <c r="B43" s="221" t="s">
        <v>2171</v>
      </c>
      <c r="C43" s="244">
        <f ca="1">ROUND(IF('数据-取费表'!B22&lt;=1,C39*F22*'数据-取费表'!B20/2,C39*(POWER((1+F22),'数据-取费表'!B20/2)-1)),0)</f>
        <v>4738</v>
      </c>
      <c r="D43" s="244"/>
      <c r="E43" s="244"/>
      <c r="F43" s="245"/>
      <c r="G43" s="3449"/>
    </row>
    <row r="44" spans="1:8" ht="13.5" customHeight="1">
      <c r="A44" s="888" t="s">
        <v>793</v>
      </c>
      <c r="B44" s="221" t="s">
        <v>2172</v>
      </c>
      <c r="C44" s="244">
        <f ca="1">ROUND(IF('数据-取费表'!B22&lt;=1,C40*F22*'数据-取费表'!B20/2,C40*(POWER((1+F22),'数据-取费表'!B20/2)-1)),4)</f>
        <v>5.9999999999999995E-4</v>
      </c>
      <c r="D44" s="244"/>
      <c r="E44" s="244"/>
      <c r="F44" s="245"/>
      <c r="G44" s="3450"/>
    </row>
    <row r="45" spans="1:8" s="220" customFormat="1" ht="13.5" customHeight="1">
      <c r="A45" s="261" t="s">
        <v>2173</v>
      </c>
      <c r="B45" s="250" t="s">
        <v>2139</v>
      </c>
      <c r="C45" s="251">
        <f ca="1">C46</f>
        <v>774688</v>
      </c>
      <c r="D45" s="241">
        <f ca="1">C47</f>
        <v>3.0000000000000001E-3</v>
      </c>
      <c r="E45" s="242" t="s">
        <v>2165</v>
      </c>
      <c r="F45" s="2507">
        <f ca="1">F27</f>
        <v>0.1</v>
      </c>
      <c r="G45" s="253" t="s">
        <v>2174</v>
      </c>
    </row>
    <row r="46" spans="1:8" s="220" customFormat="1" ht="13.5" customHeight="1">
      <c r="A46" s="888" t="s">
        <v>791</v>
      </c>
      <c r="B46" s="254" t="s">
        <v>2175</v>
      </c>
      <c r="C46" s="255">
        <f ca="1">ROUND((C33+C39)*F27,0)</f>
        <v>774688</v>
      </c>
      <c r="D46" s="269"/>
      <c r="E46" s="242"/>
      <c r="F46" s="252"/>
      <c r="G46" s="253"/>
    </row>
    <row r="47" spans="1:8" s="220" customFormat="1" ht="13.5" customHeight="1">
      <c r="A47" s="888" t="s">
        <v>792</v>
      </c>
      <c r="B47" s="254" t="s">
        <v>2176</v>
      </c>
      <c r="C47" s="244">
        <f ca="1">ROUND(C40*F27,4)</f>
        <v>3.0000000000000001E-3</v>
      </c>
      <c r="D47" s="269"/>
      <c r="E47" s="242"/>
      <c r="F47" s="252"/>
      <c r="G47" s="253"/>
    </row>
    <row r="48" spans="1:8"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9501364</v>
      </c>
      <c r="D49" s="238"/>
      <c r="E49" s="238"/>
      <c r="F49" s="270"/>
      <c r="G49" s="240" t="s">
        <v>2180</v>
      </c>
    </row>
    <row r="50" spans="1:7" s="264" customFormat="1">
      <c r="A50" s="261" t="s">
        <v>2181</v>
      </c>
      <c r="B50" s="216" t="s">
        <v>2182</v>
      </c>
      <c r="C50" s="238"/>
      <c r="D50" s="238"/>
      <c r="E50" s="238"/>
      <c r="F50" s="270">
        <f>IF('数据-取费表'!B24=0,'数据-取费表'!N16,1)</f>
        <v>0.82</v>
      </c>
      <c r="G50" s="253"/>
    </row>
    <row r="51" spans="1:7" ht="16.5" customHeight="1">
      <c r="A51" s="261" t="s">
        <v>2184</v>
      </c>
      <c r="B51" s="216" t="s">
        <v>2219</v>
      </c>
      <c r="C51" s="238">
        <f ca="1">ROUND(C49*F50,0)</f>
        <v>7791118</v>
      </c>
      <c r="D51" s="238"/>
      <c r="E51" s="238"/>
      <c r="F51" s="270"/>
      <c r="G51" s="240" t="s">
        <v>2186</v>
      </c>
    </row>
    <row r="52" spans="1:7" s="214" customFormat="1" ht="16.5" thickBot="1">
      <c r="A52" s="271" t="s">
        <v>2187</v>
      </c>
      <c r="B52" s="272"/>
      <c r="C52" s="273">
        <f ca="1">C31+C51</f>
        <v>9995511</v>
      </c>
      <c r="D52" s="272"/>
      <c r="E52" s="272"/>
      <c r="F52" s="272"/>
      <c r="G52" s="274"/>
    </row>
    <row r="54" spans="1:7">
      <c r="D54" s="278">
        <f>9501364*95%</f>
        <v>9026295.7999999989</v>
      </c>
    </row>
    <row r="55" spans="1:7" ht="15">
      <c r="B55" s="276" t="s">
        <v>2188</v>
      </c>
      <c r="C55" s="277"/>
    </row>
    <row r="56" spans="1:7">
      <c r="B56" s="279" t="s">
        <v>1418</v>
      </c>
      <c r="C56" s="281">
        <f ca="1">1-C57</f>
        <v>0.22099999999999997</v>
      </c>
    </row>
    <row r="57" spans="1:7">
      <c r="B57" s="279" t="s">
        <v>1419</v>
      </c>
      <c r="C57" s="280">
        <f ca="1">ROUND(C51/C52,3)</f>
        <v>0.77900000000000003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5"/>
      <c r="F1" s="3005"/>
      <c r="G1" s="2868"/>
      <c r="H1" s="3005"/>
      <c r="I1" s="3005"/>
      <c r="J1" s="3005"/>
      <c r="K1" s="3006">
        <f>MATCH(C1,'数据-取费表'!A6:A16,0)+5</f>
        <v>7</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1949.77</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1949.77</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140</v>
      </c>
      <c r="F19" s="913"/>
      <c r="G19" s="15"/>
      <c r="H19" s="1323"/>
      <c r="I19" s="918"/>
      <c r="J19" s="918"/>
      <c r="K19" s="919"/>
    </row>
    <row r="20" spans="1:33" s="912" customFormat="1" ht="13.5" customHeight="1">
      <c r="A20" s="908" t="s">
        <v>806</v>
      </c>
      <c r="B20" s="909" t="s">
        <v>2256</v>
      </c>
      <c r="C20" s="24">
        <f ca="1">ROUND(D20*E20/10000,0)</f>
        <v>33</v>
      </c>
      <c r="D20" s="955">
        <f ca="1">IF(C1="",'数据-汇总表'!E6,IF(INDIRECT("'数据-取费表'!c"&amp;$K$1)="住宅",INDIRECT("'数据-取费表'!s"&amp;$K$1),INDIRECT("'数据-取费表'!k"&amp;$K$1)+INDIRECT("'数据-取费表'!s"&amp;$K$1)))</f>
        <v>1949.77</v>
      </c>
      <c r="E20" s="24">
        <f>'数据-取费表'!B28</f>
        <v>170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0.03</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0.03</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90" zoomScaleNormal="70" zoomScaleSheetLayoutView="90" workbookViewId="0">
      <selection activeCell="D22" sqref="D2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3124</v>
      </c>
      <c r="D1" s="1516" t="s">
        <v>70</v>
      </c>
      <c r="E1" s="1517" t="s">
        <v>1292</v>
      </c>
      <c r="F1" s="1193">
        <f ca="1">J53</f>
        <v>39.46</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1090</v>
      </c>
      <c r="C2" s="1541" t="s">
        <v>1421</v>
      </c>
      <c r="D2" s="1541"/>
      <c r="E2" s="1542"/>
      <c r="F2" s="1543"/>
      <c r="G2" s="2903"/>
      <c r="H2" s="2892"/>
      <c r="I2" s="2892"/>
      <c r="J2" s="2892"/>
      <c r="K2" s="2893"/>
      <c r="L2" s="2892"/>
      <c r="M2" s="2892"/>
    </row>
    <row r="3" spans="1:37" ht="18" customHeight="1" thickBot="1">
      <c r="A3" s="1544" t="s">
        <v>1422</v>
      </c>
      <c r="B3" s="1545">
        <f ca="1">IF(ISERROR(B2*10000/F43),0,ROUND(B2*10000/F43,0))</f>
        <v>5590</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70</v>
      </c>
      <c r="D5" s="1518" t="s">
        <v>1307</v>
      </c>
      <c r="E5" s="1203"/>
      <c r="F5" s="1204"/>
      <c r="G5" s="1538"/>
      <c r="H5" s="305">
        <v>1</v>
      </c>
      <c r="I5" s="306" t="s">
        <v>1306</v>
      </c>
      <c r="J5" s="1202">
        <f ca="1">J6+J10+J12</f>
        <v>0</v>
      </c>
      <c r="K5" s="1518" t="s">
        <v>1307</v>
      </c>
      <c r="L5" s="1203"/>
      <c r="M5" s="1204"/>
    </row>
    <row r="6" spans="1:37" ht="18" customHeight="1">
      <c r="A6" s="1201" t="s">
        <v>1003</v>
      </c>
      <c r="B6" s="3479" t="s">
        <v>1308</v>
      </c>
      <c r="C6" s="1206">
        <f ca="1">ROUND(F6*F8*F7*(1-F9)/10000,0)</f>
        <v>70</v>
      </c>
      <c r="D6" s="160" t="s">
        <v>2789</v>
      </c>
      <c r="E6" s="308" t="s">
        <v>1310</v>
      </c>
      <c r="F6" s="309">
        <f ca="1">INDIRECT("'数据-取费表'!u"&amp;$G$1)</f>
        <v>1.1000000000000001</v>
      </c>
      <c r="G6" s="1538"/>
      <c r="H6" s="1201" t="s">
        <v>1003</v>
      </c>
      <c r="I6" s="3479" t="s">
        <v>1308</v>
      </c>
      <c r="J6" s="307">
        <f ca="1">ROUND(M6*M8*M7*(1-M9)/10000,0)</f>
        <v>0</v>
      </c>
      <c r="K6" s="160" t="s">
        <v>2788</v>
      </c>
      <c r="L6" s="308" t="s">
        <v>1310</v>
      </c>
      <c r="M6" s="309">
        <f ca="1">INDIRECT("'数据-取费表'!z"&amp;$G$1)</f>
        <v>0</v>
      </c>
    </row>
    <row r="7" spans="1:37" ht="18" customHeight="1">
      <c r="A7" s="1205"/>
      <c r="B7" s="3480"/>
      <c r="C7" s="1207"/>
      <c r="D7" s="313"/>
      <c r="E7" s="1208" t="s">
        <v>1311</v>
      </c>
      <c r="F7" s="309">
        <f ca="1">IF(INDIRECT("'数据-取费表'!ah"&amp;$G$1)="",INDIRECT("'数据-取费表'!k"&amp;$G$1),INDIRECT("'数据-取费表'!ah"&amp;$G$1))</f>
        <v>1949.77</v>
      </c>
      <c r="G7" s="1538"/>
      <c r="H7" s="310"/>
      <c r="I7" s="3480"/>
      <c r="J7" s="312"/>
      <c r="K7" s="313"/>
      <c r="L7" s="308" t="s">
        <v>1311</v>
      </c>
      <c r="M7" s="309">
        <f ca="1">F7</f>
        <v>1949.77</v>
      </c>
    </row>
    <row r="8" spans="1:37" ht="18" customHeight="1">
      <c r="A8" s="310"/>
      <c r="B8" s="3480"/>
      <c r="C8" s="312"/>
      <c r="D8" s="313"/>
      <c r="E8" s="308" t="s">
        <v>1312</v>
      </c>
      <c r="F8" s="309">
        <f ca="1">INDIRECT("'数据-取费表'!ai"&amp;$G$1)</f>
        <v>365</v>
      </c>
      <c r="G8" s="1538"/>
      <c r="H8" s="310"/>
      <c r="I8" s="3480"/>
      <c r="J8" s="312"/>
      <c r="K8" s="313"/>
      <c r="L8" s="308" t="s">
        <v>1312</v>
      </c>
      <c r="M8" s="309">
        <f ca="1">INDIRECT("'数据-取费表'!ai"&amp;$G$1)</f>
        <v>365</v>
      </c>
    </row>
    <row r="9" spans="1:37" ht="18" customHeight="1">
      <c r="A9" s="310"/>
      <c r="B9" s="3481"/>
      <c r="C9" s="312"/>
      <c r="D9" s="313"/>
      <c r="E9" s="308" t="s">
        <v>1313</v>
      </c>
      <c r="F9" s="318">
        <f ca="1">INDIRECT("'数据-取费表'!w"&amp;$G$1)</f>
        <v>0.1</v>
      </c>
      <c r="G9" s="1538"/>
      <c r="H9" s="310"/>
      <c r="I9" s="3481"/>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t="s">
        <v>3133</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f>92*1.5%/12</f>
        <v>0.11499999999999999</v>
      </c>
      <c r="H12" s="1215" t="s">
        <v>1043</v>
      </c>
      <c r="I12" s="1523" t="s">
        <v>1318</v>
      </c>
      <c r="J12" s="1216"/>
      <c r="K12" s="1230"/>
      <c r="L12" s="1222"/>
      <c r="M12" s="1231"/>
    </row>
    <row r="13" spans="1:37" ht="18" customHeight="1" thickTop="1">
      <c r="A13" s="1211">
        <v>2</v>
      </c>
      <c r="B13" s="1212" t="s">
        <v>1319</v>
      </c>
      <c r="C13" s="316">
        <f ca="1">ROUND(C29*F13,0)</f>
        <v>778</v>
      </c>
      <c r="D13" s="1213" t="s">
        <v>1320</v>
      </c>
      <c r="E13" s="1213" t="s">
        <v>1321</v>
      </c>
      <c r="F13" s="1214">
        <f ca="1">INDIRECT("'数据-取费表'!y"&amp;$G$1)</f>
        <v>0.82</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682</v>
      </c>
      <c r="D14" s="1499" t="s">
        <v>1323</v>
      </c>
      <c r="E14" s="1496"/>
      <c r="F14" s="325"/>
      <c r="G14" s="1538"/>
      <c r="H14" s="1113" t="s">
        <v>1003</v>
      </c>
      <c r="I14" s="308" t="s">
        <v>1324</v>
      </c>
      <c r="J14" s="24">
        <f ca="1">C29</f>
        <v>949</v>
      </c>
      <c r="K14" s="15"/>
      <c r="L14" s="916"/>
      <c r="M14" s="917"/>
    </row>
    <row r="15" spans="1:37" s="1551" customFormat="1" ht="18" customHeight="1" thickBot="1">
      <c r="A15" s="1113" t="s">
        <v>1004</v>
      </c>
      <c r="B15" s="308" t="s">
        <v>1325</v>
      </c>
      <c r="C15" s="24">
        <f ca="1">ROUND(C14*F15,0)</f>
        <v>20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18</v>
      </c>
      <c r="K16" s="1219" t="s">
        <v>1330</v>
      </c>
      <c r="L16" s="1220"/>
      <c r="M16" s="1204"/>
    </row>
    <row r="17" spans="1:37" s="1551" customFormat="1" ht="18" customHeight="1">
      <c r="A17" s="1113" t="s">
        <v>1295</v>
      </c>
      <c r="B17" s="308" t="s">
        <v>1331</v>
      </c>
      <c r="C17" s="24">
        <f ca="1">ROUND(F17*(F43+INDIRECT("'数据-取费表'!S"&amp;$G$1))/10000,0)</f>
        <v>39</v>
      </c>
      <c r="D17" s="308" t="s">
        <v>1332</v>
      </c>
      <c r="E17" s="308" t="s">
        <v>1333</v>
      </c>
      <c r="F17" s="26">
        <f>'数据-取费表'!B35</f>
        <v>200</v>
      </c>
      <c r="G17" s="1550"/>
      <c r="H17" s="1113" t="s">
        <v>1003</v>
      </c>
      <c r="I17" s="308" t="s">
        <v>1334</v>
      </c>
      <c r="J17" s="2504">
        <f ca="1">ROUND(IF(AND(项目基本情况!B11="自然人",项目基本情况!B10="北京市"),J6*M17/(1+'数据-取费表'!C42),J18+J19+J20),0)</f>
        <v>8</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751</v>
      </c>
      <c r="D19" s="136" t="s">
        <v>1341</v>
      </c>
      <c r="E19" s="1514"/>
      <c r="F19" s="26"/>
      <c r="G19" s="1538"/>
      <c r="H19" s="1113" t="s">
        <v>1004</v>
      </c>
      <c r="I19" s="308" t="s">
        <v>1342</v>
      </c>
      <c r="J19" s="24">
        <f ca="1">IF(K19="按租金收入计税",ROUND(J6*M19/(1+'数据-取费表'!C42),2),ROUND(C29*M19*0.7,2))</f>
        <v>7.97</v>
      </c>
      <c r="K19" s="1524" t="s">
        <v>1343</v>
      </c>
      <c r="L19" s="308" t="s">
        <v>1327</v>
      </c>
      <c r="M19" s="328">
        <f>IF(K19="按租金收入计税",'数据-取费表'!B51,'数据-取费表'!B50)</f>
        <v>1.2E-2</v>
      </c>
    </row>
    <row r="20" spans="1:37" s="1551" customFormat="1" ht="18" customHeight="1">
      <c r="A20" s="1113" t="s">
        <v>1007</v>
      </c>
      <c r="B20" s="308" t="s">
        <v>1344</v>
      </c>
      <c r="C20" s="24">
        <f ca="1">ROUND(C19*F20,0)</f>
        <v>23</v>
      </c>
      <c r="D20" s="329" t="s">
        <v>1345</v>
      </c>
      <c r="E20" s="308" t="s">
        <v>1327</v>
      </c>
      <c r="F20" s="328">
        <f>'数据-取费表'!B37</f>
        <v>0.03</v>
      </c>
      <c r="G20" s="1550"/>
      <c r="H20" s="1113" t="s">
        <v>1294</v>
      </c>
      <c r="I20" s="160" t="s">
        <v>1346</v>
      </c>
      <c r="J20" s="25">
        <f ca="1">ROUND(M20*M21/10000,2)</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0.03</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9.5</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16</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-18</v>
      </c>
      <c r="K25" s="1227" t="s">
        <v>1369</v>
      </c>
      <c r="L25" s="1228"/>
      <c r="M25" s="1229"/>
    </row>
    <row r="26" spans="1:37">
      <c r="A26" s="1113" t="s">
        <v>1002</v>
      </c>
      <c r="B26" s="308" t="s">
        <v>1370</v>
      </c>
      <c r="C26" s="24">
        <f ca="1">ROUND((C19+C20)*F26,0)</f>
        <v>77</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949</v>
      </c>
      <c r="D29" s="1224"/>
      <c r="E29" s="1222"/>
      <c r="F29" s="1225"/>
      <c r="G29" s="1550"/>
      <c r="H29" s="340" t="s">
        <v>1001</v>
      </c>
      <c r="I29" s="341" t="s">
        <v>1384</v>
      </c>
      <c r="J29" s="342">
        <f ca="1">ROUND(J26/(1+F40)^F41,0)</f>
        <v>0</v>
      </c>
      <c r="K29" s="343" t="s">
        <v>1385</v>
      </c>
      <c r="L29" s="344"/>
      <c r="M29" s="345">
        <f ca="1">INDIRECT("'数据-取费表'!k"&amp;$G$1)</f>
        <v>1949.77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23</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12</v>
      </c>
      <c r="D31" s="1499" t="s">
        <v>1335</v>
      </c>
      <c r="E31" s="1498" t="s">
        <v>1386</v>
      </c>
      <c r="F31" s="2503" t="str">
        <f>IF(项目基本情况!B11="企业","——",IF('数据-取费表'!B10="住宅",IF(F6*F7*F8/12/(1+'数据-取费表'!F30)&gt;100000,4%,2.5%),IF(F6*F7*F8/12/(1+'数据-取费表'!F30)&gt;100000,12%,7%)))</f>
        <v>——</v>
      </c>
      <c r="G31" s="1538"/>
      <c r="H31" s="3007" t="s">
        <v>2984</v>
      </c>
      <c r="I31" s="1552"/>
      <c r="J31" s="1553"/>
      <c r="K31" s="2669"/>
      <c r="L31" s="2895"/>
      <c r="M31" s="2896"/>
    </row>
    <row r="32" spans="1:37" ht="18" customHeight="1">
      <c r="A32" s="1113" t="s">
        <v>1002</v>
      </c>
      <c r="B32" s="308" t="s">
        <v>1338</v>
      </c>
      <c r="C32" s="24">
        <f ca="1">IF(项目基本情况!B11="自然人","——",ROUND(C6*F32/(1+'数据-取费表'!C42),2))</f>
        <v>3.67</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8</v>
      </c>
      <c r="D33" s="1524" t="s">
        <v>3134</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0</v>
      </c>
      <c r="D34" s="330" t="s">
        <v>1347</v>
      </c>
      <c r="E34" s="308" t="s">
        <v>1348</v>
      </c>
      <c r="F34" s="331">
        <f>'数据-取费表'!B52</f>
        <v>0</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ROUND(C29*F36,1)</f>
        <v>9.5</v>
      </c>
      <c r="D36" s="1498" t="s">
        <v>1387</v>
      </c>
      <c r="E36" s="308" t="s">
        <v>1327</v>
      </c>
      <c r="F36" s="334">
        <f ca="1">INDIRECT("'数据-取费表'!Ak"&amp;$G$1)</f>
        <v>0.01</v>
      </c>
      <c r="G36" s="1538"/>
      <c r="H36" s="2897"/>
      <c r="I36" s="1552"/>
      <c r="J36" s="1553"/>
      <c r="K36" s="2738"/>
      <c r="L36" s="2897"/>
      <c r="M36" s="2897"/>
    </row>
    <row r="37" spans="1:18" ht="18" customHeight="1">
      <c r="A37" s="1113" t="s">
        <v>1043</v>
      </c>
      <c r="B37" s="308" t="s">
        <v>1358</v>
      </c>
      <c r="C37" s="24">
        <f ca="1">ROUND(C13*F37,1)</f>
        <v>0.8</v>
      </c>
      <c r="D37" s="1498" t="s">
        <v>1359</v>
      </c>
      <c r="E37" s="308" t="s">
        <v>1360</v>
      </c>
      <c r="F37" s="336">
        <f ca="1">INDIRECT("'数据-取费表'!Al"&amp;$G$1)</f>
        <v>1E-3</v>
      </c>
      <c r="G37" s="1538"/>
      <c r="H37" s="2897"/>
      <c r="I37" s="1552"/>
      <c r="J37" s="1553"/>
      <c r="K37" s="2738"/>
      <c r="L37" s="2897"/>
      <c r="M37" s="2897"/>
    </row>
    <row r="38" spans="1:18" ht="18" customHeight="1" thickBot="1">
      <c r="A38" s="1221" t="s">
        <v>1298</v>
      </c>
      <c r="B38" s="1222" t="s">
        <v>1344</v>
      </c>
      <c r="C38" s="1223">
        <f ca="1">ROUND(C5*F38,1)</f>
        <v>0.7</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47</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1068</v>
      </c>
      <c r="D40" s="330" t="s">
        <v>1374</v>
      </c>
      <c r="E40" s="308" t="s">
        <v>1375</v>
      </c>
      <c r="F40" s="318">
        <f ca="1">INDIRECT("'数据-取费表'!I"&amp;$G$1)</f>
        <v>0.05</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39.46</v>
      </c>
      <c r="G41" s="1538"/>
      <c r="H41" s="1325"/>
      <c r="I41" s="1552"/>
      <c r="J41" s="1553"/>
      <c r="K41" s="2738"/>
      <c r="L41" s="1325"/>
      <c r="M41" s="1325"/>
    </row>
    <row r="42" spans="1:18" ht="18" customHeight="1">
      <c r="A42" s="314"/>
      <c r="B42" s="315"/>
      <c r="C42" s="316"/>
      <c r="D42" s="333"/>
      <c r="E42" s="308" t="s">
        <v>1382</v>
      </c>
      <c r="F42" s="318">
        <f ca="1">INDIRECT("'数据-取费表'!v"&amp;$G$1)</f>
        <v>0.02</v>
      </c>
      <c r="G42" s="1538"/>
      <c r="H42" s="1325"/>
      <c r="I42" s="1552"/>
      <c r="J42" s="1553"/>
      <c r="K42" s="2738"/>
      <c r="L42" s="1325"/>
      <c r="M42" s="1325"/>
    </row>
    <row r="43" spans="1:18" ht="18" customHeight="1" thickBot="1">
      <c r="A43" s="340" t="s">
        <v>1001</v>
      </c>
      <c r="B43" s="341" t="s">
        <v>1392</v>
      </c>
      <c r="C43" s="342">
        <f ca="1">ROUND(C40*10000/F43,0)</f>
        <v>5478</v>
      </c>
      <c r="D43" s="343" t="s">
        <v>1393</v>
      </c>
      <c r="E43" s="344" t="s">
        <v>1394</v>
      </c>
      <c r="F43" s="345">
        <f ca="1">INDIRECT("'数据-取费表'!k"&amp;$G$1)</f>
        <v>1949.77</v>
      </c>
      <c r="G43" s="1538"/>
      <c r="H43" s="1325">
        <f>1218*40%/(1+7.5%)^ 39.87</f>
        <v>27.255352919096651</v>
      </c>
      <c r="I43" s="1325"/>
      <c r="J43" s="1325"/>
      <c r="K43" s="2738"/>
      <c r="L43" s="1325"/>
      <c r="M43" s="1325"/>
    </row>
    <row r="44" spans="1:18" s="1538" customFormat="1" ht="18" customHeight="1">
      <c r="A44" s="1554"/>
      <c r="B44" s="1554"/>
      <c r="C44" s="1555"/>
      <c r="D44" s="1554"/>
      <c r="E44" s="1554">
        <f>1283/2555.66*10000</f>
        <v>5020.2296080073247</v>
      </c>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-2605</v>
      </c>
      <c r="D46" s="1560" t="str">
        <f>C2</f>
        <v>万元</v>
      </c>
      <c r="E46" s="1554"/>
      <c r="F46" s="1554"/>
      <c r="I46" s="1561" t="s">
        <v>1426</v>
      </c>
      <c r="J46" s="1562"/>
      <c r="K46" s="1563"/>
      <c r="L46" s="1564">
        <f ca="1">IF(M47="住宅",0,IF(L48&gt;J51,L60,J60))</f>
        <v>22</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3135</v>
      </c>
      <c r="K47" s="1570" t="s">
        <v>1432</v>
      </c>
      <c r="L47" s="1571">
        <f ca="1">INDIRECT("'数据-取费表'!d"&amp;$G$1)</f>
        <v>50</v>
      </c>
      <c r="M47" s="1534" t="str">
        <f>IF(ISNUMBER(FIND("住宅",C1)),"住宅","非住宅")</f>
        <v>非住宅</v>
      </c>
      <c r="O47" s="1572" t="s">
        <v>1008</v>
      </c>
      <c r="P47" s="1573" t="s">
        <v>1433</v>
      </c>
      <c r="Q47" s="1574">
        <f ca="1">C40+J29</f>
        <v>1068</v>
      </c>
      <c r="R47" s="1574" t="s">
        <v>1434</v>
      </c>
    </row>
    <row r="48" spans="1:18" s="1538" customFormat="1" ht="28.5" thickBot="1">
      <c r="A48" s="1242" t="s">
        <v>1044</v>
      </c>
      <c r="B48" s="306" t="s">
        <v>1306</v>
      </c>
      <c r="C48" s="1513">
        <f ca="1">C49+C53+C55</f>
        <v>0</v>
      </c>
      <c r="D48" s="1244"/>
      <c r="E48" s="1245"/>
      <c r="F48" s="1093"/>
      <c r="G48" s="731"/>
      <c r="H48" s="732"/>
      <c r="I48" s="1575" t="s">
        <v>1435</v>
      </c>
      <c r="J48" s="1576" t="s">
        <v>3136</v>
      </c>
      <c r="K48" s="1577" t="s">
        <v>1436</v>
      </c>
      <c r="L48" s="1578">
        <f ca="1">INDIRECT("'数据-取费表'!f"&amp;$G$1)</f>
        <v>39.46</v>
      </c>
      <c r="O48" s="1572" t="s">
        <v>1009</v>
      </c>
      <c r="P48" s="1573" t="s">
        <v>1437</v>
      </c>
      <c r="Q48" s="1574">
        <f ca="1">J60</f>
        <v>22</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2013</v>
      </c>
      <c r="K49" s="1577" t="s">
        <v>1440</v>
      </c>
      <c r="L49" s="1581"/>
      <c r="O49" s="1582" t="s">
        <v>1010</v>
      </c>
      <c r="P49" s="1573" t="s">
        <v>1441</v>
      </c>
      <c r="Q49" s="1574">
        <f ca="1">C29</f>
        <v>949</v>
      </c>
      <c r="R49" s="1574" t="s">
        <v>1434</v>
      </c>
    </row>
    <row r="50" spans="1:18" s="1538" customFormat="1" ht="13.5" thickBot="1">
      <c r="A50" s="1107"/>
      <c r="B50" s="1110"/>
      <c r="C50" s="1250"/>
      <c r="D50" s="1084"/>
      <c r="E50" s="1187" t="s">
        <v>1311</v>
      </c>
      <c r="F50" s="1188">
        <f ca="1">F7</f>
        <v>1949.77</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51</v>
      </c>
      <c r="K51" s="1588" t="s">
        <v>1446</v>
      </c>
      <c r="L51" s="1589">
        <f ca="1">ROUND(-PV(INDIRECT("'数据-取费表'!h"&amp;$G$1),J51,(C39-C13*C76),0),0)</f>
        <v>-226</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39.46</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6">
        <f ca="1">IF(M47="住宅",IF(D1="——",MAX(J51,L48),MAX(J51,L48-'数据-取费表'!B24)),IF(D1="——",MIN(J51,L48),MIN(J51,L48-'数据-取费表'!B24)))</f>
        <v>39.46</v>
      </c>
      <c r="K53" s="3477" t="s">
        <v>1453</v>
      </c>
      <c r="L53" s="3478"/>
      <c r="O53" s="1572" t="s">
        <v>1014</v>
      </c>
      <c r="P53" s="1573" t="s">
        <v>1454</v>
      </c>
      <c r="Q53" s="1574">
        <f ca="1">Q47+Q48</f>
        <v>1090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0.192</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778</v>
      </c>
      <c r="D56" s="1601"/>
      <c r="E56" s="1602"/>
      <c r="F56" s="1594"/>
      <c r="I56" s="1603" t="s">
        <v>1459</v>
      </c>
      <c r="J56" s="1604" t="s">
        <v>3137</v>
      </c>
      <c r="K56" s="1575" t="s">
        <v>1460</v>
      </c>
      <c r="L56" s="1578" t="str">
        <f ca="1">IF(L48&lt;J51,"——",L48-J53)</f>
        <v>——</v>
      </c>
      <c r="O56" s="1572" t="s">
        <v>1008</v>
      </c>
      <c r="P56" s="1573" t="s">
        <v>1433</v>
      </c>
      <c r="Q56" s="1574">
        <f ca="1">C40+J29</f>
        <v>1068</v>
      </c>
      <c r="R56" s="1574" t="s">
        <v>1434</v>
      </c>
    </row>
    <row r="57" spans="1:18" s="1538" customFormat="1" ht="24.75" thickBot="1">
      <c r="A57" s="1605"/>
      <c r="B57" s="1081" t="s">
        <v>1383</v>
      </c>
      <c r="C57" s="244">
        <f ca="1">C29</f>
        <v>949</v>
      </c>
      <c r="D57" s="1606"/>
      <c r="E57" s="1607"/>
      <c r="F57" s="1608"/>
      <c r="I57" s="1609" t="s">
        <v>1461</v>
      </c>
      <c r="J57" s="1610">
        <f ca="1">IF(OR(M47="住宅",J51&lt;L48,J56="是"),"——",J51-L48)</f>
        <v>11.54</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90</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80</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380</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22</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79.72</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0</v>
      </c>
      <c r="I62" s="1616" t="s">
        <v>1475</v>
      </c>
      <c r="J62" s="1617" t="s">
        <v>1476</v>
      </c>
      <c r="K62" s="1617" t="s">
        <v>1477</v>
      </c>
      <c r="L62" s="1617" t="s">
        <v>1478</v>
      </c>
      <c r="M62" s="1618" t="s">
        <v>1479</v>
      </c>
      <c r="O62" s="1572" t="s">
        <v>1014</v>
      </c>
      <c r="P62" s="1573" t="s">
        <v>1480</v>
      </c>
      <c r="Q62" s="1574">
        <f ca="1">Q56+Q57</f>
        <v>1068</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9.5</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0.8</v>
      </c>
      <c r="D65" s="1095" t="s">
        <v>1359</v>
      </c>
      <c r="E65" s="1081" t="s">
        <v>1360</v>
      </c>
      <c r="F65" s="336">
        <f t="shared" ca="1" si="0"/>
        <v>1E-3</v>
      </c>
      <c r="I65" s="1616" t="s">
        <v>1484</v>
      </c>
      <c r="J65" s="1617">
        <v>40</v>
      </c>
      <c r="K65" s="1617">
        <v>30</v>
      </c>
      <c r="L65" s="1617">
        <v>50</v>
      </c>
      <c r="M65" s="1619">
        <v>0.02</v>
      </c>
      <c r="O65" s="1572" t="s">
        <v>1008</v>
      </c>
      <c r="P65" s="1573" t="s">
        <v>1485</v>
      </c>
      <c r="Q65" s="1574">
        <f ca="1">C40+J29</f>
        <v>1068</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-90</v>
      </c>
      <c r="D67" s="1094" t="s">
        <v>1369</v>
      </c>
      <c r="E67" s="1099"/>
      <c r="F67" s="1100"/>
      <c r="O67" s="1582" t="s">
        <v>1010</v>
      </c>
      <c r="P67" s="1573" t="s">
        <v>1467</v>
      </c>
      <c r="Q67" s="1620">
        <f ca="1">L51</f>
        <v>-226</v>
      </c>
      <c r="R67" s="1574" t="s">
        <v>1487</v>
      </c>
    </row>
    <row r="68" spans="1:18" s="1538" customFormat="1" ht="16.5" thickBot="1">
      <c r="A68" s="1078" t="s">
        <v>1000</v>
      </c>
      <c r="B68" s="1079" t="s">
        <v>1390</v>
      </c>
      <c r="C68" s="307">
        <f ca="1">ROUND(C67*(1-((1+F70)/(1+F68))^F69)/(F68-F70),0)</f>
        <v>-1537</v>
      </c>
      <c r="D68" s="1096" t="s">
        <v>1374</v>
      </c>
      <c r="E68" s="1081" t="s">
        <v>1375</v>
      </c>
      <c r="F68" s="318">
        <f ca="1">F40</f>
        <v>0.05</v>
      </c>
      <c r="O68" s="1582" t="s">
        <v>1011</v>
      </c>
      <c r="P68" s="1621" t="s">
        <v>1488</v>
      </c>
      <c r="Q68" s="1574">
        <f ca="1">ROUND(Q69-Q70*Q71,0)</f>
        <v>-11</v>
      </c>
      <c r="R68" s="1574" t="s">
        <v>1019</v>
      </c>
    </row>
    <row r="69" spans="1:18" s="1538" customFormat="1" ht="13.5" thickBot="1">
      <c r="A69" s="1082"/>
      <c r="B69" s="1083"/>
      <c r="C69" s="312"/>
      <c r="D69" s="1101" t="s">
        <v>1378</v>
      </c>
      <c r="E69" s="1081" t="s">
        <v>1379</v>
      </c>
      <c r="F69" s="339">
        <f ca="1">F41</f>
        <v>39.46</v>
      </c>
      <c r="O69" s="1582" t="s">
        <v>1016</v>
      </c>
      <c r="P69" s="1621" t="s">
        <v>1489</v>
      </c>
      <c r="Q69" s="1574">
        <f ca="1">C39</f>
        <v>47</v>
      </c>
      <c r="R69" s="1574" t="s">
        <v>1434</v>
      </c>
    </row>
    <row r="70" spans="1:18" s="1538" customFormat="1" ht="13.5" thickBot="1">
      <c r="A70" s="1085"/>
      <c r="B70" s="1086"/>
      <c r="C70" s="316"/>
      <c r="D70" s="1097"/>
      <c r="E70" s="1081" t="s">
        <v>1382</v>
      </c>
      <c r="F70" s="1185"/>
      <c r="O70" s="1582" t="s">
        <v>1017</v>
      </c>
      <c r="P70" s="1621" t="s">
        <v>1490</v>
      </c>
      <c r="Q70" s="1574">
        <f ca="1">C13</f>
        <v>778</v>
      </c>
      <c r="R70" s="1574" t="s">
        <v>1434</v>
      </c>
    </row>
    <row r="71" spans="1:18" s="1538" customFormat="1" ht="13.5" thickBot="1">
      <c r="A71" s="1102" t="s">
        <v>1001</v>
      </c>
      <c r="B71" s="1103" t="s">
        <v>1392</v>
      </c>
      <c r="C71" s="342">
        <f ca="1">ROUND(C68*10000/F71,0)</f>
        <v>-7883</v>
      </c>
      <c r="D71" s="1104" t="s">
        <v>1393</v>
      </c>
      <c r="E71" s="1105" t="s">
        <v>1394</v>
      </c>
      <c r="F71" s="345">
        <f ca="1">F43</f>
        <v>1949.77</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58</v>
      </c>
      <c r="D75" s="1538"/>
      <c r="E75" s="1538"/>
      <c r="F75" s="1538"/>
      <c r="K75" s="1556"/>
      <c r="L75" s="1538"/>
      <c r="O75" s="1572" t="s">
        <v>1014</v>
      </c>
      <c r="P75" s="1573" t="s">
        <v>1454</v>
      </c>
      <c r="Q75" s="1574">
        <f ca="1">Q65+Q66</f>
        <v>1068</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-0.23399999999999999</v>
      </c>
    </row>
    <row r="80" spans="1:18">
      <c r="B80" s="346" t="s">
        <v>1416</v>
      </c>
      <c r="C80" s="280">
        <f ca="1">ROUND(C75/C39,3)</f>
        <v>1.234</v>
      </c>
    </row>
    <row r="81" spans="2:3">
      <c r="B81" s="276" t="s">
        <v>1417</v>
      </c>
      <c r="C81" s="244"/>
    </row>
    <row r="82" spans="2:3">
      <c r="B82" s="279" t="s">
        <v>1418</v>
      </c>
      <c r="C82" s="281">
        <f ca="1">1-C83</f>
        <v>0.27200000000000002</v>
      </c>
    </row>
    <row r="83" spans="2:3">
      <c r="B83" s="279" t="s">
        <v>1419</v>
      </c>
      <c r="C83" s="280">
        <f ca="1">ROUND(C13/C40,3)</f>
        <v>0.72799999999999998</v>
      </c>
    </row>
  </sheetData>
  <sheetProtection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2" sqref="H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18.2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3124</v>
      </c>
      <c r="D1" s="1516" t="s">
        <v>70</v>
      </c>
      <c r="E1" s="1517" t="s">
        <v>1292</v>
      </c>
      <c r="F1" s="1193">
        <f ca="1">J53</f>
        <v>39.46</v>
      </c>
      <c r="G1" s="1532">
        <f>MATCH(C1,'数据-取费表'!A6:A16,0)+5</f>
        <v>6</v>
      </c>
      <c r="H1" s="3557">
        <f>(2204393+7791118)/1949.77</f>
        <v>5126.5077419387926</v>
      </c>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f ca="1">ROUND(D2/10000,0)</f>
        <v>1108</v>
      </c>
      <c r="C2" s="1541" t="s">
        <v>1496</v>
      </c>
      <c r="D2" s="1625">
        <f ca="1">C40+J29+L46</f>
        <v>11079450</v>
      </c>
      <c r="E2" s="1542" t="s">
        <v>1497</v>
      </c>
      <c r="F2" s="1543"/>
      <c r="G2" s="2903"/>
      <c r="H2" s="3556">
        <f>(10860438+219012)/10000</f>
        <v>1107.9449999999999</v>
      </c>
      <c r="I2" s="2892"/>
      <c r="J2" s="2892"/>
      <c r="K2" s="2893"/>
      <c r="L2" s="2892"/>
      <c r="M2" s="2892"/>
    </row>
    <row r="3" spans="1:37" ht="18" customHeight="1" thickBot="1">
      <c r="A3" s="1544" t="s">
        <v>1498</v>
      </c>
      <c r="B3" s="1545">
        <f ca="1">IF(ISERROR(D2/F43),0,ROUND(D2/F43,0))</f>
        <v>5682</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705430</v>
      </c>
      <c r="D5" s="1518" t="s">
        <v>1506</v>
      </c>
      <c r="E5" s="1203"/>
      <c r="F5" s="1204"/>
      <c r="G5" s="1538"/>
      <c r="H5" s="305">
        <v>1</v>
      </c>
      <c r="I5" s="306" t="s">
        <v>1505</v>
      </c>
      <c r="J5" s="1202">
        <f ca="1">J6+J10+J12</f>
        <v>0</v>
      </c>
      <c r="K5" s="1518" t="s">
        <v>1506</v>
      </c>
      <c r="L5" s="1203"/>
      <c r="M5" s="1204"/>
    </row>
    <row r="6" spans="1:37" ht="18" customHeight="1">
      <c r="A6" s="1201" t="s">
        <v>1003</v>
      </c>
      <c r="B6" s="3479" t="s">
        <v>1308</v>
      </c>
      <c r="C6" s="1206">
        <f ca="1">ROUND(F6*F8*F7*(1-F9),0)</f>
        <v>704549</v>
      </c>
      <c r="D6" s="160" t="s">
        <v>2786</v>
      </c>
      <c r="E6" s="308" t="s">
        <v>1310</v>
      </c>
      <c r="F6" s="309">
        <f ca="1">INDIRECT("'数据-取费表'!u"&amp;$G$1)</f>
        <v>1.1000000000000001</v>
      </c>
      <c r="G6" s="1538"/>
      <c r="H6" s="1201" t="s">
        <v>1003</v>
      </c>
      <c r="I6" s="3479" t="s">
        <v>1308</v>
      </c>
      <c r="J6" s="307">
        <f ca="1">ROUND(M6*M8*M7*(1-M9),0)</f>
        <v>0</v>
      </c>
      <c r="K6" s="1530" t="s">
        <v>2787</v>
      </c>
      <c r="L6" s="308" t="s">
        <v>1310</v>
      </c>
      <c r="M6" s="309">
        <f ca="1">INDIRECT("'数据-取费表'!z"&amp;$G$1)</f>
        <v>0</v>
      </c>
    </row>
    <row r="7" spans="1:37" ht="18" customHeight="1">
      <c r="A7" s="1205"/>
      <c r="B7" s="3480"/>
      <c r="C7" s="1207"/>
      <c r="D7" s="313"/>
      <c r="E7" s="1208" t="s">
        <v>1311</v>
      </c>
      <c r="F7" s="309">
        <f ca="1">IF(INDIRECT("'数据-取费表'!ah"&amp;$G$1)="",INDIRECT("'数据-取费表'!k"&amp;$G$1),INDIRECT("'数据-取费表'!ah"&amp;$G$1))</f>
        <v>1949.77</v>
      </c>
      <c r="G7" s="1538"/>
      <c r="H7" s="310"/>
      <c r="I7" s="3480"/>
      <c r="J7" s="312"/>
      <c r="K7" s="313"/>
      <c r="L7" s="308" t="s">
        <v>1311</v>
      </c>
      <c r="M7" s="309">
        <f ca="1">F7</f>
        <v>1949.77</v>
      </c>
    </row>
    <row r="8" spans="1:37" ht="18" customHeight="1">
      <c r="A8" s="310"/>
      <c r="B8" s="3480"/>
      <c r="C8" s="312"/>
      <c r="D8" s="313"/>
      <c r="E8" s="308" t="s">
        <v>1312</v>
      </c>
      <c r="F8" s="309">
        <f ca="1">INDIRECT("'数据-取费表'!ai"&amp;$G$1)</f>
        <v>365</v>
      </c>
      <c r="G8" s="1538"/>
      <c r="H8" s="310"/>
      <c r="I8" s="3480"/>
      <c r="J8" s="312"/>
      <c r="K8" s="313"/>
      <c r="L8" s="308" t="s">
        <v>1312</v>
      </c>
      <c r="M8" s="309">
        <f ca="1">INDIRECT("'数据-取费表'!ai"&amp;$G$1)</f>
        <v>365</v>
      </c>
    </row>
    <row r="9" spans="1:37" ht="18" customHeight="1">
      <c r="A9" s="310"/>
      <c r="B9" s="3481"/>
      <c r="C9" s="312"/>
      <c r="D9" s="313"/>
      <c r="E9" s="308" t="s">
        <v>1313</v>
      </c>
      <c r="F9" s="318">
        <f ca="1">INDIRECT("'数据-取费表'!w"&amp;$G$1)</f>
        <v>0.1</v>
      </c>
      <c r="G9" s="1538"/>
      <c r="H9" s="310"/>
      <c r="I9" s="3481"/>
      <c r="J9" s="312"/>
      <c r="K9" s="313"/>
      <c r="L9" s="319" t="s">
        <v>1313</v>
      </c>
      <c r="M9" s="320">
        <f ca="1">INDIRECT("'数据-取费表'!ab"&amp;$G$1)</f>
        <v>0</v>
      </c>
    </row>
    <row r="10" spans="1:37" ht="18" customHeight="1">
      <c r="A10" s="1201" t="s">
        <v>1007</v>
      </c>
      <c r="B10" s="1519" t="s">
        <v>1314</v>
      </c>
      <c r="C10" s="322">
        <f ca="1">ROUND(IF(F10="押一",C6/12*F11,IF(F10="押二",C6/12*2*F11,IF(F10="押三",C6/12*3*F11,C11*F11))),0)</f>
        <v>881</v>
      </c>
      <c r="D10" s="1520" t="s">
        <v>2796</v>
      </c>
      <c r="E10" s="319" t="s">
        <v>1315</v>
      </c>
      <c r="F10" s="1248" t="s">
        <v>3133</v>
      </c>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7791118</v>
      </c>
      <c r="D13" s="1213" t="s">
        <v>1320</v>
      </c>
      <c r="E13" s="1213" t="s">
        <v>1321</v>
      </c>
      <c r="F13" s="1214">
        <f ca="1">INDIRECT("'数据-取费表'!y"&amp;$G$1)</f>
        <v>0.82</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6824195</v>
      </c>
      <c r="D14" s="1499" t="s">
        <v>1323</v>
      </c>
      <c r="E14" s="1496"/>
      <c r="F14" s="325"/>
      <c r="G14" s="1538"/>
      <c r="H14" s="1113" t="s">
        <v>1003</v>
      </c>
      <c r="I14" s="308" t="s">
        <v>1324</v>
      </c>
      <c r="J14" s="24">
        <f ca="1">C29</f>
        <v>9501364</v>
      </c>
      <c r="K14" s="15"/>
      <c r="L14" s="916"/>
      <c r="M14" s="917"/>
    </row>
    <row r="15" spans="1:37" s="1551" customFormat="1" ht="18" customHeight="1" thickBot="1">
      <c r="A15" s="1113" t="s">
        <v>1004</v>
      </c>
      <c r="B15" s="308" t="s">
        <v>1325</v>
      </c>
      <c r="C15" s="24">
        <f ca="1">ROUND(C14*F15,0)</f>
        <v>204726</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174825</v>
      </c>
      <c r="K16" s="1219" t="s">
        <v>1330</v>
      </c>
      <c r="L16" s="1220"/>
      <c r="M16" s="1204"/>
    </row>
    <row r="17" spans="1:37" s="1551" customFormat="1" ht="18" customHeight="1">
      <c r="A17" s="1113" t="s">
        <v>1295</v>
      </c>
      <c r="B17" s="308" t="s">
        <v>1331</v>
      </c>
      <c r="C17" s="24">
        <f ca="1">ROUND(F17*(F43+INDIRECT("'数据-取费表'!S"&amp;$G$1)),0)</f>
        <v>389954</v>
      </c>
      <c r="D17" s="308" t="s">
        <v>1332</v>
      </c>
      <c r="E17" s="308" t="s">
        <v>1333</v>
      </c>
      <c r="F17" s="26">
        <f>'数据-取费表'!B35</f>
        <v>200</v>
      </c>
      <c r="G17" s="1550"/>
      <c r="H17" s="1113" t="s">
        <v>1003</v>
      </c>
      <c r="I17" s="308" t="s">
        <v>1334</v>
      </c>
      <c r="J17" s="2504">
        <f ca="1">ROUND(IF(AND(项目基本情况!B11="自然人",项目基本情况!B10="北京市"),J6*M17/(1+'数据-取费表'!C42),J18+J19+J20),0)</f>
        <v>79811</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102363</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7521238</v>
      </c>
      <c r="D19" s="136" t="s">
        <v>1341</v>
      </c>
      <c r="E19" s="1514"/>
      <c r="F19" s="26"/>
      <c r="G19" s="1538"/>
      <c r="H19" s="1113" t="s">
        <v>1004</v>
      </c>
      <c r="I19" s="308" t="s">
        <v>1342</v>
      </c>
      <c r="J19" s="24">
        <f ca="1">IF(K19="按租金收入计税",ROUND(J6*M19/(1+'数据-取费表'!C42),0),ROUND(C29*M19*0.7,0))</f>
        <v>79811</v>
      </c>
      <c r="K19" s="1524" t="s">
        <v>1343</v>
      </c>
      <c r="L19" s="308" t="s">
        <v>1327</v>
      </c>
      <c r="M19" s="328">
        <f>IF(K19="按租金收入计税",'数据-取费表'!B51,'数据-取费表'!B50)</f>
        <v>1.2E-2</v>
      </c>
    </row>
    <row r="20" spans="1:37" s="1551" customFormat="1" ht="18" customHeight="1">
      <c r="A20" s="1113" t="s">
        <v>1007</v>
      </c>
      <c r="B20" s="308" t="s">
        <v>1344</v>
      </c>
      <c r="C20" s="24">
        <f ca="1">ROUND(C19*F20,0)</f>
        <v>225637</v>
      </c>
      <c r="D20" s="329" t="s">
        <v>1345</v>
      </c>
      <c r="E20" s="308" t="s">
        <v>1327</v>
      </c>
      <c r="F20" s="328">
        <f>'数据-取费表'!B37</f>
        <v>0.03</v>
      </c>
      <c r="G20" s="1550"/>
      <c r="H20" s="1113" t="s">
        <v>1294</v>
      </c>
      <c r="I20" s="160" t="s">
        <v>1346</v>
      </c>
      <c r="J20" s="25">
        <f ca="1">ROUND(M20*M21,0)</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0.03</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95014</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162684</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-174825</v>
      </c>
      <c r="K25" s="1227" t="s">
        <v>1369</v>
      </c>
      <c r="L25" s="1228"/>
      <c r="M25" s="1229"/>
    </row>
    <row r="26" spans="1:37" ht="18" customHeight="1">
      <c r="A26" s="1113" t="s">
        <v>1002</v>
      </c>
      <c r="B26" s="308" t="s">
        <v>1370</v>
      </c>
      <c r="C26" s="24">
        <f ca="1">ROUND((C19+C20)*F26,0)</f>
        <v>774688</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9501364</v>
      </c>
      <c r="D29" s="1224"/>
      <c r="E29" s="1222"/>
      <c r="F29" s="1225"/>
      <c r="G29" s="1550"/>
      <c r="H29" s="340" t="s">
        <v>1001</v>
      </c>
      <c r="I29" s="341" t="s">
        <v>1384</v>
      </c>
      <c r="J29" s="342">
        <f ca="1">ROUND(J26/(1+F40)^F41,0)</f>
        <v>0</v>
      </c>
      <c r="K29" s="343" t="s">
        <v>1385</v>
      </c>
      <c r="L29" s="344"/>
      <c r="M29" s="345">
        <f ca="1">INDIRECT("'数据-取费表'!k"&amp;$G$1)</f>
        <v>1949.77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227284</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117425</v>
      </c>
      <c r="D31" s="1499" t="s">
        <v>1335</v>
      </c>
      <c r="E31" s="1498" t="s">
        <v>1386</v>
      </c>
      <c r="F31" s="2503" t="str">
        <f>IF(项目基本情况!B11="企业","——",IF('数据-取费表'!B10="住宅",IF(F6*F7*F8/12/(1+'数据-取费表'!F30)&gt;100000,4%,2.5%),IF(F6*F7*F8/12/(1+'数据-取费表'!F30)&gt;100000,12%,7%)))</f>
        <v>——</v>
      </c>
      <c r="G31" s="1538"/>
      <c r="H31" s="3007" t="s">
        <v>2984</v>
      </c>
      <c r="I31" s="1552"/>
      <c r="J31" s="1553"/>
      <c r="K31" s="2669"/>
      <c r="L31" s="2895"/>
      <c r="M31" s="2896"/>
    </row>
    <row r="32" spans="1:37" ht="18" customHeight="1">
      <c r="A32" s="1113" t="s">
        <v>1002</v>
      </c>
      <c r="B32" s="308" t="s">
        <v>1338</v>
      </c>
      <c r="C32" s="24">
        <f ca="1">IF(项目基本情况!B11="自然人","——",ROUND(C6*F32/(1+'数据-取费表'!C42),0))</f>
        <v>36905</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80520</v>
      </c>
      <c r="D33" s="1524" t="s">
        <v>3134</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0</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95014</v>
      </c>
      <c r="D36" s="1498" t="s">
        <v>1387</v>
      </c>
      <c r="E36" s="308" t="s">
        <v>1327</v>
      </c>
      <c r="F36" s="334">
        <f ca="1">INDIRECT("'数据-取费表'!Ak"&amp;$G$1)</f>
        <v>0.01</v>
      </c>
      <c r="G36" s="1538"/>
      <c r="H36" s="2897"/>
      <c r="I36" s="1552"/>
      <c r="J36" s="1553"/>
      <c r="K36" s="2738"/>
      <c r="L36" s="2897"/>
      <c r="M36" s="2897"/>
    </row>
    <row r="37" spans="1:18" ht="18" customHeight="1">
      <c r="A37" s="1113" t="s">
        <v>1043</v>
      </c>
      <c r="B37" s="308" t="s">
        <v>1358</v>
      </c>
      <c r="C37" s="24">
        <f ca="1">ROUND(C13*F37,0)</f>
        <v>7791</v>
      </c>
      <c r="D37" s="1498" t="s">
        <v>1359</v>
      </c>
      <c r="E37" s="308" t="s">
        <v>1360</v>
      </c>
      <c r="F37" s="336">
        <f ca="1">INDIRECT("'数据-取费表'!Al"&amp;$G$1)</f>
        <v>1E-3</v>
      </c>
      <c r="G37" s="1538"/>
      <c r="H37" s="2897"/>
      <c r="I37" s="1552"/>
      <c r="J37" s="1553"/>
      <c r="K37" s="2738"/>
      <c r="L37" s="2897"/>
      <c r="M37" s="2897"/>
    </row>
    <row r="38" spans="1:18" ht="18" customHeight="1" thickBot="1">
      <c r="A38" s="1221" t="s">
        <v>1298</v>
      </c>
      <c r="B38" s="1222" t="s">
        <v>1344</v>
      </c>
      <c r="C38" s="1223">
        <f ca="1">ROUND(C5*F38,1)</f>
        <v>7054.3</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478146</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10860438</v>
      </c>
      <c r="D40" s="330" t="s">
        <v>1374</v>
      </c>
      <c r="E40" s="308" t="s">
        <v>1375</v>
      </c>
      <c r="F40" s="318">
        <f ca="1">INDIRECT("'数据-取费表'!I"&amp;$G$1)</f>
        <v>0.05</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39.46</v>
      </c>
      <c r="G41" s="1538"/>
      <c r="H41" s="1325"/>
      <c r="I41" s="1552"/>
      <c r="J41" s="1553"/>
      <c r="K41" s="2738"/>
      <c r="L41" s="1325"/>
      <c r="M41" s="1325"/>
    </row>
    <row r="42" spans="1:18" ht="18" customHeight="1">
      <c r="A42" s="314"/>
      <c r="B42" s="315"/>
      <c r="C42" s="316"/>
      <c r="D42" s="333"/>
      <c r="E42" s="308" t="s">
        <v>1382</v>
      </c>
      <c r="F42" s="318">
        <f ca="1">INDIRECT("'数据-取费表'!v"&amp;$G$1)</f>
        <v>0.02</v>
      </c>
      <c r="G42" s="1538"/>
      <c r="H42" s="1325"/>
      <c r="I42" s="1552"/>
      <c r="J42" s="1553"/>
      <c r="K42" s="2738"/>
      <c r="L42" s="1325"/>
      <c r="M42" s="1325"/>
    </row>
    <row r="43" spans="1:18" ht="18" customHeight="1" thickBot="1">
      <c r="A43" s="340" t="s">
        <v>1001</v>
      </c>
      <c r="B43" s="341" t="s">
        <v>1392</v>
      </c>
      <c r="C43" s="342">
        <f ca="1">ROUND(C40/F43,0)</f>
        <v>5570</v>
      </c>
      <c r="D43" s="343" t="s">
        <v>1393</v>
      </c>
      <c r="E43" s="344" t="s">
        <v>1394</v>
      </c>
      <c r="F43" s="345">
        <f ca="1">INDIRECT("'数据-取费表'!k"&amp;$G$1)</f>
        <v>1949.77</v>
      </c>
      <c r="G43" s="1538"/>
      <c r="H43" s="1325"/>
      <c r="I43" s="1325"/>
      <c r="J43" s="1325"/>
      <c r="K43" s="2738"/>
      <c r="L43" s="1325"/>
      <c r="M43" s="1325"/>
    </row>
    <row r="44" spans="1:18" s="1538" customFormat="1" ht="18" customHeight="1">
      <c r="A44" s="1554"/>
      <c r="B44" s="1554"/>
      <c r="C44" s="1555"/>
      <c r="D44" s="1554"/>
      <c r="E44" s="1554"/>
      <c r="F44" s="1554"/>
      <c r="J44" s="1538">
        <f ca="1">C29*40%/(1+7.5%) ^39.46</f>
        <v>219012.01874467856</v>
      </c>
      <c r="K44" s="1556"/>
    </row>
    <row r="45" spans="1:18" s="1538" customFormat="1" ht="18" customHeight="1" thickBot="1">
      <c r="A45" s="1554"/>
      <c r="B45" s="1554"/>
      <c r="C45" s="1626">
        <f ca="1">C68-C40</f>
        <v>-31323615</v>
      </c>
      <c r="D45" s="1627" t="s">
        <v>1509</v>
      </c>
      <c r="E45" s="1554"/>
      <c r="F45" s="1554"/>
      <c r="O45" s="1557" t="s">
        <v>1424</v>
      </c>
      <c r="P45" s="1615"/>
      <c r="Q45" s="1615"/>
      <c r="R45" s="1615"/>
    </row>
    <row r="46" spans="1:18" s="1538" customFormat="1" ht="13.5" thickBot="1">
      <c r="A46" s="1558" t="s">
        <v>1425</v>
      </c>
      <c r="C46" s="1559">
        <f ca="1">ROUND(C45/10000,0)</f>
        <v>-3132</v>
      </c>
      <c r="D46" s="1560" t="str">
        <f>C2</f>
        <v>万元</v>
      </c>
      <c r="I46" s="1561" t="s">
        <v>1426</v>
      </c>
      <c r="J46" s="1562"/>
      <c r="K46" s="1563"/>
      <c r="L46" s="1564">
        <f ca="1">IF(M47="住宅",0,IF(L48&gt;J51,L60,J60))</f>
        <v>219012</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t="s">
        <v>3135</v>
      </c>
      <c r="K47" s="1570" t="s">
        <v>1432</v>
      </c>
      <c r="L47" s="1571">
        <f ca="1">INDIRECT("'数据-取费表'!d"&amp;$G$1)</f>
        <v>50</v>
      </c>
      <c r="M47" s="1534" t="str">
        <f>IF(ISNUMBER(FIND("住宅",C1)),"住宅","非住宅")</f>
        <v>非住宅</v>
      </c>
      <c r="O47" s="1572" t="s">
        <v>1008</v>
      </c>
      <c r="P47" s="1573" t="s">
        <v>1433</v>
      </c>
      <c r="Q47" s="1574">
        <f ca="1">C40+J29</f>
        <v>10860438</v>
      </c>
      <c r="R47" s="1574" t="s">
        <v>1434</v>
      </c>
    </row>
    <row r="48" spans="1:18" s="1538" customFormat="1" ht="28.5" thickBot="1">
      <c r="A48" s="1242" t="s">
        <v>1044</v>
      </c>
      <c r="B48" s="306" t="s">
        <v>1306</v>
      </c>
      <c r="C48" s="1513">
        <f ca="1">C49+C53+C55</f>
        <v>0</v>
      </c>
      <c r="D48" s="1244"/>
      <c r="E48" s="1245"/>
      <c r="F48" s="1093"/>
      <c r="G48" s="731"/>
      <c r="H48" s="732"/>
      <c r="I48" s="1575" t="s">
        <v>1435</v>
      </c>
      <c r="J48" s="1576" t="s">
        <v>3177</v>
      </c>
      <c r="K48" s="1577" t="s">
        <v>1436</v>
      </c>
      <c r="L48" s="1578">
        <f ca="1">INDIRECT("'数据-取费表'!f"&amp;$G$1)</f>
        <v>39.46</v>
      </c>
      <c r="O48" s="1572" t="s">
        <v>1009</v>
      </c>
      <c r="P48" s="1573" t="s">
        <v>1437</v>
      </c>
      <c r="Q48" s="1574">
        <f ca="1">J60</f>
        <v>219012</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v>2013</v>
      </c>
      <c r="K49" s="1577" t="s">
        <v>1440</v>
      </c>
      <c r="L49" s="1581"/>
      <c r="O49" s="1582" t="s">
        <v>1010</v>
      </c>
      <c r="P49" s="1573" t="s">
        <v>1441</v>
      </c>
      <c r="Q49" s="1574">
        <f ca="1">C29</f>
        <v>9501364</v>
      </c>
      <c r="R49" s="1574" t="s">
        <v>1434</v>
      </c>
    </row>
    <row r="50" spans="1:18" s="1538" customFormat="1" ht="13.5" thickBot="1">
      <c r="A50" s="1107"/>
      <c r="B50" s="1110"/>
      <c r="C50" s="1111"/>
      <c r="D50" s="1084"/>
      <c r="E50" s="1187" t="s">
        <v>1311</v>
      </c>
      <c r="F50" s="1188">
        <f ca="1">F7</f>
        <v>1949.77</v>
      </c>
      <c r="H50" s="732"/>
      <c r="I50" s="1575" t="s">
        <v>1442</v>
      </c>
      <c r="J50" s="1583">
        <f>SUMPRODUCT((I63:I65=J47)*(J62:L62=J48)*(J63:L65))</f>
        <v>50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41</v>
      </c>
      <c r="K51" s="1588" t="s">
        <v>1446</v>
      </c>
      <c r="L51" s="1589">
        <f ca="1">ROUND(-PV(INDIRECT("'数据-取费表'!h"&amp;$G$1),J51,(C39-C13*C76),0),0)</f>
        <v>-1971495</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39.46</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6">
        <f ca="1">IF(M47="住宅",IF(D1="——",MAX(J51,L48),MAX(J51,L48-'数据-取费表'!B24)),IF(D1="——",MIN(J51,L48),MIN(J51,L48-'数据-取费表'!B24)))</f>
        <v>39.46</v>
      </c>
      <c r="K53" s="3477" t="s">
        <v>1453</v>
      </c>
      <c r="L53" s="3478"/>
      <c r="O53" s="1572" t="s">
        <v>1014</v>
      </c>
      <c r="P53" s="1573" t="s">
        <v>1454</v>
      </c>
      <c r="Q53" s="1574">
        <f ca="1">Q47+Q48</f>
        <v>11079450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3.1E-2</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7791118</v>
      </c>
      <c r="D56" s="1601"/>
      <c r="E56" s="1602"/>
      <c r="F56" s="1594"/>
      <c r="I56" s="1603" t="s">
        <v>1459</v>
      </c>
      <c r="J56" s="1604" t="s">
        <v>3137</v>
      </c>
      <c r="K56" s="1575" t="s">
        <v>1460</v>
      </c>
      <c r="L56" s="1578" t="str">
        <f ca="1">IF(L48&lt;J51,"——",L48-J51)</f>
        <v>——</v>
      </c>
      <c r="O56" s="1572" t="s">
        <v>1008</v>
      </c>
      <c r="P56" s="1573" t="s">
        <v>1433</v>
      </c>
      <c r="Q56" s="1574">
        <f ca="1">C40+J29</f>
        <v>10860438</v>
      </c>
      <c r="R56" s="1574" t="s">
        <v>1434</v>
      </c>
    </row>
    <row r="57" spans="1:18" s="1538" customFormat="1" ht="24.75" thickBot="1">
      <c r="A57" s="1605"/>
      <c r="B57" s="1081" t="s">
        <v>1383</v>
      </c>
      <c r="C57" s="244">
        <f ca="1">C29</f>
        <v>9501364</v>
      </c>
      <c r="D57" s="1606"/>
      <c r="E57" s="1607"/>
      <c r="F57" s="1608"/>
      <c r="I57" s="1609" t="s">
        <v>1461</v>
      </c>
      <c r="J57" s="1610">
        <f ca="1">IF(OR(M47="住宅",J51&lt;L48,J56="是"),"——",J51-L48)</f>
        <v>1.5399999999999991</v>
      </c>
      <c r="K57" s="1575" t="s">
        <v>1510</v>
      </c>
      <c r="L57" s="1578" t="str">
        <f ca="1">IF(L48&lt;J51,"——",IF(L55="比较法",L49,IF(L55="基准地价",L50,L51)))</f>
        <v>——</v>
      </c>
      <c r="O57" s="1572" t="s">
        <v>1009</v>
      </c>
      <c r="P57" s="1573" t="s">
        <v>1511</v>
      </c>
      <c r="Q57" s="1574">
        <f ca="1">L60</f>
        <v>0</v>
      </c>
      <c r="R57" s="1574" t="s">
        <v>1512</v>
      </c>
    </row>
    <row r="58" spans="1:18" s="1538" customFormat="1" ht="24.75" thickBot="1">
      <c r="A58" s="321" t="s">
        <v>998</v>
      </c>
      <c r="B58" s="1089" t="s">
        <v>1329</v>
      </c>
      <c r="C58" s="322">
        <f ca="1">ROUND(C59+C64+C65+C66,0)</f>
        <v>900920</v>
      </c>
      <c r="D58" s="1091" t="s">
        <v>1330</v>
      </c>
      <c r="E58" s="1092"/>
      <c r="F58" s="1093"/>
      <c r="I58" s="1609" t="s">
        <v>1465</v>
      </c>
      <c r="J58" s="1611">
        <f ca="1">IF(J55&lt;0.4,0.4,J55)</f>
        <v>0.4</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798115</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3800546</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f ca="1">IF(OR(M47="住宅",J51&lt;L48,J56="是"),"0",ROUND(J59/(1+J52)^J53,0))</f>
        <v>219012</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798115</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0</v>
      </c>
      <c r="I62" s="1616" t="s">
        <v>1475</v>
      </c>
      <c r="J62" s="1617" t="s">
        <v>1476</v>
      </c>
      <c r="K62" s="1617" t="s">
        <v>1477</v>
      </c>
      <c r="L62" s="1617" t="s">
        <v>1478</v>
      </c>
      <c r="M62" s="1618" t="s">
        <v>1479</v>
      </c>
      <c r="O62" s="1572" t="s">
        <v>1014</v>
      </c>
      <c r="P62" s="1573" t="s">
        <v>1480</v>
      </c>
      <c r="Q62" s="1574">
        <f ca="1">Q56+Q57</f>
        <v>10860438</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95014</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7791</v>
      </c>
      <c r="D65" s="1095" t="s">
        <v>1359</v>
      </c>
      <c r="E65" s="1081" t="s">
        <v>1360</v>
      </c>
      <c r="F65" s="336">
        <f t="shared" ca="1" si="0"/>
        <v>1E-3</v>
      </c>
      <c r="I65" s="1616" t="s">
        <v>1484</v>
      </c>
      <c r="J65" s="1617">
        <v>40</v>
      </c>
      <c r="K65" s="1617">
        <v>30</v>
      </c>
      <c r="L65" s="1617">
        <v>50</v>
      </c>
      <c r="M65" s="1619">
        <v>0.02</v>
      </c>
      <c r="O65" s="1572" t="s">
        <v>1008</v>
      </c>
      <c r="P65" s="1573" t="s">
        <v>1485</v>
      </c>
      <c r="Q65" s="1574">
        <f ca="1">C40+J29</f>
        <v>10860438</v>
      </c>
      <c r="R65" s="1574" t="s">
        <v>1434</v>
      </c>
    </row>
    <row r="66" spans="1:18" s="1538" customFormat="1" ht="16.5" thickBot="1">
      <c r="A66" s="1113" t="s">
        <v>1409</v>
      </c>
      <c r="B66" s="1081" t="s">
        <v>1344</v>
      </c>
      <c r="C66" s="24">
        <f ca="1">ROUND(C48*F66,0)</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-900920</v>
      </c>
      <c r="D67" s="1094" t="s">
        <v>1369</v>
      </c>
      <c r="E67" s="1099"/>
      <c r="F67" s="1100"/>
      <c r="O67" s="1582" t="s">
        <v>1010</v>
      </c>
      <c r="P67" s="1573" t="s">
        <v>1467</v>
      </c>
      <c r="Q67" s="1620">
        <f ca="1">L51</f>
        <v>-1971495</v>
      </c>
      <c r="R67" s="1574" t="s">
        <v>1487</v>
      </c>
    </row>
    <row r="68" spans="1:18" s="1538" customFormat="1" ht="16.5" thickBot="1">
      <c r="A68" s="1078" t="s">
        <v>1000</v>
      </c>
      <c r="B68" s="1079" t="s">
        <v>1390</v>
      </c>
      <c r="C68" s="307">
        <f ca="1">ROUND(C67*(1-((1+F70)/(1+F68))^F69)/(F68-F70),0)</f>
        <v>-20463177</v>
      </c>
      <c r="D68" s="1096" t="s">
        <v>1374</v>
      </c>
      <c r="E68" s="1081" t="s">
        <v>1375</v>
      </c>
      <c r="F68" s="318">
        <f ca="1">F40</f>
        <v>0.05</v>
      </c>
      <c r="O68" s="1582" t="s">
        <v>1011</v>
      </c>
      <c r="P68" s="1621" t="s">
        <v>1488</v>
      </c>
      <c r="Q68" s="1574">
        <f ca="1">ROUND(Q69-Q70*Q71,0)</f>
        <v>-106188</v>
      </c>
      <c r="R68" s="1574" t="s">
        <v>1019</v>
      </c>
    </row>
    <row r="69" spans="1:18" s="1538" customFormat="1" ht="13.5" thickBot="1">
      <c r="A69" s="1082"/>
      <c r="B69" s="1083"/>
      <c r="C69" s="312"/>
      <c r="D69" s="1101" t="s">
        <v>1378</v>
      </c>
      <c r="E69" s="1081" t="s">
        <v>1379</v>
      </c>
      <c r="F69" s="339">
        <f ca="1">F41</f>
        <v>39.46</v>
      </c>
      <c r="O69" s="1582" t="s">
        <v>1016</v>
      </c>
      <c r="P69" s="1621" t="s">
        <v>1489</v>
      </c>
      <c r="Q69" s="1574">
        <f ca="1">C39</f>
        <v>478146</v>
      </c>
      <c r="R69" s="1574" t="s">
        <v>1434</v>
      </c>
    </row>
    <row r="70" spans="1:18" s="1538" customFormat="1" ht="13.5" thickBot="1">
      <c r="A70" s="1085"/>
      <c r="B70" s="1086"/>
      <c r="C70" s="316"/>
      <c r="D70" s="1097"/>
      <c r="E70" s="1081" t="s">
        <v>1382</v>
      </c>
      <c r="F70" s="1185">
        <f ca="1">F42</f>
        <v>0.02</v>
      </c>
      <c r="O70" s="1582" t="s">
        <v>1017</v>
      </c>
      <c r="P70" s="1621" t="s">
        <v>1490</v>
      </c>
      <c r="Q70" s="1574">
        <f ca="1">C13</f>
        <v>7791118</v>
      </c>
      <c r="R70" s="1574" t="s">
        <v>1434</v>
      </c>
    </row>
    <row r="71" spans="1:18" s="1538" customFormat="1" ht="13.5" thickBot="1">
      <c r="A71" s="1102" t="s">
        <v>1001</v>
      </c>
      <c r="B71" s="1103" t="s">
        <v>1392</v>
      </c>
      <c r="C71" s="342">
        <f ca="1">ROUND(C68/F71,0)</f>
        <v>-10495</v>
      </c>
      <c r="D71" s="1104" t="s">
        <v>1393</v>
      </c>
      <c r="E71" s="1105" t="s">
        <v>1394</v>
      </c>
      <c r="F71" s="345">
        <f ca="1">F43</f>
        <v>1949.77</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584334</v>
      </c>
      <c r="D75" s="1538"/>
      <c r="E75" s="1538"/>
      <c r="F75" s="1538"/>
      <c r="K75" s="1556"/>
      <c r="L75" s="1538"/>
      <c r="O75" s="1572" t="s">
        <v>1014</v>
      </c>
      <c r="P75" s="1573" t="s">
        <v>1454</v>
      </c>
      <c r="Q75" s="1574">
        <f ca="1">Q65+Q66</f>
        <v>10860438</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-0.22199999999999998</v>
      </c>
    </row>
    <row r="80" spans="1:18">
      <c r="B80" s="346" t="s">
        <v>1416</v>
      </c>
      <c r="C80" s="280">
        <f ca="1">ROUND(C75/C39,3)</f>
        <v>1.222</v>
      </c>
    </row>
    <row r="81" spans="2:3">
      <c r="B81" s="276" t="s">
        <v>1417</v>
      </c>
      <c r="C81" s="244"/>
    </row>
    <row r="82" spans="2:3">
      <c r="B82" s="279" t="s">
        <v>1418</v>
      </c>
      <c r="C82" s="281">
        <f ca="1">1-C83</f>
        <v>0.28300000000000003</v>
      </c>
    </row>
    <row r="83" spans="2:3">
      <c r="B83" s="279" t="s">
        <v>1419</v>
      </c>
      <c r="C83" s="280">
        <f ca="1">ROUND(C13/C40,3)</f>
        <v>0.71699999999999997</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3112</v>
      </c>
      <c r="B1" s="3031"/>
      <c r="C1" s="3043"/>
      <c r="D1" s="3043"/>
      <c r="E1" s="3032"/>
      <c r="F1" s="3033"/>
      <c r="G1" s="3034"/>
      <c r="J1" s="3037" t="s">
        <v>2991</v>
      </c>
      <c r="K1" s="3038"/>
      <c r="L1" s="3038"/>
      <c r="M1" s="3038"/>
      <c r="N1" s="3038"/>
      <c r="O1" s="3038"/>
      <c r="P1" s="3038"/>
      <c r="Q1" s="3038"/>
      <c r="R1" s="3039"/>
      <c r="S1" s="3040"/>
      <c r="T1" s="3040"/>
      <c r="U1" s="3040"/>
    </row>
    <row r="2" spans="1:22" s="3052" customFormat="1" ht="13.15" customHeight="1">
      <c r="A2" s="1539" t="s">
        <v>2992</v>
      </c>
      <c r="B2" s="3042" t="e">
        <f>C40</f>
        <v>#DIV/0!</v>
      </c>
      <c r="C2" s="3043" t="s">
        <v>2993</v>
      </c>
      <c r="D2" s="3043"/>
      <c r="E2" s="3044"/>
      <c r="F2" s="3045"/>
      <c r="G2" s="3046"/>
      <c r="H2" s="3047"/>
      <c r="I2" s="3048"/>
      <c r="J2" s="3482" t="s">
        <v>2994</v>
      </c>
      <c r="K2" s="3483"/>
      <c r="L2" s="3049" t="s">
        <v>2995</v>
      </c>
      <c r="M2" s="3049" t="s">
        <v>2996</v>
      </c>
      <c r="N2" s="3049" t="s">
        <v>2997</v>
      </c>
      <c r="O2" s="3049" t="s">
        <v>2998</v>
      </c>
      <c r="P2" s="3049" t="s">
        <v>2999</v>
      </c>
      <c r="Q2" s="3050" t="s">
        <v>3000</v>
      </c>
      <c r="R2" s="3051" t="s">
        <v>3001</v>
      </c>
      <c r="S2" s="3040"/>
      <c r="T2" s="3040"/>
      <c r="U2" s="3040"/>
      <c r="V2" s="3048"/>
    </row>
    <row r="3" spans="1:22" s="3052" customFormat="1" ht="13.15" customHeight="1">
      <c r="A3" s="3053" t="s">
        <v>3002</v>
      </c>
      <c r="B3" s="3054" t="e">
        <f>ROUND(B2*10000/B4,0)</f>
        <v>#DIV/0!</v>
      </c>
      <c r="C3" s="3043" t="s">
        <v>3003</v>
      </c>
      <c r="D3" s="3043"/>
      <c r="E3" s="3044"/>
      <c r="F3" s="3045"/>
      <c r="G3" s="3046"/>
      <c r="H3" s="3047"/>
      <c r="I3" s="3048"/>
      <c r="J3" s="3484" t="s">
        <v>3004</v>
      </c>
      <c r="K3" s="3485"/>
      <c r="L3" s="3055"/>
      <c r="M3" s="3055"/>
      <c r="N3" s="3055"/>
      <c r="O3" s="3055"/>
      <c r="P3" s="3055"/>
      <c r="Q3" s="3056"/>
      <c r="R3" s="3057">
        <f>SUM(L3:Q3)</f>
        <v>0</v>
      </c>
      <c r="S3" s="3040"/>
      <c r="T3" s="3040"/>
      <c r="U3" s="3040"/>
      <c r="V3" s="3048"/>
    </row>
    <row r="4" spans="1:22" s="3052" customFormat="1" ht="13.15" customHeight="1">
      <c r="A4" s="3058" t="s">
        <v>3005</v>
      </c>
      <c r="B4" s="3059"/>
      <c r="C4" s="3043"/>
      <c r="D4" s="3043"/>
      <c r="E4" s="3044"/>
      <c r="F4" s="3045"/>
      <c r="G4" s="3046"/>
      <c r="H4" s="3047"/>
      <c r="I4" s="3048"/>
      <c r="J4" s="3484" t="s">
        <v>3006</v>
      </c>
      <c r="K4" s="3485"/>
      <c r="L4" s="3060"/>
      <c r="M4" s="3060"/>
      <c r="N4" s="3060"/>
      <c r="O4" s="3060"/>
      <c r="P4" s="3060"/>
      <c r="Q4" s="3061"/>
      <c r="R4" s="3062">
        <f>SUM(L4:Q4)</f>
        <v>0</v>
      </c>
      <c r="S4" s="3040"/>
      <c r="T4" s="3040"/>
      <c r="U4" s="3040"/>
      <c r="V4" s="3048"/>
    </row>
    <row r="5" spans="1:22" s="3052" customFormat="1" ht="13.15" customHeight="1" thickBot="1">
      <c r="A5" s="3063" t="s">
        <v>3007</v>
      </c>
      <c r="B5" s="3064"/>
      <c r="C5" s="3043"/>
      <c r="D5" s="3065"/>
      <c r="E5" s="3045"/>
      <c r="F5" s="3045"/>
      <c r="G5" s="3046"/>
      <c r="H5" s="3047"/>
      <c r="I5" s="3048"/>
      <c r="J5" s="3066" t="s">
        <v>3008</v>
      </c>
      <c r="K5" s="3067"/>
      <c r="L5" s="3067"/>
      <c r="M5" s="3068"/>
      <c r="N5" s="3068"/>
      <c r="O5" s="3068"/>
      <c r="P5" s="3068"/>
      <c r="Q5" s="3068"/>
      <c r="R5" s="3051">
        <f>SUM(R14,R19,R24,R25,R27,R28)</f>
        <v>0</v>
      </c>
      <c r="S5" s="3040"/>
      <c r="T5" s="3040" t="s">
        <v>3009</v>
      </c>
      <c r="U5" s="3040" t="e">
        <f>ROUND(R5*10000/365/R3,1)</f>
        <v>#DIV/0!</v>
      </c>
      <c r="V5" s="3048"/>
    </row>
    <row r="6" spans="1:22" s="3052" customFormat="1" ht="13.15" customHeight="1" thickBot="1">
      <c r="A6" s="3486" t="s">
        <v>3010</v>
      </c>
      <c r="B6" s="3487"/>
      <c r="C6" s="3488"/>
      <c r="D6" s="3069"/>
      <c r="E6" s="3070"/>
      <c r="F6" s="3071"/>
      <c r="G6" s="3072"/>
      <c r="H6" s="3047"/>
      <c r="I6" s="3048"/>
      <c r="J6" s="3489">
        <v>1</v>
      </c>
      <c r="K6" s="3490" t="s">
        <v>3011</v>
      </c>
      <c r="L6" s="3073" t="s">
        <v>3012</v>
      </c>
      <c r="M6" s="3074" t="s">
        <v>3013</v>
      </c>
      <c r="N6" s="3074" t="s">
        <v>3014</v>
      </c>
      <c r="O6" s="3074" t="s">
        <v>3015</v>
      </c>
      <c r="P6" s="3074" t="s">
        <v>3016</v>
      </c>
      <c r="Q6" s="3074" t="s">
        <v>3017</v>
      </c>
      <c r="R6" s="3057" t="s">
        <v>3018</v>
      </c>
      <c r="S6" s="3040"/>
      <c r="T6" s="3040" t="s">
        <v>3019</v>
      </c>
      <c r="U6" s="3040"/>
      <c r="V6" s="3048"/>
    </row>
    <row r="7" spans="1:22" s="3052" customFormat="1" ht="13.15" customHeight="1">
      <c r="A7" s="3075" t="s">
        <v>3020</v>
      </c>
      <c r="B7" s="3076"/>
      <c r="C7" s="3077"/>
      <c r="D7" s="3078">
        <f>SUM(D9,D10,D11,D17,0)</f>
        <v>0</v>
      </c>
      <c r="E7" s="3079" t="e">
        <f>E9+E10+E11+E17</f>
        <v>#DIV/0!</v>
      </c>
      <c r="F7" s="3080"/>
      <c r="G7" s="3081"/>
      <c r="H7" s="3047"/>
      <c r="I7" s="3048"/>
      <c r="J7" s="3489"/>
      <c r="K7" s="3491"/>
      <c r="L7" s="3082" t="s">
        <v>3021</v>
      </c>
      <c r="M7" s="3083"/>
      <c r="N7" s="3059"/>
      <c r="O7" s="3084"/>
      <c r="P7" s="3084"/>
      <c r="Q7" s="3085">
        <v>365</v>
      </c>
      <c r="R7" s="3086">
        <f>ROUND(M7*N7*O7*P7*Q7/10000,0)</f>
        <v>0</v>
      </c>
      <c r="S7" s="3040"/>
      <c r="T7" s="3040" t="s">
        <v>3022</v>
      </c>
      <c r="U7" s="3040"/>
      <c r="V7" s="3048"/>
    </row>
    <row r="8" spans="1:22" s="3052" customFormat="1" ht="13.15" customHeight="1">
      <c r="A8" s="3087" t="s">
        <v>3023</v>
      </c>
      <c r="B8" s="3493" t="s">
        <v>3024</v>
      </c>
      <c r="C8" s="3494"/>
      <c r="D8" s="3088" t="s">
        <v>3025</v>
      </c>
      <c r="E8" s="3089" t="s">
        <v>3026</v>
      </c>
      <c r="F8" s="3090" t="s">
        <v>3027</v>
      </c>
      <c r="G8" s="3091"/>
      <c r="H8" s="3047"/>
      <c r="I8" s="3048"/>
      <c r="J8" s="3489"/>
      <c r="K8" s="3491"/>
      <c r="L8" s="3082" t="s">
        <v>3028</v>
      </c>
      <c r="M8" s="3083"/>
      <c r="N8" s="3059"/>
      <c r="O8" s="3084"/>
      <c r="P8" s="3084"/>
      <c r="Q8" s="3085">
        <v>365</v>
      </c>
      <c r="R8" s="3086">
        <f t="shared" ref="R8:R13" si="0">ROUND(M8*N8*O8*P8*Q8/10000,0)</f>
        <v>0</v>
      </c>
      <c r="S8" s="3040"/>
      <c r="T8" s="3040" t="s">
        <v>3029</v>
      </c>
      <c r="U8" s="3040"/>
      <c r="V8" s="3048"/>
    </row>
    <row r="9" spans="1:22" s="3052" customFormat="1" ht="13.15" customHeight="1">
      <c r="A9" s="3087">
        <v>1</v>
      </c>
      <c r="B9" s="3493" t="s">
        <v>3030</v>
      </c>
      <c r="C9" s="3494"/>
      <c r="D9" s="3088">
        <f>ROUND(D6*E9,0)</f>
        <v>0</v>
      </c>
      <c r="E9" s="3092"/>
      <c r="F9" s="3093" t="s">
        <v>3031</v>
      </c>
      <c r="G9" s="3072"/>
      <c r="H9" s="3047"/>
      <c r="I9" s="3048"/>
      <c r="J9" s="3489"/>
      <c r="K9" s="3491"/>
      <c r="L9" s="3082" t="s">
        <v>3032</v>
      </c>
      <c r="M9" s="3083"/>
      <c r="N9" s="3059"/>
      <c r="O9" s="3084"/>
      <c r="P9" s="3084"/>
      <c r="Q9" s="3085">
        <v>365</v>
      </c>
      <c r="R9" s="3086">
        <f t="shared" si="0"/>
        <v>0</v>
      </c>
      <c r="S9" s="3040"/>
      <c r="T9" s="3040"/>
      <c r="U9" s="3040"/>
      <c r="V9" s="3048"/>
    </row>
    <row r="10" spans="1:22" s="3052" customFormat="1" ht="13.15" customHeight="1">
      <c r="A10" s="3087">
        <v>2</v>
      </c>
      <c r="B10" s="3493" t="s">
        <v>3033</v>
      </c>
      <c r="C10" s="3494"/>
      <c r="D10" s="3088">
        <f>ROUND(D6*E10,0)</f>
        <v>0</v>
      </c>
      <c r="E10" s="3092"/>
      <c r="F10" s="3093" t="s">
        <v>3034</v>
      </c>
      <c r="G10" s="3072"/>
      <c r="H10" s="3047"/>
      <c r="I10" s="3048"/>
      <c r="J10" s="3489"/>
      <c r="K10" s="3491"/>
      <c r="L10" s="3082" t="s">
        <v>3035</v>
      </c>
      <c r="M10" s="3083"/>
      <c r="N10" s="3059"/>
      <c r="O10" s="3084"/>
      <c r="P10" s="3084"/>
      <c r="Q10" s="3085">
        <v>365</v>
      </c>
      <c r="R10" s="3086">
        <f t="shared" si="0"/>
        <v>0</v>
      </c>
      <c r="S10" s="3040"/>
      <c r="T10" s="3040"/>
      <c r="U10" s="3040"/>
      <c r="V10" s="3048"/>
    </row>
    <row r="11" spans="1:22" s="3052" customFormat="1" ht="13.15" customHeight="1">
      <c r="A11" s="3087">
        <v>3</v>
      </c>
      <c r="B11" s="3493" t="s">
        <v>3036</v>
      </c>
      <c r="C11" s="3494"/>
      <c r="D11" s="3088">
        <f>D12+D14+D15+D16</f>
        <v>0</v>
      </c>
      <c r="E11" s="3094" t="e">
        <f>D11/D6</f>
        <v>#DIV/0!</v>
      </c>
      <c r="F11" s="3090"/>
      <c r="G11" s="3091"/>
      <c r="H11" s="3047"/>
      <c r="I11" s="3048"/>
      <c r="J11" s="3489"/>
      <c r="K11" s="3491"/>
      <c r="L11" s="3082" t="s">
        <v>3037</v>
      </c>
      <c r="M11" s="3083"/>
      <c r="N11" s="3059"/>
      <c r="O11" s="3084"/>
      <c r="P11" s="3084"/>
      <c r="Q11" s="3085">
        <v>365</v>
      </c>
      <c r="R11" s="3086">
        <f t="shared" si="0"/>
        <v>0</v>
      </c>
      <c r="S11" s="3040"/>
      <c r="T11" s="3040"/>
      <c r="U11" s="3040"/>
      <c r="V11" s="3048"/>
    </row>
    <row r="12" spans="1:22" s="3052" customFormat="1" ht="13.15" customHeight="1">
      <c r="A12" s="3095" t="s">
        <v>3038</v>
      </c>
      <c r="B12" s="3495" t="s">
        <v>3039</v>
      </c>
      <c r="C12" s="3496"/>
      <c r="D12" s="3096">
        <f>ROUND(D13*1.2%*(1-30%),0)</f>
        <v>0</v>
      </c>
      <c r="E12" s="3097">
        <v>1.2E-2</v>
      </c>
      <c r="F12" s="3090" t="s">
        <v>3040</v>
      </c>
      <c r="G12" s="3091"/>
      <c r="H12" s="3047"/>
      <c r="I12" s="3048"/>
      <c r="J12" s="3489"/>
      <c r="K12" s="3491"/>
      <c r="L12" s="3082" t="s">
        <v>3041</v>
      </c>
      <c r="M12" s="3083"/>
      <c r="N12" s="3059"/>
      <c r="O12" s="3084"/>
      <c r="P12" s="3084"/>
      <c r="Q12" s="3085">
        <v>365</v>
      </c>
      <c r="R12" s="3086">
        <f t="shared" si="0"/>
        <v>0</v>
      </c>
      <c r="S12" s="3040"/>
      <c r="T12" s="3040"/>
      <c r="U12" s="3040"/>
      <c r="V12" s="3048"/>
    </row>
    <row r="13" spans="1:22" s="3052" customFormat="1" ht="13.15" customHeight="1">
      <c r="A13" s="3095"/>
      <c r="B13" s="3098"/>
      <c r="C13" s="3099" t="s">
        <v>3042</v>
      </c>
      <c r="D13" s="3100"/>
      <c r="E13" s="3101"/>
      <c r="F13" s="3090"/>
      <c r="G13" s="3091"/>
      <c r="H13" s="3047"/>
      <c r="I13" s="3048"/>
      <c r="J13" s="3489"/>
      <c r="K13" s="3491"/>
      <c r="L13" s="3082" t="s">
        <v>3043</v>
      </c>
      <c r="M13" s="3083"/>
      <c r="N13" s="3059"/>
      <c r="O13" s="3084"/>
      <c r="P13" s="3084"/>
      <c r="Q13" s="3085">
        <v>365</v>
      </c>
      <c r="R13" s="3086">
        <f t="shared" si="0"/>
        <v>0</v>
      </c>
      <c r="S13" s="3040"/>
      <c r="T13" s="3040"/>
      <c r="U13" s="3040"/>
      <c r="V13" s="3048"/>
    </row>
    <row r="14" spans="1:22" s="3052" customFormat="1" ht="13.15" customHeight="1">
      <c r="A14" s="3095" t="s">
        <v>3044</v>
      </c>
      <c r="B14" s="3495" t="s">
        <v>3045</v>
      </c>
      <c r="C14" s="3496"/>
      <c r="D14" s="3096">
        <f>ROUND(E14*B5/10000,0)</f>
        <v>0</v>
      </c>
      <c r="E14" s="3085"/>
      <c r="F14" s="3090" t="s">
        <v>3046</v>
      </c>
      <c r="G14" s="3091"/>
      <c r="H14" s="3047"/>
      <c r="I14" s="3048"/>
      <c r="J14" s="3489"/>
      <c r="K14" s="3492"/>
      <c r="L14" s="3102" t="s">
        <v>3047</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3048</v>
      </c>
      <c r="B15" s="3495" t="s">
        <v>3049</v>
      </c>
      <c r="C15" s="3496"/>
      <c r="D15" s="3096">
        <f>ROUND(D6*E15,0)</f>
        <v>0</v>
      </c>
      <c r="E15" s="3097">
        <v>5.5E-2</v>
      </c>
      <c r="F15" s="3090" t="s">
        <v>3050</v>
      </c>
      <c r="G15" s="3072"/>
      <c r="H15" s="3047"/>
      <c r="I15" s="3048"/>
      <c r="J15" s="3489">
        <v>2</v>
      </c>
      <c r="K15" s="3490" t="s">
        <v>3051</v>
      </c>
      <c r="L15" s="3082" t="s">
        <v>3052</v>
      </c>
      <c r="M15" s="3083" t="s">
        <v>3053</v>
      </c>
      <c r="N15" s="3083" t="s">
        <v>3054</v>
      </c>
      <c r="O15" s="3084" t="s">
        <v>3055</v>
      </c>
      <c r="P15" s="3084" t="s">
        <v>3017</v>
      </c>
      <c r="Q15" s="3059" t="s">
        <v>3056</v>
      </c>
      <c r="R15" s="3106" t="s">
        <v>3018</v>
      </c>
      <c r="S15" s="3040"/>
      <c r="T15" s="3040"/>
      <c r="U15" s="3040"/>
      <c r="V15" s="3048"/>
    </row>
    <row r="16" spans="1:22" s="3052" customFormat="1" ht="13.15" customHeight="1">
      <c r="A16" s="3095" t="s">
        <v>3057</v>
      </c>
      <c r="B16" s="3495" t="s">
        <v>3058</v>
      </c>
      <c r="C16" s="3496"/>
      <c r="D16" s="3107">
        <f>D6*E16</f>
        <v>0</v>
      </c>
      <c r="E16" s="3108"/>
      <c r="F16" s="3093" t="s">
        <v>3059</v>
      </c>
      <c r="G16" s="3072"/>
      <c r="H16" s="3047"/>
      <c r="I16" s="3048"/>
      <c r="J16" s="3489"/>
      <c r="K16" s="3491"/>
      <c r="L16" s="3082" t="s">
        <v>3060</v>
      </c>
      <c r="M16" s="3083"/>
      <c r="N16" s="3083"/>
      <c r="O16" s="3084"/>
      <c r="P16" s="3085">
        <v>365</v>
      </c>
      <c r="Q16" s="3059"/>
      <c r="R16" s="3106">
        <f>ROUND(M16*N16*O16*P16/10000,0)</f>
        <v>0</v>
      </c>
      <c r="S16" s="3040"/>
      <c r="T16" s="3040"/>
      <c r="U16" s="3040"/>
      <c r="V16" s="3048"/>
    </row>
    <row r="17" spans="1:22" s="3052" customFormat="1" ht="13.15" customHeight="1" thickBot="1">
      <c r="A17" s="3109">
        <v>4</v>
      </c>
      <c r="B17" s="3497" t="s">
        <v>3061</v>
      </c>
      <c r="C17" s="3498"/>
      <c r="D17" s="3110">
        <f>ROUND(D6*E17,0)</f>
        <v>0</v>
      </c>
      <c r="E17" s="3111"/>
      <c r="F17" s="3112" t="s">
        <v>3062</v>
      </c>
      <c r="G17" s="3072"/>
      <c r="H17" s="3047"/>
      <c r="I17" s="3048"/>
      <c r="J17" s="3489"/>
      <c r="K17" s="3491"/>
      <c r="L17" s="3082" t="s">
        <v>3063</v>
      </c>
      <c r="M17" s="3083"/>
      <c r="N17" s="3083"/>
      <c r="O17" s="3084"/>
      <c r="P17" s="3085">
        <v>365</v>
      </c>
      <c r="Q17" s="3059"/>
      <c r="R17" s="3106">
        <f>ROUND(M17*N17*O17*P17/10000,0)</f>
        <v>0</v>
      </c>
      <c r="S17" s="3040"/>
      <c r="T17" s="3040"/>
      <c r="U17" s="3040"/>
      <c r="V17" s="3048"/>
    </row>
    <row r="18" spans="1:22" s="3052" customFormat="1" ht="13.15" customHeight="1" thickBot="1">
      <c r="A18" s="3075" t="s">
        <v>3064</v>
      </c>
      <c r="B18" s="3076"/>
      <c r="C18" s="3076"/>
      <c r="D18" s="3113">
        <f>ROUND(D6*E18,0)</f>
        <v>0</v>
      </c>
      <c r="E18" s="3114"/>
      <c r="F18" s="3115" t="s">
        <v>3065</v>
      </c>
      <c r="G18" s="3072"/>
      <c r="H18" s="3047"/>
      <c r="I18" s="3048"/>
      <c r="J18" s="3489"/>
      <c r="K18" s="3491"/>
      <c r="L18" s="3082" t="s">
        <v>3066</v>
      </c>
      <c r="M18" s="3083"/>
      <c r="N18" s="3083"/>
      <c r="O18" s="3084"/>
      <c r="P18" s="3085">
        <v>365</v>
      </c>
      <c r="Q18" s="3059"/>
      <c r="R18" s="3106">
        <f>ROUND(M18*N18*O18*P18/10000,0)</f>
        <v>0</v>
      </c>
      <c r="S18" s="3040"/>
      <c r="T18" s="3040"/>
      <c r="U18" s="3040"/>
      <c r="V18" s="3048"/>
    </row>
    <row r="19" spans="1:22" s="3052" customFormat="1" ht="13.15" customHeight="1" thickBot="1">
      <c r="A19" s="3116" t="s">
        <v>3067</v>
      </c>
      <c r="B19" s="3070"/>
      <c r="C19" s="3070"/>
      <c r="D19" s="3070"/>
      <c r="E19" s="3070"/>
      <c r="F19" s="3071"/>
      <c r="G19" s="3091"/>
      <c r="H19" s="3047"/>
      <c r="I19" s="3048"/>
      <c r="J19" s="3489"/>
      <c r="K19" s="3492"/>
      <c r="L19" s="3102" t="s">
        <v>3047</v>
      </c>
      <c r="M19" s="3103"/>
      <c r="N19" s="3103">
        <f>SUM(N16:N18)</f>
        <v>0</v>
      </c>
      <c r="O19" s="3104"/>
      <c r="P19" s="3117" t="s">
        <v>3111</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89">
        <v>3</v>
      </c>
      <c r="K20" s="3490" t="s">
        <v>3068</v>
      </c>
      <c r="L20" s="3082" t="s">
        <v>3069</v>
      </c>
      <c r="M20" s="3083" t="s">
        <v>3070</v>
      </c>
      <c r="N20" s="3120" t="s">
        <v>3071</v>
      </c>
      <c r="O20" s="3084" t="s">
        <v>3072</v>
      </c>
      <c r="P20" s="3085" t="s">
        <v>3073</v>
      </c>
      <c r="Q20" s="3059" t="s">
        <v>3074</v>
      </c>
      <c r="R20" s="3106" t="s">
        <v>3075</v>
      </c>
      <c r="S20" s="3121"/>
      <c r="T20" s="3121"/>
      <c r="U20" s="3121"/>
      <c r="V20" s="3048"/>
    </row>
    <row r="21" spans="1:22" s="3052" customFormat="1" ht="13.15" customHeight="1">
      <c r="A21" s="3075"/>
      <c r="B21" s="3076"/>
      <c r="C21" s="3122" t="s">
        <v>3076</v>
      </c>
      <c r="D21" s="3123" t="s">
        <v>3077</v>
      </c>
      <c r="E21" s="3124" t="s">
        <v>3078</v>
      </c>
      <c r="F21" s="3119"/>
      <c r="G21" s="3091"/>
      <c r="H21" s="3047"/>
      <c r="I21" s="3048"/>
      <c r="J21" s="3489"/>
      <c r="K21" s="3491"/>
      <c r="L21" s="3082" t="s">
        <v>3079</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3080</v>
      </c>
      <c r="D22" s="3127" t="s">
        <v>3081</v>
      </c>
      <c r="E22" s="3128" t="s">
        <v>3082</v>
      </c>
      <c r="F22" s="3119"/>
      <c r="G22" s="3129"/>
      <c r="H22" s="3047"/>
      <c r="I22" s="3048"/>
      <c r="J22" s="3489"/>
      <c r="K22" s="3491"/>
      <c r="L22" s="3082" t="s">
        <v>3083</v>
      </c>
      <c r="M22" s="3083"/>
      <c r="N22" s="3083"/>
      <c r="O22" s="3084"/>
      <c r="P22" s="3085">
        <v>365</v>
      </c>
      <c r="Q22" s="3059"/>
      <c r="R22" s="3125">
        <f>ROUND(M22*N22*O22*P22/10000,0)</f>
        <v>0</v>
      </c>
      <c r="S22" s="3121"/>
      <c r="T22" s="3121"/>
      <c r="U22" s="3121"/>
      <c r="V22" s="3048"/>
    </row>
    <row r="23" spans="1:22" s="3052" customFormat="1" ht="13.15" customHeight="1">
      <c r="A23" s="3130">
        <v>1</v>
      </c>
      <c r="B23" s="3131" t="s">
        <v>3084</v>
      </c>
      <c r="C23" s="3132">
        <f>D6</f>
        <v>0</v>
      </c>
      <c r="D23" s="3133">
        <f>C23*(1+D24)</f>
        <v>0</v>
      </c>
      <c r="E23" s="3134">
        <f>D23*(1+E24)</f>
        <v>0</v>
      </c>
      <c r="F23" s="3135"/>
      <c r="G23" s="3136"/>
      <c r="H23" s="3047"/>
      <c r="I23" s="3048"/>
      <c r="J23" s="3489"/>
      <c r="K23" s="3491"/>
      <c r="L23" s="3082" t="s">
        <v>3085</v>
      </c>
      <c r="M23" s="3083"/>
      <c r="N23" s="3083"/>
      <c r="O23" s="3084"/>
      <c r="P23" s="3085">
        <v>365</v>
      </c>
      <c r="Q23" s="3059"/>
      <c r="R23" s="3125">
        <f>ROUND(M23*N23*O23*P23/10000,0)</f>
        <v>0</v>
      </c>
      <c r="S23" s="3040"/>
      <c r="T23" s="3040"/>
      <c r="U23" s="3040"/>
      <c r="V23" s="3048"/>
    </row>
    <row r="24" spans="1:22" s="3052" customFormat="1" ht="13.15" customHeight="1">
      <c r="A24" s="3137"/>
      <c r="B24" s="3138" t="s">
        <v>3086</v>
      </c>
      <c r="C24" s="3139"/>
      <c r="D24" s="3140"/>
      <c r="E24" s="3141"/>
      <c r="F24" s="3142"/>
      <c r="G24" s="3136"/>
      <c r="H24" s="3047"/>
      <c r="I24" s="3048"/>
      <c r="J24" s="3489"/>
      <c r="K24" s="3492"/>
      <c r="L24" s="3102" t="s">
        <v>3047</v>
      </c>
      <c r="M24" s="3103">
        <f>SUM(M21:M23)</f>
        <v>0</v>
      </c>
      <c r="N24" s="3103"/>
      <c r="O24" s="3104"/>
      <c r="P24" s="3117" t="s">
        <v>3111</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3087</v>
      </c>
      <c r="L25" s="3145"/>
      <c r="M25" s="3145"/>
      <c r="N25" s="3145"/>
      <c r="O25" s="3145"/>
      <c r="P25" s="3146"/>
      <c r="Q25" s="3147">
        <v>0</v>
      </c>
      <c r="R25" s="3118">
        <f>ROUND(R14*Q25,0)</f>
        <v>0</v>
      </c>
      <c r="S25" s="3040"/>
      <c r="T25" s="3040"/>
      <c r="U25" s="3040"/>
      <c r="V25" s="3148"/>
    </row>
    <row r="26" spans="1:22" s="3149" customFormat="1" ht="13.15" customHeight="1">
      <c r="A26" s="3130">
        <v>2</v>
      </c>
      <c r="B26" s="3131" t="s">
        <v>3088</v>
      </c>
      <c r="C26" s="3132">
        <f>D7</f>
        <v>0</v>
      </c>
      <c r="D26" s="3133">
        <f>D23*D27</f>
        <v>0</v>
      </c>
      <c r="E26" s="3134">
        <f>E23*E27</f>
        <v>0</v>
      </c>
      <c r="F26" s="3135"/>
      <c r="G26" s="3136"/>
      <c r="H26" s="3047"/>
      <c r="I26" s="3048"/>
      <c r="J26" s="3499">
        <v>5</v>
      </c>
      <c r="K26" s="3150" t="s">
        <v>3089</v>
      </c>
      <c r="L26" s="3151"/>
      <c r="M26" s="3152"/>
      <c r="N26" s="3153" t="s">
        <v>3090</v>
      </c>
      <c r="O26" s="3153" t="s">
        <v>3091</v>
      </c>
      <c r="P26" s="3154" t="s">
        <v>3092</v>
      </c>
      <c r="Q26" s="3154" t="s">
        <v>3093</v>
      </c>
      <c r="R26" s="3057" t="s">
        <v>3018</v>
      </c>
      <c r="S26" s="3155"/>
      <c r="T26" s="3155"/>
      <c r="U26" s="3155"/>
      <c r="V26" s="3148"/>
    </row>
    <row r="27" spans="1:22" s="3052" customFormat="1" ht="13.15" customHeight="1">
      <c r="A27" s="3137"/>
      <c r="B27" s="3138" t="s">
        <v>3094</v>
      </c>
      <c r="C27" s="3156" t="e">
        <f>E7</f>
        <v>#DIV/0!</v>
      </c>
      <c r="D27" s="3140"/>
      <c r="E27" s="3141"/>
      <c r="F27" s="3142"/>
      <c r="G27" s="3136"/>
      <c r="H27" s="3157"/>
      <c r="I27" s="3148"/>
      <c r="J27" s="3500"/>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3095</v>
      </c>
      <c r="F28" s="3142"/>
      <c r="G28" s="3129"/>
      <c r="H28" s="3157"/>
      <c r="I28" s="3148"/>
      <c r="J28" s="3163">
        <v>6</v>
      </c>
      <c r="K28" s="3164" t="s">
        <v>3096</v>
      </c>
      <c r="L28" s="3165" t="s">
        <v>3097</v>
      </c>
      <c r="M28" s="3166"/>
      <c r="N28" s="3165" t="s">
        <v>3098</v>
      </c>
      <c r="O28" s="3167"/>
      <c r="P28" s="3165" t="s">
        <v>3099</v>
      </c>
      <c r="Q28" s="3168">
        <v>1.4999999999999999E-2</v>
      </c>
      <c r="R28" s="3169"/>
      <c r="S28" s="3121"/>
      <c r="T28" s="3121"/>
      <c r="U28" s="3121"/>
      <c r="V28" s="3148"/>
    </row>
    <row r="29" spans="1:22" s="3149" customFormat="1" ht="13.15" customHeight="1">
      <c r="A29" s="3130">
        <v>3</v>
      </c>
      <c r="B29" s="3131" t="s">
        <v>3100</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3094</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3101</v>
      </c>
      <c r="K31" s="3038"/>
      <c r="L31" s="3038"/>
      <c r="M31" s="3038"/>
      <c r="N31" s="3038"/>
      <c r="O31" s="3038"/>
      <c r="P31" s="3038"/>
      <c r="Q31" s="3038"/>
      <c r="R31" s="3039"/>
      <c r="S31" s="3121"/>
      <c r="T31" s="3040"/>
      <c r="U31" s="3040"/>
      <c r="V31" s="3148"/>
    </row>
    <row r="32" spans="1:22" s="3149" customFormat="1" ht="13.15" customHeight="1">
      <c r="A32" s="3130">
        <v>4</v>
      </c>
      <c r="B32" s="3131" t="s">
        <v>3102</v>
      </c>
      <c r="C32" s="3132">
        <f>C23-C26-C29</f>
        <v>0</v>
      </c>
      <c r="D32" s="3133">
        <f>D23-D26-D29</f>
        <v>0</v>
      </c>
      <c r="E32" s="3134">
        <f>E23-E26-E29</f>
        <v>0</v>
      </c>
      <c r="F32" s="3135"/>
      <c r="G32" s="3129"/>
      <c r="H32" s="3047"/>
      <c r="I32" s="3048"/>
      <c r="J32" s="3482" t="s">
        <v>2994</v>
      </c>
      <c r="K32" s="3483"/>
      <c r="L32" s="3049" t="s">
        <v>2995</v>
      </c>
      <c r="M32" s="3049" t="s">
        <v>2996</v>
      </c>
      <c r="N32" s="3049" t="s">
        <v>2997</v>
      </c>
      <c r="O32" s="3049" t="s">
        <v>2998</v>
      </c>
      <c r="P32" s="3049" t="s">
        <v>2999</v>
      </c>
      <c r="Q32" s="3050" t="s">
        <v>3000</v>
      </c>
      <c r="R32" s="3172" t="s">
        <v>3001</v>
      </c>
      <c r="S32" s="3121"/>
      <c r="T32" s="3040"/>
      <c r="U32" s="3040"/>
      <c r="V32" s="3148"/>
    </row>
    <row r="33" spans="1:23" s="3052" customFormat="1" ht="13.15" customHeight="1">
      <c r="A33" s="3130"/>
      <c r="B33" s="3131"/>
      <c r="C33" s="3132"/>
      <c r="D33" s="3173"/>
      <c r="E33" s="3174"/>
      <c r="F33" s="3135"/>
      <c r="G33" s="3129"/>
      <c r="H33" s="3157"/>
      <c r="I33" s="3148"/>
      <c r="J33" s="3484" t="s">
        <v>3004</v>
      </c>
      <c r="K33" s="3485"/>
      <c r="L33" s="3055"/>
      <c r="M33" s="3055"/>
      <c r="N33" s="3055"/>
      <c r="O33" s="3055"/>
      <c r="P33" s="3055"/>
      <c r="Q33" s="3056"/>
      <c r="R33" s="3175">
        <f>SUM(L33:Q33)</f>
        <v>0</v>
      </c>
      <c r="S33" s="3121"/>
      <c r="T33" s="3040"/>
      <c r="U33" s="3040"/>
      <c r="V33" s="3048"/>
    </row>
    <row r="34" spans="1:23" s="3052" customFormat="1" ht="13.15" customHeight="1">
      <c r="A34" s="3130">
        <v>5</v>
      </c>
      <c r="B34" s="3131" t="s">
        <v>3103</v>
      </c>
      <c r="C34" s="3176"/>
      <c r="D34" s="3177"/>
      <c r="E34" s="3178"/>
      <c r="F34" s="3135"/>
      <c r="G34" s="3129"/>
      <c r="H34" s="3157"/>
      <c r="I34" s="3148"/>
      <c r="J34" s="3484" t="s">
        <v>3006</v>
      </c>
      <c r="K34" s="3485"/>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3104</v>
      </c>
      <c r="C35" s="3180"/>
      <c r="D35" s="3181"/>
      <c r="E35" s="3182"/>
      <c r="F35" s="3135"/>
      <c r="G35" s="3183"/>
      <c r="H35" s="3047"/>
      <c r="I35" s="3148"/>
      <c r="J35" s="3066" t="s">
        <v>3008</v>
      </c>
      <c r="K35" s="3067"/>
      <c r="L35" s="3067"/>
      <c r="M35" s="3068"/>
      <c r="N35" s="3068"/>
      <c r="O35" s="3068"/>
      <c r="P35" s="3068"/>
      <c r="Q35" s="3068"/>
      <c r="R35" s="3184">
        <f>R40+R41+R43</f>
        <v>0</v>
      </c>
      <c r="S35" s="3121"/>
      <c r="T35" s="3040" t="s">
        <v>3009</v>
      </c>
      <c r="U35" s="3040"/>
      <c r="V35" s="3048"/>
    </row>
    <row r="36" spans="1:23" s="3052" customFormat="1" ht="13.15" customHeight="1" thickBot="1">
      <c r="A36" s="3130">
        <v>7</v>
      </c>
      <c r="B36" s="3185" t="s">
        <v>3105</v>
      </c>
      <c r="C36" s="3186"/>
      <c r="D36" s="3187"/>
      <c r="E36" s="3188"/>
      <c r="F36" s="3189">
        <f>C36+D36+E36</f>
        <v>0</v>
      </c>
      <c r="G36" s="3129"/>
      <c r="H36" s="3047"/>
      <c r="I36" s="3048"/>
      <c r="J36" s="3489">
        <v>1</v>
      </c>
      <c r="K36" s="3490" t="s">
        <v>3106</v>
      </c>
      <c r="L36" s="3073"/>
      <c r="M36" s="3074"/>
      <c r="N36" s="3074"/>
      <c r="O36" s="3074"/>
      <c r="P36" s="3074"/>
      <c r="Q36" s="3074"/>
      <c r="R36" s="3057" t="s">
        <v>3018</v>
      </c>
      <c r="S36" s="3121"/>
      <c r="T36" s="3040" t="s">
        <v>3019</v>
      </c>
      <c r="U36" s="3040"/>
      <c r="V36" s="3048"/>
    </row>
    <row r="37" spans="1:23" s="3052" customFormat="1" ht="13.15" customHeight="1">
      <c r="A37" s="3130"/>
      <c r="B37" s="3131"/>
      <c r="C37" s="3131"/>
      <c r="D37" s="3131"/>
      <c r="E37" s="3131"/>
      <c r="F37" s="3135"/>
      <c r="G37" s="3129"/>
      <c r="H37" s="3047"/>
      <c r="I37" s="3048"/>
      <c r="J37" s="3489"/>
      <c r="K37" s="3491"/>
      <c r="L37" s="3082"/>
      <c r="M37" s="3083"/>
      <c r="N37" s="3059"/>
      <c r="O37" s="3084"/>
      <c r="P37" s="3084"/>
      <c r="Q37" s="3085"/>
      <c r="R37" s="3086"/>
      <c r="S37" s="3121"/>
      <c r="T37" s="3040" t="s">
        <v>3022</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89"/>
      <c r="K38" s="3491"/>
      <c r="L38" s="3082"/>
      <c r="M38" s="3083"/>
      <c r="N38" s="3059"/>
      <c r="O38" s="3084"/>
      <c r="P38" s="3084"/>
      <c r="Q38" s="3085"/>
      <c r="R38" s="3086"/>
      <c r="S38" s="3121"/>
      <c r="T38" s="3040" t="s">
        <v>3029</v>
      </c>
      <c r="U38" s="3040"/>
      <c r="V38" s="3048"/>
    </row>
    <row r="39" spans="1:23" s="3052" customFormat="1" ht="13.15" customHeight="1">
      <c r="A39" s="3130">
        <v>9</v>
      </c>
      <c r="B39" s="3131" t="s">
        <v>3107</v>
      </c>
      <c r="C39" s="3096" t="e">
        <f>C38</f>
        <v>#DIV/0!</v>
      </c>
      <c r="D39" s="3131">
        <f>D38/(1+D34)^C36</f>
        <v>0</v>
      </c>
      <c r="E39" s="3131">
        <f>E38/(1+E34)^(C36+D36)</f>
        <v>0</v>
      </c>
      <c r="F39" s="3135"/>
      <c r="G39" s="3190"/>
      <c r="H39" s="3047"/>
      <c r="I39" s="3048"/>
      <c r="J39" s="3489"/>
      <c r="K39" s="3491"/>
      <c r="L39" s="3082"/>
      <c r="M39" s="3083"/>
      <c r="N39" s="3059"/>
      <c r="O39" s="3084"/>
      <c r="P39" s="3084"/>
      <c r="Q39" s="3085"/>
      <c r="R39" s="3086"/>
      <c r="S39" s="3121"/>
      <c r="T39" s="3040"/>
      <c r="U39" s="3040"/>
      <c r="V39" s="3048"/>
    </row>
    <row r="40" spans="1:23" s="3052" customFormat="1" ht="13.15" customHeight="1">
      <c r="A40" s="3191">
        <v>10</v>
      </c>
      <c r="B40" s="3131" t="s">
        <v>3108</v>
      </c>
      <c r="C40" s="3192" t="e">
        <f>C39+D39+E39</f>
        <v>#DIV/0!</v>
      </c>
      <c r="D40" s="3193"/>
      <c r="E40" s="3193"/>
      <c r="F40" s="3194"/>
      <c r="G40" s="3129"/>
      <c r="H40" s="3047"/>
      <c r="I40" s="3048"/>
      <c r="J40" s="3489"/>
      <c r="K40" s="3492"/>
      <c r="L40" s="3102" t="s">
        <v>3047</v>
      </c>
      <c r="M40" s="3103"/>
      <c r="N40" s="3103"/>
      <c r="O40" s="3104"/>
      <c r="P40" s="3104"/>
      <c r="Q40" s="3105"/>
      <c r="R40" s="3051">
        <f>SUM(R37:R39)</f>
        <v>0</v>
      </c>
      <c r="S40" s="3121"/>
      <c r="T40" s="3040"/>
      <c r="U40" s="3040"/>
      <c r="V40" s="3048"/>
    </row>
    <row r="41" spans="1:23" s="3052" customFormat="1" ht="13.15" customHeight="1" thickBot="1">
      <c r="A41" s="3195">
        <v>11</v>
      </c>
      <c r="B41" s="3196" t="s">
        <v>3109</v>
      </c>
      <c r="C41" s="3196" t="e">
        <f>ROUND(C40*10000/B4,0)</f>
        <v>#DIV/0!</v>
      </c>
      <c r="D41" s="3197"/>
      <c r="E41" s="3197"/>
      <c r="F41" s="3198"/>
      <c r="G41" s="3199"/>
      <c r="H41" s="3047"/>
      <c r="I41" s="3048"/>
      <c r="J41" s="3143">
        <v>2</v>
      </c>
      <c r="K41" s="3144" t="s">
        <v>3087</v>
      </c>
      <c r="L41" s="3145"/>
      <c r="M41" s="3145"/>
      <c r="N41" s="3145"/>
      <c r="O41" s="3145"/>
      <c r="P41" s="3146"/>
      <c r="Q41" s="3147"/>
      <c r="R41" s="3118">
        <f>ROUND(R40*Q41,0)</f>
        <v>0</v>
      </c>
      <c r="S41" s="3121"/>
      <c r="T41" s="3040"/>
      <c r="U41" s="3155"/>
      <c r="V41" s="3048"/>
    </row>
    <row r="42" spans="1:23" s="3052" customFormat="1" ht="13.15" customHeight="1">
      <c r="G42" s="3199"/>
      <c r="H42" s="3047"/>
      <c r="I42" s="3048"/>
      <c r="J42" s="3499">
        <v>3</v>
      </c>
      <c r="K42" s="3150" t="s">
        <v>3089</v>
      </c>
      <c r="L42" s="3151"/>
      <c r="M42" s="3152"/>
      <c r="N42" s="3153" t="s">
        <v>3090</v>
      </c>
      <c r="O42" s="3153" t="s">
        <v>3091</v>
      </c>
      <c r="P42" s="3154" t="s">
        <v>3092</v>
      </c>
      <c r="Q42" s="3154" t="s">
        <v>3093</v>
      </c>
      <c r="R42" s="3057" t="s">
        <v>3018</v>
      </c>
      <c r="S42" s="3155"/>
      <c r="T42" s="3155"/>
      <c r="U42" s="3040"/>
      <c r="V42" s="3048"/>
    </row>
    <row r="43" spans="1:23" ht="13.15" customHeight="1">
      <c r="A43" s="3052"/>
      <c r="B43" s="3052"/>
      <c r="C43" s="3052"/>
      <c r="D43" s="3052"/>
      <c r="E43" s="3052"/>
      <c r="F43" s="3052"/>
      <c r="I43" s="3035"/>
      <c r="J43" s="3500"/>
      <c r="K43" s="3158"/>
      <c r="L43" s="3159"/>
      <c r="M43" s="3160"/>
      <c r="N43" s="3083"/>
      <c r="O43" s="3083"/>
      <c r="P43" s="3083"/>
      <c r="Q43" s="3147"/>
      <c r="R43" s="3118">
        <f>ROUND(O43*N43*P43*(1-Q43)/10000,0)</f>
        <v>0</v>
      </c>
      <c r="S43" s="3121"/>
      <c r="T43" s="3040"/>
      <c r="V43" s="3201"/>
      <c r="W43" s="3202"/>
    </row>
    <row r="44" spans="1:23" ht="13.15" customHeight="1" thickBot="1">
      <c r="J44" s="3163">
        <v>6</v>
      </c>
      <c r="K44" s="3164" t="s">
        <v>3096</v>
      </c>
      <c r="L44" s="3203" t="s">
        <v>3097</v>
      </c>
      <c r="M44" s="3166"/>
      <c r="N44" s="3203" t="s">
        <v>3098</v>
      </c>
      <c r="O44" s="3166"/>
      <c r="P44" s="3203" t="s">
        <v>3099</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4"/>
      <c r="G1" s="1644"/>
      <c r="H1" s="1644"/>
      <c r="I1" s="1644"/>
      <c r="J1" s="1644"/>
      <c r="K1" s="1644"/>
      <c r="L1" s="1644"/>
      <c r="M1" s="1644"/>
      <c r="N1" s="1644"/>
      <c r="O1" s="1644"/>
      <c r="P1" s="1644"/>
      <c r="Q1" s="1644"/>
      <c r="R1" s="1644"/>
      <c r="S1" s="1644"/>
    </row>
    <row r="2" spans="1:22" ht="15.75">
      <c r="A2" s="2026" t="s">
        <v>2088</v>
      </c>
      <c r="B2" s="2027">
        <f ca="1">SUMIF(B6:B13,"&lt;&gt;#ref!",B6:B13)</f>
        <v>1108</v>
      </c>
      <c r="C2" s="2028" t="s">
        <v>2280</v>
      </c>
      <c r="D2" s="2029" t="s">
        <v>2281</v>
      </c>
      <c r="E2" s="2801">
        <f>SUM(E6:E13)</f>
        <v>1949.77</v>
      </c>
      <c r="F2" s="2904"/>
      <c r="G2" s="1644"/>
      <c r="H2" s="1644"/>
      <c r="I2" s="1644"/>
      <c r="J2" s="1644"/>
      <c r="K2" s="1644"/>
      <c r="L2" s="1644"/>
      <c r="M2" s="1644"/>
      <c r="N2" s="1644"/>
      <c r="O2" s="1644"/>
      <c r="P2" s="1644"/>
      <c r="Q2" s="1644"/>
      <c r="R2" s="1644"/>
      <c r="S2" s="1644"/>
    </row>
    <row r="3" spans="1:22" ht="15.75">
      <c r="A3" s="2026" t="s">
        <v>1300</v>
      </c>
      <c r="B3" s="2795">
        <f ca="1">ROUND(B2*10000/E2,0)</f>
        <v>5683</v>
      </c>
      <c r="C3" s="2028" t="s">
        <v>2288</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2282</v>
      </c>
      <c r="B5" s="3501" t="s">
        <v>2283</v>
      </c>
      <c r="C5" s="3502"/>
      <c r="D5" s="2905"/>
      <c r="E5" s="2030" t="s">
        <v>2284</v>
      </c>
      <c r="F5" s="2031" t="s">
        <v>2285</v>
      </c>
      <c r="G5" s="1644"/>
      <c r="H5" s="1644"/>
      <c r="I5" s="1644"/>
      <c r="J5" s="1644"/>
      <c r="K5" s="1644"/>
      <c r="L5" s="1644"/>
      <c r="M5" s="1644"/>
      <c r="N5" s="1644"/>
      <c r="O5" s="1644"/>
      <c r="P5" s="1644"/>
      <c r="Q5" s="1644"/>
      <c r="R5" s="1644"/>
      <c r="S5" s="1644"/>
    </row>
    <row r="6" spans="1:22">
      <c r="A6" s="2798" t="str">
        <f>'数据-取费表'!AN6</f>
        <v>收益法 (元)</v>
      </c>
      <c r="B6" s="2796">
        <f ca="1">IF(F6="是",'数据-取费表'!AO6,0)</f>
        <v>1108</v>
      </c>
      <c r="C6" s="2028" t="s">
        <v>2280</v>
      </c>
      <c r="D6" s="2906"/>
      <c r="E6" s="2800">
        <f>IF(OR(A6=0,F6="否"),0,'数据-取费表'!K6+'数据-取费表'!S6)</f>
        <v>1949.77</v>
      </c>
      <c r="F6" s="2032" t="s">
        <v>2286</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2280</v>
      </c>
      <c r="D7" s="2906"/>
      <c r="E7" s="2800">
        <f>IF(OR(A7=0,F7="否"),0,'数据-取费表'!K7+'数据-取费表'!S7)</f>
        <v>0</v>
      </c>
      <c r="F7" s="2032" t="s">
        <v>2286</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2280</v>
      </c>
      <c r="D8" s="2906"/>
      <c r="E8" s="2800">
        <f>IF(OR(A8=0,F8="否"),0,'数据-取费表'!K8+'数据-取费表'!S8)</f>
        <v>0</v>
      </c>
      <c r="F8" s="2032" t="s">
        <v>2286</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2280</v>
      </c>
      <c r="D9" s="2906"/>
      <c r="E9" s="2800">
        <f>IF(OR(A9=0,F9="否"),0,'数据-取费表'!K9+'数据-取费表'!S9)</f>
        <v>0</v>
      </c>
      <c r="F9" s="2032" t="s">
        <v>2286</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2280</v>
      </c>
      <c r="D10" s="2906"/>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2280</v>
      </c>
      <c r="D11" s="2906"/>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2280</v>
      </c>
      <c r="D12" s="2906"/>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7"/>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1949.77</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2296</v>
      </c>
      <c r="B4" s="362"/>
      <c r="C4" s="3425" t="s">
        <v>2297</v>
      </c>
      <c r="D4" s="3426"/>
      <c r="E4" s="3427" t="s">
        <v>2298</v>
      </c>
      <c r="F4" s="3428"/>
      <c r="G4" s="3425" t="s">
        <v>2299</v>
      </c>
      <c r="H4" s="3426"/>
      <c r="I4" s="3425" t="s">
        <v>2300</v>
      </c>
      <c r="J4" s="3426"/>
      <c r="K4" s="2045" t="s">
        <v>2301</v>
      </c>
      <c r="L4" s="2912"/>
      <c r="M4" s="2913"/>
      <c r="N4" s="2913"/>
      <c r="O4" s="2913"/>
      <c r="P4" s="3429" t="s">
        <v>2302</v>
      </c>
      <c r="Q4" s="3430"/>
      <c r="R4" s="3411" t="s">
        <v>2298</v>
      </c>
      <c r="S4" s="3412"/>
      <c r="T4" s="3411" t="s">
        <v>2299</v>
      </c>
      <c r="U4" s="3412"/>
      <c r="V4" s="3437" t="s">
        <v>2300</v>
      </c>
      <c r="W4" s="3437"/>
      <c r="X4" s="1509"/>
      <c r="Y4" s="3411" t="s">
        <v>2302</v>
      </c>
      <c r="Z4" s="3412"/>
      <c r="AA4" s="3406" t="s">
        <v>2298</v>
      </c>
      <c r="AB4" s="3406" t="s">
        <v>2299</v>
      </c>
      <c r="AC4" s="3406" t="s">
        <v>2300</v>
      </c>
    </row>
    <row r="5" spans="1:29" ht="15">
      <c r="A5" s="364"/>
      <c r="B5" s="365"/>
      <c r="C5" s="3417" t="s">
        <v>2303</v>
      </c>
      <c r="D5" s="3418"/>
      <c r="E5" s="3503" t="s">
        <v>2304</v>
      </c>
      <c r="F5" s="3416"/>
      <c r="G5" s="3417" t="s">
        <v>2305</v>
      </c>
      <c r="H5" s="3418"/>
      <c r="I5" s="3417" t="s">
        <v>2306</v>
      </c>
      <c r="J5" s="3418"/>
      <c r="K5" s="2046"/>
      <c r="L5" s="2912"/>
      <c r="M5" s="2913"/>
      <c r="N5" s="2913"/>
      <c r="O5" s="2913"/>
      <c r="P5" s="3431"/>
      <c r="Q5" s="3432"/>
      <c r="R5" s="3413"/>
      <c r="S5" s="3414"/>
      <c r="T5" s="3413"/>
      <c r="U5" s="3414"/>
      <c r="V5" s="3437"/>
      <c r="W5" s="3437"/>
      <c r="X5" s="1509"/>
      <c r="Y5" s="3413"/>
      <c r="Z5" s="3414"/>
      <c r="AA5" s="3407"/>
      <c r="AB5" s="3407"/>
      <c r="AC5" s="3407"/>
    </row>
    <row r="6" spans="1:29" ht="15.75" thickBot="1">
      <c r="A6" s="366"/>
      <c r="B6" s="367"/>
      <c r="C6" s="3419" t="s">
        <v>2307</v>
      </c>
      <c r="D6" s="3420"/>
      <c r="E6" s="3422" t="s">
        <v>2307</v>
      </c>
      <c r="F6" s="3423"/>
      <c r="G6" s="3419" t="s">
        <v>2307</v>
      </c>
      <c r="H6" s="3420"/>
      <c r="I6" s="3419" t="s">
        <v>2307</v>
      </c>
      <c r="J6" s="3420"/>
      <c r="K6" s="2046" t="s">
        <v>2308</v>
      </c>
      <c r="L6" s="2912"/>
      <c r="M6" s="2913"/>
      <c r="N6" s="2913"/>
      <c r="O6" s="2913"/>
      <c r="P6" s="3433"/>
      <c r="Q6" s="3434"/>
      <c r="R6" s="3413"/>
      <c r="S6" s="3414"/>
      <c r="T6" s="3435"/>
      <c r="U6" s="3436"/>
      <c r="V6" s="3437"/>
      <c r="W6" s="3437"/>
      <c r="X6" s="1509"/>
      <c r="Y6" s="3435"/>
      <c r="Z6" s="3436"/>
      <c r="AA6" s="3408"/>
      <c r="AB6" s="3408"/>
      <c r="AC6" s="3408"/>
    </row>
    <row r="7" spans="1:29" s="113" customFormat="1" ht="15.75" thickBot="1">
      <c r="A7" s="368" t="s">
        <v>2309</v>
      </c>
      <c r="B7" s="369"/>
      <c r="C7" s="370">
        <f>'数据-取费表'!B2</f>
        <v>44781</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09" t="s">
        <v>2310</v>
      </c>
      <c r="Q7" s="3438"/>
      <c r="R7" s="710" t="s">
        <v>23</v>
      </c>
      <c r="S7" s="711">
        <f t="shared" ref="S7:S15" si="0">F7</f>
        <v>0</v>
      </c>
      <c r="T7" s="710" t="s">
        <v>23</v>
      </c>
      <c r="U7" s="711">
        <f t="shared" ref="U7:U15" si="1">H7</f>
        <v>0</v>
      </c>
      <c r="V7" s="710" t="s">
        <v>23</v>
      </c>
      <c r="W7" s="711">
        <f t="shared" ref="W7:W15" si="2">J7</f>
        <v>0</v>
      </c>
      <c r="X7" s="712"/>
      <c r="Y7" s="3409" t="s">
        <v>2310</v>
      </c>
      <c r="Z7" s="3410"/>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09" t="s">
        <v>2313</v>
      </c>
      <c r="Q8" s="3410"/>
      <c r="R8" s="710" t="s">
        <v>23</v>
      </c>
      <c r="S8" s="711">
        <f t="shared" si="0"/>
        <v>0</v>
      </c>
      <c r="T8" s="710" t="s">
        <v>23</v>
      </c>
      <c r="U8" s="711">
        <f t="shared" si="1"/>
        <v>0</v>
      </c>
      <c r="V8" s="710" t="s">
        <v>23</v>
      </c>
      <c r="W8" s="711">
        <f t="shared" si="2"/>
        <v>0</v>
      </c>
      <c r="X8" s="712"/>
      <c r="Y8" s="3409" t="s">
        <v>2313</v>
      </c>
      <c r="Z8" s="3410"/>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504" t="s">
        <v>2316</v>
      </c>
      <c r="Q9" s="1497" t="str">
        <f t="shared" ref="Q9:Q15" si="6">B9</f>
        <v>用途</v>
      </c>
      <c r="R9" s="710" t="s">
        <v>17</v>
      </c>
      <c r="S9" s="711">
        <f t="shared" si="0"/>
        <v>100</v>
      </c>
      <c r="T9" s="710" t="s">
        <v>17</v>
      </c>
      <c r="U9" s="711">
        <f t="shared" si="1"/>
        <v>100</v>
      </c>
      <c r="V9" s="710" t="s">
        <v>17</v>
      </c>
      <c r="W9" s="711">
        <f t="shared" si="2"/>
        <v>100</v>
      </c>
      <c r="X9" s="712"/>
      <c r="Y9" s="338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504"/>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504"/>
      <c r="Q11" s="1497" t="str">
        <f t="shared" si="6"/>
        <v>容积率</v>
      </c>
      <c r="R11" s="710" t="s">
        <v>21</v>
      </c>
      <c r="S11" s="711" t="e">
        <f t="shared" si="0"/>
        <v>#N/A</v>
      </c>
      <c r="T11" s="710" t="s">
        <v>21</v>
      </c>
      <c r="U11" s="711" t="e">
        <f t="shared" si="1"/>
        <v>#N/A</v>
      </c>
      <c r="V11" s="710" t="s">
        <v>21</v>
      </c>
      <c r="W11" s="711" t="e">
        <f t="shared" si="2"/>
        <v>#N/A</v>
      </c>
      <c r="X11" s="712"/>
      <c r="Y11" s="3382"/>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504"/>
      <c r="Q12" s="1497">
        <f t="shared" si="6"/>
        <v>111</v>
      </c>
      <c r="R12" s="710" t="s">
        <v>21</v>
      </c>
      <c r="S12" s="711">
        <f t="shared" si="0"/>
        <v>100</v>
      </c>
      <c r="T12" s="710" t="s">
        <v>21</v>
      </c>
      <c r="U12" s="711">
        <f t="shared" si="1"/>
        <v>100</v>
      </c>
      <c r="V12" s="710" t="s">
        <v>21</v>
      </c>
      <c r="W12" s="711">
        <f t="shared" si="2"/>
        <v>100</v>
      </c>
      <c r="X12" s="712"/>
      <c r="Y12" s="338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504"/>
      <c r="Q13" s="1497">
        <f t="shared" si="6"/>
        <v>111</v>
      </c>
      <c r="R13" s="710" t="s">
        <v>21</v>
      </c>
      <c r="S13" s="711">
        <f t="shared" si="0"/>
        <v>100</v>
      </c>
      <c r="T13" s="710" t="s">
        <v>21</v>
      </c>
      <c r="U13" s="711">
        <f t="shared" si="1"/>
        <v>100</v>
      </c>
      <c r="V13" s="710" t="s">
        <v>21</v>
      </c>
      <c r="W13" s="711">
        <f t="shared" si="2"/>
        <v>100</v>
      </c>
      <c r="X13" s="712"/>
      <c r="Y13" s="3382"/>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504"/>
      <c r="Q14" s="1497">
        <f t="shared" si="6"/>
        <v>111</v>
      </c>
      <c r="R14" s="710" t="s">
        <v>21</v>
      </c>
      <c r="S14" s="711">
        <f t="shared" si="0"/>
        <v>100</v>
      </c>
      <c r="T14" s="710" t="s">
        <v>21</v>
      </c>
      <c r="U14" s="711">
        <f t="shared" si="1"/>
        <v>100</v>
      </c>
      <c r="V14" s="710" t="s">
        <v>21</v>
      </c>
      <c r="W14" s="711">
        <f t="shared" si="2"/>
        <v>100</v>
      </c>
      <c r="X14" s="712"/>
      <c r="Y14" s="3382"/>
      <c r="Z14" s="55">
        <f t="shared" si="7"/>
        <v>111</v>
      </c>
      <c r="AA14" s="713">
        <f t="shared" si="3"/>
        <v>1</v>
      </c>
      <c r="AB14" s="713">
        <f t="shared" si="4"/>
        <v>1</v>
      </c>
      <c r="AC14" s="713">
        <f t="shared" si="5"/>
        <v>1</v>
      </c>
    </row>
    <row r="15" spans="1:29" ht="15">
      <c r="A15" s="399" t="s">
        <v>2320</v>
      </c>
      <c r="B15" s="65" t="s">
        <v>1883</v>
      </c>
      <c r="C15" s="205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508" t="s">
        <v>2321</v>
      </c>
      <c r="Q15" s="1506" t="str">
        <f t="shared" si="6"/>
        <v>居住社区成熟度</v>
      </c>
      <c r="R15" s="714" t="s">
        <v>21</v>
      </c>
      <c r="S15" s="715">
        <f t="shared" si="0"/>
        <v>100</v>
      </c>
      <c r="T15" s="714" t="s">
        <v>21</v>
      </c>
      <c r="U15" s="715">
        <f t="shared" si="1"/>
        <v>100</v>
      </c>
      <c r="V15" s="714" t="s">
        <v>21</v>
      </c>
      <c r="W15" s="715">
        <f t="shared" si="2"/>
        <v>100</v>
      </c>
      <c r="X15" s="1509"/>
      <c r="Y15" s="3439"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509"/>
      <c r="Q16" s="1506"/>
      <c r="R16" s="714"/>
      <c r="S16" s="715"/>
      <c r="T16" s="714"/>
      <c r="U16" s="715"/>
      <c r="V16" s="714"/>
      <c r="W16" s="715"/>
      <c r="X16" s="1509"/>
      <c r="Y16" s="3440"/>
      <c r="Z16" s="1510"/>
      <c r="AA16" s="1507">
        <v>1</v>
      </c>
      <c r="AB16" s="1507">
        <v>1</v>
      </c>
      <c r="AC16" s="1507">
        <v>1</v>
      </c>
    </row>
    <row r="17" spans="1:29" ht="15">
      <c r="A17" s="387"/>
      <c r="B17" s="410" t="s">
        <v>1885</v>
      </c>
      <c r="C17" s="205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509"/>
      <c r="Q17" s="1506" t="str">
        <f>B17</f>
        <v>交通便捷度</v>
      </c>
      <c r="R17" s="714" t="s">
        <v>21</v>
      </c>
      <c r="S17" s="715">
        <f>F17</f>
        <v>100</v>
      </c>
      <c r="T17" s="714" t="s">
        <v>21</v>
      </c>
      <c r="U17" s="715">
        <f>H17</f>
        <v>100</v>
      </c>
      <c r="V17" s="714" t="s">
        <v>21</v>
      </c>
      <c r="W17" s="715">
        <f>J17</f>
        <v>100</v>
      </c>
      <c r="X17" s="1509"/>
      <c r="Y17" s="3440"/>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509"/>
      <c r="Q18" s="1506"/>
      <c r="R18" s="714"/>
      <c r="S18" s="715"/>
      <c r="T18" s="714"/>
      <c r="U18" s="715"/>
      <c r="V18" s="714"/>
      <c r="W18" s="715"/>
      <c r="X18" s="1509"/>
      <c r="Y18" s="3440"/>
      <c r="Z18" s="1510"/>
      <c r="AA18" s="1507">
        <v>1</v>
      </c>
      <c r="AB18" s="1507">
        <v>1</v>
      </c>
      <c r="AC18" s="1507">
        <v>1</v>
      </c>
    </row>
    <row r="19" spans="1:29" ht="15">
      <c r="A19" s="387"/>
      <c r="B19" s="410" t="s">
        <v>1884</v>
      </c>
      <c r="C19" s="205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509"/>
      <c r="Q19" s="1506" t="str">
        <f>B19</f>
        <v>公共配套设施</v>
      </c>
      <c r="R19" s="714" t="s">
        <v>21</v>
      </c>
      <c r="S19" s="715">
        <f>F19</f>
        <v>100</v>
      </c>
      <c r="T19" s="714" t="s">
        <v>21</v>
      </c>
      <c r="U19" s="715">
        <f>H19</f>
        <v>100</v>
      </c>
      <c r="V19" s="714" t="s">
        <v>21</v>
      </c>
      <c r="W19" s="715">
        <f>J19</f>
        <v>100</v>
      </c>
      <c r="X19" s="1509"/>
      <c r="Y19" s="3440"/>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509"/>
      <c r="Q20" s="1506"/>
      <c r="R20" s="714"/>
      <c r="S20" s="715"/>
      <c r="T20" s="714"/>
      <c r="U20" s="715"/>
      <c r="V20" s="714"/>
      <c r="W20" s="715"/>
      <c r="X20" s="1509"/>
      <c r="Y20" s="3440"/>
      <c r="Z20" s="1510"/>
      <c r="AA20" s="1507">
        <v>1</v>
      </c>
      <c r="AB20" s="1507">
        <v>1</v>
      </c>
      <c r="AC20" s="1507">
        <v>1</v>
      </c>
    </row>
    <row r="21" spans="1:29" ht="15">
      <c r="A21" s="387"/>
      <c r="B21" s="1265" t="s">
        <v>1886</v>
      </c>
      <c r="C21" s="205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509"/>
      <c r="Q21" s="1506" t="str">
        <f>B21</f>
        <v>基础设施水平</v>
      </c>
      <c r="R21" s="714" t="s">
        <v>17</v>
      </c>
      <c r="S21" s="715">
        <f>F21</f>
        <v>100</v>
      </c>
      <c r="T21" s="714" t="s">
        <v>17</v>
      </c>
      <c r="U21" s="715">
        <f>H21</f>
        <v>100</v>
      </c>
      <c r="V21" s="714" t="s">
        <v>17</v>
      </c>
      <c r="W21" s="715">
        <f>J21</f>
        <v>100</v>
      </c>
      <c r="X21" s="1509"/>
      <c r="Y21" s="344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509"/>
      <c r="Q22" s="1506"/>
      <c r="R22" s="714"/>
      <c r="S22" s="715"/>
      <c r="T22" s="714"/>
      <c r="U22" s="715"/>
      <c r="V22" s="714"/>
      <c r="W22" s="715"/>
      <c r="X22" s="1509"/>
      <c r="Y22" s="3440"/>
      <c r="Z22" s="1510"/>
      <c r="AA22" s="1507">
        <v>1</v>
      </c>
      <c r="AB22" s="1507">
        <v>1</v>
      </c>
      <c r="AC22" s="1507">
        <v>1</v>
      </c>
    </row>
    <row r="23" spans="1:29" ht="15">
      <c r="A23" s="387"/>
      <c r="B23" s="410" t="s">
        <v>1887</v>
      </c>
      <c r="C23" s="205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509"/>
      <c r="Q23" s="1506" t="str">
        <f>B23</f>
        <v>自然及人文环境</v>
      </c>
      <c r="R23" s="714" t="s">
        <v>21</v>
      </c>
      <c r="S23" s="715">
        <f>F23</f>
        <v>100</v>
      </c>
      <c r="T23" s="714" t="s">
        <v>21</v>
      </c>
      <c r="U23" s="715">
        <f>H23</f>
        <v>100</v>
      </c>
      <c r="V23" s="714" t="s">
        <v>21</v>
      </c>
      <c r="W23" s="715">
        <f>J23</f>
        <v>100</v>
      </c>
      <c r="X23" s="1509"/>
      <c r="Y23" s="3440"/>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509"/>
      <c r="Q24" s="1506"/>
      <c r="R24" s="714"/>
      <c r="S24" s="715"/>
      <c r="T24" s="714"/>
      <c r="U24" s="715"/>
      <c r="V24" s="714"/>
      <c r="W24" s="715"/>
      <c r="X24" s="1509"/>
      <c r="Y24" s="3440"/>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509"/>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40"/>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509"/>
      <c r="Q26" s="1506" t="str">
        <f t="shared" si="11"/>
        <v>朝向</v>
      </c>
      <c r="R26" s="714" t="s">
        <v>21</v>
      </c>
      <c r="S26" s="715">
        <f t="shared" si="12"/>
        <v>100</v>
      </c>
      <c r="T26" s="714" t="s">
        <v>21</v>
      </c>
      <c r="U26" s="715">
        <f t="shared" si="13"/>
        <v>100</v>
      </c>
      <c r="V26" s="714" t="s">
        <v>21</v>
      </c>
      <c r="W26" s="715">
        <f t="shared" si="14"/>
        <v>100</v>
      </c>
      <c r="X26" s="1509"/>
      <c r="Y26" s="3440"/>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509"/>
      <c r="Q27" s="1497">
        <f t="shared" si="11"/>
        <v>111</v>
      </c>
      <c r="R27" s="710" t="s">
        <v>21</v>
      </c>
      <c r="S27" s="711">
        <f t="shared" si="12"/>
        <v>100</v>
      </c>
      <c r="T27" s="710" t="s">
        <v>21</v>
      </c>
      <c r="U27" s="711">
        <f t="shared" si="13"/>
        <v>100</v>
      </c>
      <c r="V27" s="710" t="s">
        <v>21</v>
      </c>
      <c r="W27" s="711">
        <f t="shared" si="14"/>
        <v>100</v>
      </c>
      <c r="X27" s="712"/>
      <c r="Y27" s="3440"/>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509"/>
      <c r="Q28" s="1506">
        <f t="shared" si="11"/>
        <v>111</v>
      </c>
      <c r="R28" s="714" t="s">
        <v>21</v>
      </c>
      <c r="S28" s="715">
        <f t="shared" si="12"/>
        <v>100</v>
      </c>
      <c r="T28" s="714" t="s">
        <v>21</v>
      </c>
      <c r="U28" s="715">
        <f t="shared" si="13"/>
        <v>100</v>
      </c>
      <c r="V28" s="714" t="s">
        <v>21</v>
      </c>
      <c r="W28" s="715">
        <f t="shared" si="14"/>
        <v>100</v>
      </c>
      <c r="X28" s="1509"/>
      <c r="Y28" s="3440"/>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509"/>
      <c r="Q29" s="1506">
        <f t="shared" si="11"/>
        <v>111</v>
      </c>
      <c r="R29" s="714" t="s">
        <v>21</v>
      </c>
      <c r="S29" s="715">
        <f t="shared" si="12"/>
        <v>100</v>
      </c>
      <c r="T29" s="714" t="s">
        <v>21</v>
      </c>
      <c r="U29" s="715">
        <f t="shared" si="13"/>
        <v>100</v>
      </c>
      <c r="V29" s="714" t="s">
        <v>21</v>
      </c>
      <c r="W29" s="715">
        <f t="shared" si="14"/>
        <v>100</v>
      </c>
      <c r="X29" s="1509"/>
      <c r="Y29" s="3440"/>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509"/>
      <c r="Q30" s="1506">
        <f t="shared" si="11"/>
        <v>111</v>
      </c>
      <c r="R30" s="714" t="s">
        <v>21</v>
      </c>
      <c r="S30" s="715">
        <f t="shared" si="12"/>
        <v>100</v>
      </c>
      <c r="T30" s="714" t="s">
        <v>21</v>
      </c>
      <c r="U30" s="715">
        <f t="shared" si="13"/>
        <v>100</v>
      </c>
      <c r="V30" s="714" t="s">
        <v>21</v>
      </c>
      <c r="W30" s="715">
        <f t="shared" si="14"/>
        <v>100</v>
      </c>
      <c r="X30" s="1509"/>
      <c r="Y30" s="3440"/>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509"/>
      <c r="Q31" s="1506">
        <f t="shared" si="11"/>
        <v>111</v>
      </c>
      <c r="R31" s="714" t="s">
        <v>21</v>
      </c>
      <c r="S31" s="715">
        <f t="shared" si="12"/>
        <v>100</v>
      </c>
      <c r="T31" s="714" t="s">
        <v>21</v>
      </c>
      <c r="U31" s="715">
        <f t="shared" si="13"/>
        <v>100</v>
      </c>
      <c r="V31" s="714" t="s">
        <v>21</v>
      </c>
      <c r="W31" s="715">
        <f t="shared" si="14"/>
        <v>100</v>
      </c>
      <c r="X31" s="1509"/>
      <c r="Y31" s="3440"/>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505" t="s">
        <v>2326</v>
      </c>
      <c r="Q32" s="1506" t="str">
        <f t="shared" si="11"/>
        <v>建筑类型</v>
      </c>
      <c r="R32" s="714" t="s">
        <v>21</v>
      </c>
      <c r="S32" s="715">
        <f t="shared" si="12"/>
        <v>100</v>
      </c>
      <c r="T32" s="714" t="s">
        <v>21</v>
      </c>
      <c r="U32" s="715">
        <f t="shared" si="13"/>
        <v>100</v>
      </c>
      <c r="V32" s="714" t="s">
        <v>21</v>
      </c>
      <c r="W32" s="715">
        <f t="shared" si="14"/>
        <v>100</v>
      </c>
      <c r="X32" s="1509"/>
      <c r="Y32" s="3442"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506"/>
      <c r="Q33" s="716" t="str">
        <f t="shared" si="11"/>
        <v>项目建筑规模</v>
      </c>
      <c r="R33" s="717" t="s">
        <v>21</v>
      </c>
      <c r="S33" s="718" t="e">
        <f t="shared" si="12"/>
        <v>#N/A</v>
      </c>
      <c r="T33" s="717" t="s">
        <v>21</v>
      </c>
      <c r="U33" s="718" t="e">
        <f t="shared" si="13"/>
        <v>#N/A</v>
      </c>
      <c r="V33" s="717" t="s">
        <v>21</v>
      </c>
      <c r="W33" s="718" t="e">
        <f t="shared" si="14"/>
        <v>#N/A</v>
      </c>
      <c r="X33" s="719"/>
      <c r="Y33" s="3442"/>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506"/>
      <c r="Q34" s="1506" t="str">
        <f t="shared" si="11"/>
        <v>建筑结构</v>
      </c>
      <c r="R34" s="714" t="s">
        <v>21</v>
      </c>
      <c r="S34" s="715">
        <f t="shared" si="12"/>
        <v>100</v>
      </c>
      <c r="T34" s="714" t="s">
        <v>21</v>
      </c>
      <c r="U34" s="715">
        <f t="shared" si="13"/>
        <v>100</v>
      </c>
      <c r="V34" s="714" t="s">
        <v>21</v>
      </c>
      <c r="W34" s="715">
        <f t="shared" si="14"/>
        <v>100</v>
      </c>
      <c r="X34" s="1509"/>
      <c r="Y34" s="3442"/>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506"/>
      <c r="Q35" s="1506" t="str">
        <f t="shared" si="11"/>
        <v>建筑品质</v>
      </c>
      <c r="R35" s="714" t="s">
        <v>21</v>
      </c>
      <c r="S35" s="715">
        <f t="shared" si="12"/>
        <v>100</v>
      </c>
      <c r="T35" s="714" t="s">
        <v>21</v>
      </c>
      <c r="U35" s="715">
        <f t="shared" si="13"/>
        <v>100</v>
      </c>
      <c r="V35" s="714" t="s">
        <v>21</v>
      </c>
      <c r="W35" s="715">
        <f t="shared" si="14"/>
        <v>100</v>
      </c>
      <c r="X35" s="1509"/>
      <c r="Y35" s="3442"/>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506"/>
      <c r="Q36" s="1506" t="str">
        <f t="shared" si="11"/>
        <v>公共部分装修</v>
      </c>
      <c r="R36" s="714" t="s">
        <v>21</v>
      </c>
      <c r="S36" s="715">
        <f t="shared" si="12"/>
        <v>100</v>
      </c>
      <c r="T36" s="714" t="s">
        <v>21</v>
      </c>
      <c r="U36" s="715">
        <f t="shared" si="13"/>
        <v>100</v>
      </c>
      <c r="V36" s="714" t="s">
        <v>21</v>
      </c>
      <c r="W36" s="715">
        <f t="shared" si="14"/>
        <v>100</v>
      </c>
      <c r="X36" s="1509"/>
      <c r="Y36" s="3442"/>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506"/>
      <c r="Q37" s="1497" t="str">
        <f t="shared" si="11"/>
        <v>成新度</v>
      </c>
      <c r="R37" s="710" t="s">
        <v>21</v>
      </c>
      <c r="S37" s="711" t="e">
        <f t="shared" si="12"/>
        <v>#N/A</v>
      </c>
      <c r="T37" s="710" t="s">
        <v>21</v>
      </c>
      <c r="U37" s="711" t="e">
        <f t="shared" si="13"/>
        <v>#N/A</v>
      </c>
      <c r="V37" s="710" t="s">
        <v>21</v>
      </c>
      <c r="W37" s="711" t="e">
        <f t="shared" si="14"/>
        <v>#N/A</v>
      </c>
      <c r="X37" s="712"/>
      <c r="Y37" s="3442"/>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506" t="s">
        <v>2326</v>
      </c>
      <c r="Q38" s="1506" t="str">
        <f t="shared" si="11"/>
        <v>物业管理</v>
      </c>
      <c r="R38" s="714" t="s">
        <v>21</v>
      </c>
      <c r="S38" s="715">
        <f t="shared" si="12"/>
        <v>100</v>
      </c>
      <c r="T38" s="714" t="s">
        <v>21</v>
      </c>
      <c r="U38" s="715">
        <f t="shared" si="13"/>
        <v>100</v>
      </c>
      <c r="V38" s="714" t="s">
        <v>21</v>
      </c>
      <c r="W38" s="715">
        <f t="shared" si="14"/>
        <v>100</v>
      </c>
      <c r="X38" s="1509"/>
      <c r="Y38" s="3442"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506"/>
      <c r="Q39" s="1506" t="str">
        <f t="shared" si="11"/>
        <v>市政基础设施</v>
      </c>
      <c r="R39" s="714" t="s">
        <v>21</v>
      </c>
      <c r="S39" s="715">
        <f t="shared" si="12"/>
        <v>100</v>
      </c>
      <c r="T39" s="714" t="s">
        <v>21</v>
      </c>
      <c r="U39" s="715">
        <f t="shared" si="13"/>
        <v>100</v>
      </c>
      <c r="V39" s="714" t="s">
        <v>21</v>
      </c>
      <c r="W39" s="715">
        <f t="shared" si="14"/>
        <v>100</v>
      </c>
      <c r="X39" s="1509"/>
      <c r="Y39" s="3442"/>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506"/>
      <c r="Q40" s="1506" t="str">
        <f t="shared" si="11"/>
        <v>房型</v>
      </c>
      <c r="R40" s="714" t="s">
        <v>21</v>
      </c>
      <c r="S40" s="715">
        <f t="shared" si="12"/>
        <v>100</v>
      </c>
      <c r="T40" s="714" t="s">
        <v>21</v>
      </c>
      <c r="U40" s="715">
        <f t="shared" si="13"/>
        <v>100</v>
      </c>
      <c r="V40" s="714" t="s">
        <v>21</v>
      </c>
      <c r="W40" s="715">
        <f t="shared" si="14"/>
        <v>100</v>
      </c>
      <c r="X40" s="1509"/>
      <c r="Y40" s="3442"/>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506"/>
      <c r="Q41" s="716" t="str">
        <f t="shared" si="11"/>
        <v>单套/主力户型建筑面积</v>
      </c>
      <c r="R41" s="717" t="s">
        <v>21</v>
      </c>
      <c r="S41" s="718">
        <f t="shared" si="12"/>
        <v>100</v>
      </c>
      <c r="T41" s="717" t="s">
        <v>21</v>
      </c>
      <c r="U41" s="718">
        <f t="shared" si="13"/>
        <v>100</v>
      </c>
      <c r="V41" s="717" t="s">
        <v>21</v>
      </c>
      <c r="W41" s="718">
        <f t="shared" si="14"/>
        <v>100</v>
      </c>
      <c r="X41" s="719"/>
      <c r="Y41" s="3442"/>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506"/>
      <c r="Q42" s="1506" t="str">
        <f t="shared" si="11"/>
        <v>内部装修</v>
      </c>
      <c r="R42" s="714" t="s">
        <v>21</v>
      </c>
      <c r="S42" s="715">
        <f t="shared" si="12"/>
        <v>100</v>
      </c>
      <c r="T42" s="714" t="s">
        <v>21</v>
      </c>
      <c r="U42" s="715">
        <f t="shared" si="13"/>
        <v>100</v>
      </c>
      <c r="V42" s="714" t="s">
        <v>21</v>
      </c>
      <c r="W42" s="715">
        <f t="shared" si="14"/>
        <v>100</v>
      </c>
      <c r="X42" s="1509"/>
      <c r="Y42" s="3442"/>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506"/>
      <c r="Q43" s="1506" t="str">
        <f t="shared" si="11"/>
        <v>内部装修维护情况</v>
      </c>
      <c r="R43" s="714" t="s">
        <v>21</v>
      </c>
      <c r="S43" s="715">
        <f t="shared" si="12"/>
        <v>100</v>
      </c>
      <c r="T43" s="714" t="s">
        <v>21</v>
      </c>
      <c r="U43" s="715">
        <f t="shared" si="13"/>
        <v>100</v>
      </c>
      <c r="V43" s="714" t="s">
        <v>21</v>
      </c>
      <c r="W43" s="715">
        <f t="shared" si="14"/>
        <v>100</v>
      </c>
      <c r="X43" s="1509"/>
      <c r="Y43" s="3442"/>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506"/>
      <c r="Q44" s="1497">
        <f t="shared" si="11"/>
        <v>111</v>
      </c>
      <c r="R44" s="710" t="s">
        <v>21</v>
      </c>
      <c r="S44" s="711">
        <f t="shared" si="12"/>
        <v>100</v>
      </c>
      <c r="T44" s="710" t="s">
        <v>21</v>
      </c>
      <c r="U44" s="711">
        <f t="shared" si="13"/>
        <v>100</v>
      </c>
      <c r="V44" s="710" t="s">
        <v>21</v>
      </c>
      <c r="W44" s="711">
        <f t="shared" si="14"/>
        <v>100</v>
      </c>
      <c r="X44" s="712"/>
      <c r="Y44" s="344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506"/>
      <c r="Q45" s="1506">
        <f t="shared" si="11"/>
        <v>111</v>
      </c>
      <c r="R45" s="714" t="s">
        <v>21</v>
      </c>
      <c r="S45" s="715">
        <f t="shared" si="12"/>
        <v>100</v>
      </c>
      <c r="T45" s="714" t="s">
        <v>21</v>
      </c>
      <c r="U45" s="715">
        <f t="shared" si="13"/>
        <v>100</v>
      </c>
      <c r="V45" s="714" t="s">
        <v>21</v>
      </c>
      <c r="W45" s="715">
        <f t="shared" si="14"/>
        <v>100</v>
      </c>
      <c r="X45" s="1509"/>
      <c r="Y45" s="3442"/>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507"/>
      <c r="Q46" s="1506">
        <f t="shared" si="11"/>
        <v>111</v>
      </c>
      <c r="R46" s="714" t="s">
        <v>20</v>
      </c>
      <c r="S46" s="715">
        <f t="shared" si="12"/>
        <v>100</v>
      </c>
      <c r="T46" s="714" t="s">
        <v>20</v>
      </c>
      <c r="U46" s="715">
        <f t="shared" si="13"/>
        <v>100</v>
      </c>
      <c r="V46" s="714" t="s">
        <v>20</v>
      </c>
      <c r="W46" s="715">
        <f t="shared" si="14"/>
        <v>100</v>
      </c>
      <c r="X46" s="1509"/>
      <c r="Y46" s="3443"/>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1"/>
      <c r="M47" s="2922"/>
      <c r="N47" s="2913"/>
      <c r="O47" s="2922"/>
      <c r="P47" s="3424" t="str">
        <f>A47</f>
        <v>成交单价（元/平方米）</v>
      </c>
      <c r="Q47" s="3424"/>
      <c r="R47" s="3444">
        <f>E47</f>
        <v>0</v>
      </c>
      <c r="S47" s="3444"/>
      <c r="T47" s="3444">
        <f>G47</f>
        <v>0</v>
      </c>
      <c r="U47" s="3444"/>
      <c r="V47" s="3444">
        <f>I47</f>
        <v>0</v>
      </c>
      <c r="W47" s="3444"/>
      <c r="X47" s="699"/>
      <c r="Y47" s="721"/>
      <c r="Z47" s="699"/>
      <c r="AA47" s="699"/>
      <c r="AB47" s="699"/>
      <c r="AC47" s="699"/>
    </row>
    <row r="48" spans="1:29" ht="15.75" thickBot="1">
      <c r="A48" s="445" t="s">
        <v>2339</v>
      </c>
      <c r="B48" s="446"/>
      <c r="C48" s="1294" t="e">
        <f>R49</f>
        <v>#DIV/0!</v>
      </c>
      <c r="D48" s="2508" t="s">
        <v>2819</v>
      </c>
      <c r="E48" s="1295" t="e">
        <f>R48</f>
        <v>#DIV/0!</v>
      </c>
      <c r="F48" s="2509"/>
      <c r="G48" s="1294" t="e">
        <f>T48</f>
        <v>#DIV/0!</v>
      </c>
      <c r="H48" s="2509"/>
      <c r="I48" s="1295" t="e">
        <f>V48</f>
        <v>#DIV/0!</v>
      </c>
      <c r="J48" s="2509"/>
      <c r="K48" s="2510">
        <f>F48+H48+J48</f>
        <v>0</v>
      </c>
      <c r="L48" s="2921"/>
      <c r="M48" s="2922"/>
      <c r="N48" s="2922"/>
      <c r="O48" s="2922"/>
      <c r="P48" s="3424" t="str">
        <f>A48</f>
        <v>比较价值（元/平方米）</v>
      </c>
      <c r="Q48" s="3424"/>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1"/>
      <c r="M49" s="2922"/>
      <c r="N49" s="2922"/>
      <c r="O49" s="2922"/>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2022-8</v>
      </c>
      <c r="D58" s="1319">
        <f>EDATE(C58,-1)</f>
        <v>44743</v>
      </c>
      <c r="E58" s="1319">
        <f>EDATE(D58,-1)</f>
        <v>44713</v>
      </c>
      <c r="F58" s="1319">
        <f t="shared" ref="F58:O58" si="19">EDATE(E58,-1)</f>
        <v>44682</v>
      </c>
      <c r="G58" s="1319">
        <f t="shared" si="19"/>
        <v>44652</v>
      </c>
      <c r="H58" s="1319">
        <f t="shared" si="19"/>
        <v>44621</v>
      </c>
      <c r="I58" s="1319">
        <f t="shared" si="19"/>
        <v>44593</v>
      </c>
      <c r="J58" s="1319">
        <f t="shared" si="19"/>
        <v>44562</v>
      </c>
      <c r="K58" s="1319">
        <f t="shared" si="19"/>
        <v>44531</v>
      </c>
      <c r="L58" s="1319">
        <f t="shared" si="19"/>
        <v>44501</v>
      </c>
      <c r="M58" s="1319">
        <f t="shared" si="19"/>
        <v>44470</v>
      </c>
      <c r="N58" s="1319">
        <f t="shared" si="19"/>
        <v>44440</v>
      </c>
      <c r="O58" s="1319">
        <f t="shared" si="19"/>
        <v>44409</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估价对象为北京市房地产，为所有。根据，估价对象（分摊）出让国有建设用地使用权面积为0平方米，建筑面积为1949.77平方米。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估价对象为北京市房地产,为开发建设的，该项目尚在开发建设中。根据，估价对象（分摊）出让国有建设用地使用权面积为0平方米，规划建筑面积为1949.77平方米。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2022年8月8日（评估专业人员实地查勘之日）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1949.77</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2406</v>
      </c>
      <c r="B4" s="362"/>
      <c r="C4" s="3425" t="s">
        <v>2407</v>
      </c>
      <c r="D4" s="3426"/>
      <c r="E4" s="3427" t="s">
        <v>2408</v>
      </c>
      <c r="F4" s="3428"/>
      <c r="G4" s="3425" t="s">
        <v>2409</v>
      </c>
      <c r="H4" s="3426"/>
      <c r="I4" s="3425" t="s">
        <v>2410</v>
      </c>
      <c r="J4" s="3426"/>
      <c r="K4" s="567" t="s">
        <v>2411</v>
      </c>
      <c r="L4" s="2912"/>
      <c r="M4" s="2913"/>
      <c r="N4" s="2913"/>
      <c r="O4" s="2913"/>
      <c r="P4" s="3429" t="s">
        <v>2412</v>
      </c>
      <c r="Q4" s="3430"/>
      <c r="R4" s="3411" t="s">
        <v>2408</v>
      </c>
      <c r="S4" s="3412"/>
      <c r="T4" s="3411" t="s">
        <v>2409</v>
      </c>
      <c r="U4" s="3412"/>
      <c r="V4" s="3437" t="s">
        <v>2410</v>
      </c>
      <c r="W4" s="3437"/>
      <c r="X4" s="1509"/>
      <c r="Y4" s="3411" t="s">
        <v>2412</v>
      </c>
      <c r="Z4" s="3412"/>
      <c r="AA4" s="3406" t="s">
        <v>2408</v>
      </c>
      <c r="AB4" s="3437" t="s">
        <v>2409</v>
      </c>
      <c r="AC4" s="3406" t="s">
        <v>2410</v>
      </c>
    </row>
    <row r="5" spans="1:29" ht="15">
      <c r="A5" s="364"/>
      <c r="B5" s="365"/>
      <c r="C5" s="3417" t="s">
        <v>2303</v>
      </c>
      <c r="D5" s="3418"/>
      <c r="E5" s="3503" t="s">
        <v>2304</v>
      </c>
      <c r="F5" s="3416"/>
      <c r="G5" s="3417" t="s">
        <v>2305</v>
      </c>
      <c r="H5" s="3418"/>
      <c r="I5" s="3417" t="s">
        <v>2306</v>
      </c>
      <c r="J5" s="3418"/>
      <c r="K5" s="567"/>
      <c r="L5" s="2912"/>
      <c r="M5" s="2913"/>
      <c r="N5" s="2913"/>
      <c r="O5" s="2913"/>
      <c r="P5" s="3431"/>
      <c r="Q5" s="3432"/>
      <c r="R5" s="3413"/>
      <c r="S5" s="3414"/>
      <c r="T5" s="3413"/>
      <c r="U5" s="3414"/>
      <c r="V5" s="3437"/>
      <c r="W5" s="3437"/>
      <c r="X5" s="1509"/>
      <c r="Y5" s="3413"/>
      <c r="Z5" s="3414"/>
      <c r="AA5" s="3407"/>
      <c r="AB5" s="3437"/>
      <c r="AC5" s="3407"/>
    </row>
    <row r="6" spans="1:29" ht="15.75" thickBot="1">
      <c r="A6" s="366"/>
      <c r="B6" s="367"/>
      <c r="C6" s="3419" t="s">
        <v>2307</v>
      </c>
      <c r="D6" s="3420"/>
      <c r="E6" s="3422" t="s">
        <v>2307</v>
      </c>
      <c r="F6" s="3423"/>
      <c r="G6" s="3419" t="s">
        <v>2307</v>
      </c>
      <c r="H6" s="3420"/>
      <c r="I6" s="3419" t="s">
        <v>2307</v>
      </c>
      <c r="J6" s="3420"/>
      <c r="K6" s="567" t="s">
        <v>2308</v>
      </c>
      <c r="L6" s="2912"/>
      <c r="M6" s="2913"/>
      <c r="N6" s="2913"/>
      <c r="O6" s="2913"/>
      <c r="P6" s="3433"/>
      <c r="Q6" s="3434"/>
      <c r="R6" s="3413"/>
      <c r="S6" s="3414"/>
      <c r="T6" s="3435"/>
      <c r="U6" s="3436"/>
      <c r="V6" s="3437"/>
      <c r="W6" s="3437"/>
      <c r="X6" s="1509"/>
      <c r="Y6" s="3435"/>
      <c r="Z6" s="3436"/>
      <c r="AA6" s="3408"/>
      <c r="AB6" s="3437"/>
      <c r="AC6" s="3408"/>
    </row>
    <row r="7" spans="1:29" s="113" customFormat="1" ht="15.75" thickBot="1">
      <c r="A7" s="368" t="s">
        <v>2309</v>
      </c>
      <c r="B7" s="369"/>
      <c r="C7" s="370">
        <f>'数据-取费表'!B2</f>
        <v>44781</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09" t="s">
        <v>2310</v>
      </c>
      <c r="Q7" s="3438"/>
      <c r="R7" s="710" t="s">
        <v>17</v>
      </c>
      <c r="S7" s="711">
        <f t="shared" ref="S7:S15" si="0">F7</f>
        <v>0</v>
      </c>
      <c r="T7" s="710" t="s">
        <v>17</v>
      </c>
      <c r="U7" s="711">
        <f t="shared" ref="U7:U15" si="1">H7</f>
        <v>0</v>
      </c>
      <c r="V7" s="710" t="s">
        <v>17</v>
      </c>
      <c r="W7" s="711">
        <f t="shared" ref="W7:W15" si="2">J7</f>
        <v>0</v>
      </c>
      <c r="X7" s="712"/>
      <c r="Y7" s="3409" t="s">
        <v>2310</v>
      </c>
      <c r="Z7" s="3410"/>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09" t="s">
        <v>2313</v>
      </c>
      <c r="Q8" s="3410"/>
      <c r="R8" s="710" t="s">
        <v>17</v>
      </c>
      <c r="S8" s="711">
        <f t="shared" si="0"/>
        <v>0</v>
      </c>
      <c r="T8" s="710" t="s">
        <v>17</v>
      </c>
      <c r="U8" s="711">
        <f t="shared" si="1"/>
        <v>0</v>
      </c>
      <c r="V8" s="710" t="s">
        <v>17</v>
      </c>
      <c r="W8" s="711">
        <f t="shared" si="2"/>
        <v>0</v>
      </c>
      <c r="X8" s="712"/>
      <c r="Y8" s="3409" t="s">
        <v>2313</v>
      </c>
      <c r="Z8" s="3410"/>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504" t="s">
        <v>2316</v>
      </c>
      <c r="Q9" s="1497" t="str">
        <f t="shared" ref="Q9:Q15" si="6">B9</f>
        <v>用途</v>
      </c>
      <c r="R9" s="710" t="s">
        <v>17</v>
      </c>
      <c r="S9" s="711">
        <f t="shared" si="0"/>
        <v>100</v>
      </c>
      <c r="T9" s="710" t="s">
        <v>17</v>
      </c>
      <c r="U9" s="711">
        <f t="shared" si="1"/>
        <v>100</v>
      </c>
      <c r="V9" s="710" t="s">
        <v>17</v>
      </c>
      <c r="W9" s="711">
        <f t="shared" si="2"/>
        <v>100</v>
      </c>
      <c r="X9" s="712"/>
      <c r="Y9" s="338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504"/>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504"/>
      <c r="Q11" s="1497" t="str">
        <f t="shared" si="6"/>
        <v>容积率</v>
      </c>
      <c r="R11" s="710" t="s">
        <v>17</v>
      </c>
      <c r="S11" s="711" t="e">
        <f t="shared" si="0"/>
        <v>#N/A</v>
      </c>
      <c r="T11" s="710" t="s">
        <v>17</v>
      </c>
      <c r="U11" s="711" t="e">
        <f t="shared" si="1"/>
        <v>#N/A</v>
      </c>
      <c r="V11" s="710" t="s">
        <v>17</v>
      </c>
      <c r="W11" s="711" t="e">
        <f t="shared" si="2"/>
        <v>#N/A</v>
      </c>
      <c r="X11" s="712"/>
      <c r="Y11" s="338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504"/>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504"/>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504"/>
      <c r="Q14" s="1497">
        <f t="shared" si="6"/>
        <v>111</v>
      </c>
      <c r="R14" s="710" t="s">
        <v>17</v>
      </c>
      <c r="S14" s="711">
        <f t="shared" si="0"/>
        <v>100</v>
      </c>
      <c r="T14" s="710" t="s">
        <v>17</v>
      </c>
      <c r="U14" s="711">
        <f t="shared" si="1"/>
        <v>100</v>
      </c>
      <c r="V14" s="710" t="s">
        <v>17</v>
      </c>
      <c r="W14" s="711">
        <f t="shared" si="2"/>
        <v>100</v>
      </c>
      <c r="X14" s="712"/>
      <c r="Y14" s="3382"/>
      <c r="Z14" s="55">
        <f t="shared" si="7"/>
        <v>111</v>
      </c>
      <c r="AA14" s="713">
        <f t="shared" si="3"/>
        <v>1</v>
      </c>
      <c r="AB14" s="713">
        <f t="shared" si="4"/>
        <v>1</v>
      </c>
      <c r="AC14" s="713">
        <f t="shared" si="5"/>
        <v>1</v>
      </c>
    </row>
    <row r="15" spans="1:29" ht="15">
      <c r="A15" s="399" t="s">
        <v>2320</v>
      </c>
      <c r="B15" s="65" t="s">
        <v>2414</v>
      </c>
      <c r="C15" s="205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508" t="s">
        <v>2321</v>
      </c>
      <c r="Q15" s="1506" t="str">
        <f t="shared" si="6"/>
        <v>商业繁华度</v>
      </c>
      <c r="R15" s="714" t="s">
        <v>17</v>
      </c>
      <c r="S15" s="715">
        <f t="shared" si="0"/>
        <v>100</v>
      </c>
      <c r="T15" s="714" t="s">
        <v>17</v>
      </c>
      <c r="U15" s="715">
        <f t="shared" si="1"/>
        <v>100</v>
      </c>
      <c r="V15" s="714" t="s">
        <v>17</v>
      </c>
      <c r="W15" s="715">
        <f t="shared" si="2"/>
        <v>100</v>
      </c>
      <c r="X15" s="1509"/>
      <c r="Y15" s="3439"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509"/>
      <c r="Q16" s="1506"/>
      <c r="R16" s="714"/>
      <c r="S16" s="715"/>
      <c r="T16" s="714"/>
      <c r="U16" s="715"/>
      <c r="V16" s="714"/>
      <c r="W16" s="715"/>
      <c r="X16" s="1509"/>
      <c r="Y16" s="3440"/>
      <c r="Z16" s="1510"/>
      <c r="AA16" s="1507">
        <v>1</v>
      </c>
      <c r="AB16" s="1507">
        <v>1</v>
      </c>
      <c r="AC16" s="1507">
        <v>1</v>
      </c>
    </row>
    <row r="17" spans="1:29" ht="15">
      <c r="A17" s="387"/>
      <c r="B17" s="410" t="s">
        <v>1885</v>
      </c>
      <c r="C17" s="205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509"/>
      <c r="Q17" s="1506" t="str">
        <f>B17</f>
        <v>交通便捷度</v>
      </c>
      <c r="R17" s="714" t="s">
        <v>17</v>
      </c>
      <c r="S17" s="715">
        <f>F17</f>
        <v>100</v>
      </c>
      <c r="T17" s="714" t="s">
        <v>17</v>
      </c>
      <c r="U17" s="715">
        <f>H17</f>
        <v>100</v>
      </c>
      <c r="V17" s="714" t="s">
        <v>17</v>
      </c>
      <c r="W17" s="715">
        <f>J17</f>
        <v>100</v>
      </c>
      <c r="X17" s="1509"/>
      <c r="Y17" s="3440"/>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509"/>
      <c r="Q18" s="1506"/>
      <c r="R18" s="714"/>
      <c r="S18" s="715"/>
      <c r="T18" s="714"/>
      <c r="U18" s="715"/>
      <c r="V18" s="714"/>
      <c r="W18" s="715"/>
      <c r="X18" s="1509"/>
      <c r="Y18" s="3440"/>
      <c r="Z18" s="1510"/>
      <c r="AA18" s="1507">
        <v>1</v>
      </c>
      <c r="AB18" s="1507">
        <v>1</v>
      </c>
      <c r="AC18" s="1507">
        <v>1</v>
      </c>
    </row>
    <row r="19" spans="1:29" ht="15">
      <c r="A19" s="387"/>
      <c r="B19" s="410" t="s">
        <v>2415</v>
      </c>
      <c r="C19" s="205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509"/>
      <c r="Q19" s="1506" t="str">
        <f>B19</f>
        <v>公共配套设施</v>
      </c>
      <c r="R19" s="714" t="s">
        <v>17</v>
      </c>
      <c r="S19" s="715">
        <f>F19</f>
        <v>100</v>
      </c>
      <c r="T19" s="714" t="s">
        <v>17</v>
      </c>
      <c r="U19" s="715">
        <f>H19</f>
        <v>100</v>
      </c>
      <c r="V19" s="714" t="s">
        <v>17</v>
      </c>
      <c r="W19" s="715">
        <f>J19</f>
        <v>100</v>
      </c>
      <c r="X19" s="1509"/>
      <c r="Y19" s="3440"/>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509"/>
      <c r="Q20" s="1506"/>
      <c r="R20" s="714"/>
      <c r="S20" s="715"/>
      <c r="T20" s="714"/>
      <c r="U20" s="715"/>
      <c r="V20" s="714"/>
      <c r="W20" s="715"/>
      <c r="X20" s="1509"/>
      <c r="Y20" s="3440"/>
      <c r="Z20" s="1510"/>
      <c r="AA20" s="1507">
        <v>1</v>
      </c>
      <c r="AB20" s="1507">
        <v>1</v>
      </c>
      <c r="AC20" s="1507">
        <v>1</v>
      </c>
    </row>
    <row r="21" spans="1:29" ht="15">
      <c r="A21" s="387"/>
      <c r="B21" s="1265" t="s">
        <v>2416</v>
      </c>
      <c r="C21" s="205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509"/>
      <c r="Q21" s="1506" t="str">
        <f>B21</f>
        <v>基础设施水平</v>
      </c>
      <c r="R21" s="714" t="s">
        <v>17</v>
      </c>
      <c r="S21" s="715">
        <f>F21</f>
        <v>100</v>
      </c>
      <c r="T21" s="714" t="s">
        <v>17</v>
      </c>
      <c r="U21" s="715">
        <f>H21</f>
        <v>100</v>
      </c>
      <c r="V21" s="714" t="s">
        <v>17</v>
      </c>
      <c r="W21" s="715">
        <f>J21</f>
        <v>100</v>
      </c>
      <c r="X21" s="1509"/>
      <c r="Y21" s="344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509"/>
      <c r="Q22" s="1506"/>
      <c r="R22" s="714"/>
      <c r="S22" s="715"/>
      <c r="T22" s="714"/>
      <c r="U22" s="715"/>
      <c r="V22" s="714"/>
      <c r="W22" s="715"/>
      <c r="X22" s="1509"/>
      <c r="Y22" s="3440"/>
      <c r="Z22" s="1510"/>
      <c r="AA22" s="1507">
        <v>1</v>
      </c>
      <c r="AB22" s="1507">
        <v>1</v>
      </c>
      <c r="AC22" s="1507">
        <v>1</v>
      </c>
    </row>
    <row r="23" spans="1:29" ht="15">
      <c r="A23" s="387"/>
      <c r="B23" s="410" t="s">
        <v>1887</v>
      </c>
      <c r="C23" s="211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509"/>
      <c r="Q23" s="1506" t="str">
        <f>B23</f>
        <v>自然及人文环境</v>
      </c>
      <c r="R23" s="714" t="s">
        <v>17</v>
      </c>
      <c r="S23" s="715">
        <f>F23</f>
        <v>100</v>
      </c>
      <c r="T23" s="714" t="s">
        <v>17</v>
      </c>
      <c r="U23" s="715">
        <f>H23</f>
        <v>100</v>
      </c>
      <c r="V23" s="714" t="s">
        <v>17</v>
      </c>
      <c r="W23" s="715">
        <f>J23</f>
        <v>100</v>
      </c>
      <c r="X23" s="1509"/>
      <c r="Y23" s="3440"/>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509"/>
      <c r="Q24" s="1506"/>
      <c r="R24" s="714"/>
      <c r="S24" s="715"/>
      <c r="T24" s="714"/>
      <c r="U24" s="715"/>
      <c r="V24" s="714"/>
      <c r="W24" s="715"/>
      <c r="X24" s="1509"/>
      <c r="Y24" s="3440"/>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509"/>
      <c r="Q25" s="1506" t="str">
        <f t="shared" ref="Q25:Q46" si="11">B25</f>
        <v>临街状况</v>
      </c>
      <c r="R25" s="714" t="s">
        <v>17</v>
      </c>
      <c r="S25" s="715">
        <f>F25</f>
        <v>100</v>
      </c>
      <c r="T25" s="714" t="s">
        <v>17</v>
      </c>
      <c r="U25" s="715">
        <f>H25</f>
        <v>100</v>
      </c>
      <c r="V25" s="714" t="s">
        <v>17</v>
      </c>
      <c r="W25" s="715">
        <f>J25</f>
        <v>100</v>
      </c>
      <c r="X25" s="1509"/>
      <c r="Y25" s="3440"/>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509"/>
      <c r="Q26" s="1506" t="str">
        <f t="shared" si="11"/>
        <v>平面位置/可视性</v>
      </c>
      <c r="R26" s="714" t="s">
        <v>17</v>
      </c>
      <c r="S26" s="715">
        <f>F26</f>
        <v>100</v>
      </c>
      <c r="T26" s="714" t="s">
        <v>17</v>
      </c>
      <c r="U26" s="715">
        <f>H26</f>
        <v>100</v>
      </c>
      <c r="V26" s="714" t="s">
        <v>17</v>
      </c>
      <c r="W26" s="715">
        <f>J26</f>
        <v>100</v>
      </c>
      <c r="X26" s="1509"/>
      <c r="Y26" s="3440"/>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509"/>
      <c r="Q27" s="1497" t="str">
        <f t="shared" si="11"/>
        <v>人流量</v>
      </c>
      <c r="R27" s="710" t="s">
        <v>17</v>
      </c>
      <c r="S27" s="711">
        <f>F27</f>
        <v>100</v>
      </c>
      <c r="T27" s="710" t="s">
        <v>17</v>
      </c>
      <c r="U27" s="711">
        <f>H27</f>
        <v>100</v>
      </c>
      <c r="V27" s="710" t="s">
        <v>17</v>
      </c>
      <c r="W27" s="711">
        <f>J27</f>
        <v>100</v>
      </c>
      <c r="X27" s="712"/>
      <c r="Y27" s="3440"/>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509"/>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40"/>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509"/>
      <c r="Q29" s="1506">
        <f t="shared" si="11"/>
        <v>111</v>
      </c>
      <c r="R29" s="714" t="s">
        <v>17</v>
      </c>
      <c r="S29" s="715">
        <f t="shared" si="12"/>
        <v>100</v>
      </c>
      <c r="T29" s="714" t="s">
        <v>17</v>
      </c>
      <c r="U29" s="715">
        <f t="shared" si="13"/>
        <v>100</v>
      </c>
      <c r="V29" s="714" t="s">
        <v>17</v>
      </c>
      <c r="W29" s="715">
        <f t="shared" si="14"/>
        <v>100</v>
      </c>
      <c r="X29" s="1509"/>
      <c r="Y29" s="3440"/>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509"/>
      <c r="Q30" s="1506">
        <f t="shared" si="11"/>
        <v>111</v>
      </c>
      <c r="R30" s="714" t="s">
        <v>17</v>
      </c>
      <c r="S30" s="715">
        <f t="shared" si="12"/>
        <v>100</v>
      </c>
      <c r="T30" s="714" t="s">
        <v>17</v>
      </c>
      <c r="U30" s="715">
        <f t="shared" si="13"/>
        <v>100</v>
      </c>
      <c r="V30" s="714" t="s">
        <v>17</v>
      </c>
      <c r="W30" s="715">
        <f t="shared" si="14"/>
        <v>100</v>
      </c>
      <c r="X30" s="1509"/>
      <c r="Y30" s="3440"/>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509"/>
      <c r="Q31" s="1506">
        <f t="shared" si="11"/>
        <v>111</v>
      </c>
      <c r="R31" s="714" t="s">
        <v>17</v>
      </c>
      <c r="S31" s="715">
        <f t="shared" si="12"/>
        <v>100</v>
      </c>
      <c r="T31" s="714" t="s">
        <v>17</v>
      </c>
      <c r="U31" s="715">
        <f t="shared" si="13"/>
        <v>100</v>
      </c>
      <c r="V31" s="714" t="s">
        <v>17</v>
      </c>
      <c r="W31" s="715">
        <f t="shared" si="14"/>
        <v>100</v>
      </c>
      <c r="X31" s="1509"/>
      <c r="Y31" s="3440"/>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505" t="s">
        <v>2326</v>
      </c>
      <c r="Q32" s="1506" t="str">
        <f t="shared" si="11"/>
        <v>商业类型</v>
      </c>
      <c r="R32" s="714" t="s">
        <v>17</v>
      </c>
      <c r="S32" s="715">
        <f t="shared" si="12"/>
        <v>100</v>
      </c>
      <c r="T32" s="714" t="s">
        <v>17</v>
      </c>
      <c r="U32" s="715">
        <f t="shared" si="13"/>
        <v>100</v>
      </c>
      <c r="V32" s="714" t="s">
        <v>17</v>
      </c>
      <c r="W32" s="715">
        <f t="shared" si="14"/>
        <v>100</v>
      </c>
      <c r="X32" s="1509"/>
      <c r="Y32" s="3442"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506"/>
      <c r="Q33" s="716" t="str">
        <f t="shared" si="11"/>
        <v>项目建筑规模</v>
      </c>
      <c r="R33" s="717" t="s">
        <v>17</v>
      </c>
      <c r="S33" s="718" t="e">
        <f t="shared" si="12"/>
        <v>#N/A</v>
      </c>
      <c r="T33" s="717" t="s">
        <v>17</v>
      </c>
      <c r="U33" s="718" t="e">
        <f t="shared" si="13"/>
        <v>#N/A</v>
      </c>
      <c r="V33" s="717" t="s">
        <v>17</v>
      </c>
      <c r="W33" s="718" t="e">
        <f t="shared" si="14"/>
        <v>#N/A</v>
      </c>
      <c r="X33" s="719"/>
      <c r="Y33" s="3442"/>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506"/>
      <c r="Q34" s="1506" t="str">
        <f t="shared" si="11"/>
        <v>建筑结构</v>
      </c>
      <c r="R34" s="714" t="s">
        <v>17</v>
      </c>
      <c r="S34" s="715">
        <f t="shared" si="12"/>
        <v>100</v>
      </c>
      <c r="T34" s="714" t="s">
        <v>17</v>
      </c>
      <c r="U34" s="715">
        <f t="shared" si="13"/>
        <v>100</v>
      </c>
      <c r="V34" s="714" t="s">
        <v>17</v>
      </c>
      <c r="W34" s="715">
        <f t="shared" si="14"/>
        <v>100</v>
      </c>
      <c r="X34" s="1509"/>
      <c r="Y34" s="3442"/>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506"/>
      <c r="Q35" s="1506" t="str">
        <f t="shared" si="11"/>
        <v>公共部分装修</v>
      </c>
      <c r="R35" s="714" t="s">
        <v>17</v>
      </c>
      <c r="S35" s="715">
        <f t="shared" si="12"/>
        <v>100</v>
      </c>
      <c r="T35" s="714" t="s">
        <v>17</v>
      </c>
      <c r="U35" s="715">
        <f t="shared" si="13"/>
        <v>100</v>
      </c>
      <c r="V35" s="714" t="s">
        <v>17</v>
      </c>
      <c r="W35" s="715">
        <f t="shared" si="14"/>
        <v>100</v>
      </c>
      <c r="X35" s="1509"/>
      <c r="Y35" s="3442"/>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506"/>
      <c r="Q36" s="1506" t="str">
        <f t="shared" si="11"/>
        <v>成新度</v>
      </c>
      <c r="R36" s="714" t="s">
        <v>17</v>
      </c>
      <c r="S36" s="715" t="e">
        <f t="shared" si="12"/>
        <v>#N/A</v>
      </c>
      <c r="T36" s="714" t="s">
        <v>17</v>
      </c>
      <c r="U36" s="715" t="e">
        <f t="shared" si="13"/>
        <v>#N/A</v>
      </c>
      <c r="V36" s="714" t="s">
        <v>17</v>
      </c>
      <c r="W36" s="715" t="e">
        <f t="shared" si="14"/>
        <v>#N/A</v>
      </c>
      <c r="X36" s="1509"/>
      <c r="Y36" s="3442"/>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506"/>
      <c r="Q37" s="1497" t="str">
        <f t="shared" si="11"/>
        <v>市政基础设施</v>
      </c>
      <c r="R37" s="710" t="s">
        <v>17</v>
      </c>
      <c r="S37" s="711">
        <f t="shared" si="12"/>
        <v>100</v>
      </c>
      <c r="T37" s="710" t="s">
        <v>17</v>
      </c>
      <c r="U37" s="711">
        <f t="shared" si="13"/>
        <v>100</v>
      </c>
      <c r="V37" s="710" t="s">
        <v>17</v>
      </c>
      <c r="W37" s="711">
        <f t="shared" si="14"/>
        <v>100</v>
      </c>
      <c r="X37" s="712"/>
      <c r="Y37" s="3442"/>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506" t="s">
        <v>2326</v>
      </c>
      <c r="Q38" s="1506" t="str">
        <f t="shared" si="11"/>
        <v>业态</v>
      </c>
      <c r="R38" s="714" t="s">
        <v>17</v>
      </c>
      <c r="S38" s="715">
        <f t="shared" si="12"/>
        <v>100</v>
      </c>
      <c r="T38" s="714" t="s">
        <v>17</v>
      </c>
      <c r="U38" s="715">
        <f t="shared" si="13"/>
        <v>100</v>
      </c>
      <c r="V38" s="714" t="s">
        <v>17</v>
      </c>
      <c r="W38" s="715">
        <f t="shared" si="14"/>
        <v>100</v>
      </c>
      <c r="X38" s="1509"/>
      <c r="Y38" s="3442"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506"/>
      <c r="Q39" s="1506" t="str">
        <f t="shared" si="11"/>
        <v>层高</v>
      </c>
      <c r="R39" s="714" t="s">
        <v>17</v>
      </c>
      <c r="S39" s="715">
        <f t="shared" si="12"/>
        <v>100</v>
      </c>
      <c r="T39" s="714" t="s">
        <v>17</v>
      </c>
      <c r="U39" s="715">
        <f t="shared" si="13"/>
        <v>100</v>
      </c>
      <c r="V39" s="714" t="s">
        <v>17</v>
      </c>
      <c r="W39" s="715">
        <f t="shared" si="14"/>
        <v>100</v>
      </c>
      <c r="X39" s="1509"/>
      <c r="Y39" s="3442"/>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506"/>
      <c r="Q40" s="1506" t="str">
        <f t="shared" si="11"/>
        <v>单套建筑面积</v>
      </c>
      <c r="R40" s="714" t="s">
        <v>17</v>
      </c>
      <c r="S40" s="715">
        <f t="shared" si="12"/>
        <v>100</v>
      </c>
      <c r="T40" s="714" t="s">
        <v>17</v>
      </c>
      <c r="U40" s="715">
        <f t="shared" si="13"/>
        <v>100</v>
      </c>
      <c r="V40" s="714" t="s">
        <v>17</v>
      </c>
      <c r="W40" s="715">
        <f t="shared" si="14"/>
        <v>100</v>
      </c>
      <c r="X40" s="1509"/>
      <c r="Y40" s="3442"/>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506"/>
      <c r="Q41" s="716" t="str">
        <f t="shared" si="11"/>
        <v>进深比</v>
      </c>
      <c r="R41" s="717" t="s">
        <v>17</v>
      </c>
      <c r="S41" s="718">
        <f t="shared" si="12"/>
        <v>100</v>
      </c>
      <c r="T41" s="717" t="s">
        <v>17</v>
      </c>
      <c r="U41" s="718">
        <f t="shared" si="13"/>
        <v>100</v>
      </c>
      <c r="V41" s="717" t="s">
        <v>17</v>
      </c>
      <c r="W41" s="718">
        <f t="shared" si="14"/>
        <v>100</v>
      </c>
      <c r="X41" s="719"/>
      <c r="Y41" s="3442"/>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506"/>
      <c r="Q42" s="1506" t="str">
        <f t="shared" si="11"/>
        <v>内部装修</v>
      </c>
      <c r="R42" s="714" t="s">
        <v>17</v>
      </c>
      <c r="S42" s="715">
        <f t="shared" si="12"/>
        <v>100</v>
      </c>
      <c r="T42" s="714" t="s">
        <v>17</v>
      </c>
      <c r="U42" s="715">
        <f t="shared" si="13"/>
        <v>100</v>
      </c>
      <c r="V42" s="714" t="s">
        <v>17</v>
      </c>
      <c r="W42" s="715">
        <f t="shared" si="14"/>
        <v>100</v>
      </c>
      <c r="X42" s="1509"/>
      <c r="Y42" s="3442"/>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506"/>
      <c r="Q43" s="1506" t="str">
        <f t="shared" si="11"/>
        <v>内部装修维护情况</v>
      </c>
      <c r="R43" s="714" t="s">
        <v>17</v>
      </c>
      <c r="S43" s="715">
        <f t="shared" si="12"/>
        <v>100</v>
      </c>
      <c r="T43" s="714" t="s">
        <v>17</v>
      </c>
      <c r="U43" s="715">
        <f t="shared" si="13"/>
        <v>100</v>
      </c>
      <c r="V43" s="714" t="s">
        <v>17</v>
      </c>
      <c r="W43" s="715">
        <f t="shared" si="14"/>
        <v>100</v>
      </c>
      <c r="X43" s="1509"/>
      <c r="Y43" s="3442"/>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506"/>
      <c r="Q44" s="1497">
        <f t="shared" si="11"/>
        <v>111</v>
      </c>
      <c r="R44" s="710" t="s">
        <v>17</v>
      </c>
      <c r="S44" s="711">
        <f t="shared" si="12"/>
        <v>100</v>
      </c>
      <c r="T44" s="710" t="s">
        <v>17</v>
      </c>
      <c r="U44" s="711">
        <f t="shared" si="13"/>
        <v>100</v>
      </c>
      <c r="V44" s="710" t="s">
        <v>17</v>
      </c>
      <c r="W44" s="711">
        <f t="shared" si="14"/>
        <v>100</v>
      </c>
      <c r="X44" s="712"/>
      <c r="Y44" s="344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506"/>
      <c r="Q45" s="1506">
        <f t="shared" si="11"/>
        <v>111</v>
      </c>
      <c r="R45" s="714" t="s">
        <v>17</v>
      </c>
      <c r="S45" s="715">
        <f t="shared" si="12"/>
        <v>100</v>
      </c>
      <c r="T45" s="714" t="s">
        <v>17</v>
      </c>
      <c r="U45" s="715">
        <f t="shared" si="13"/>
        <v>100</v>
      </c>
      <c r="V45" s="714" t="s">
        <v>17</v>
      </c>
      <c r="W45" s="715">
        <f t="shared" si="14"/>
        <v>100</v>
      </c>
      <c r="X45" s="1509"/>
      <c r="Y45" s="3442"/>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507"/>
      <c r="Q46" s="1506">
        <f t="shared" si="11"/>
        <v>111</v>
      </c>
      <c r="R46" s="714" t="s">
        <v>17</v>
      </c>
      <c r="S46" s="715">
        <f t="shared" si="12"/>
        <v>100</v>
      </c>
      <c r="T46" s="714" t="s">
        <v>17</v>
      </c>
      <c r="U46" s="715">
        <f t="shared" si="13"/>
        <v>100</v>
      </c>
      <c r="V46" s="714" t="s">
        <v>17</v>
      </c>
      <c r="W46" s="715">
        <f t="shared" si="14"/>
        <v>100</v>
      </c>
      <c r="X46" s="1509"/>
      <c r="Y46" s="3443"/>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1"/>
      <c r="M47" s="2922"/>
      <c r="N47" s="2913"/>
      <c r="O47" s="2922"/>
      <c r="P47" s="3424" t="str">
        <f>A47</f>
        <v>成交单价（元/平方米）</v>
      </c>
      <c r="Q47" s="3424"/>
      <c r="R47" s="3437">
        <f>E47</f>
        <v>0</v>
      </c>
      <c r="S47" s="3437"/>
      <c r="T47" s="3437">
        <f>G47</f>
        <v>0</v>
      </c>
      <c r="U47" s="3437"/>
      <c r="V47" s="3437">
        <f>I47</f>
        <v>0</v>
      </c>
      <c r="W47" s="3437"/>
      <c r="X47" s="699"/>
      <c r="Y47" s="721"/>
      <c r="Z47" s="699"/>
      <c r="AA47" s="699"/>
      <c r="AB47" s="699"/>
      <c r="AC47" s="699"/>
    </row>
    <row r="48" spans="1:29" ht="15.75" thickBot="1">
      <c r="A48" s="445" t="s">
        <v>2430</v>
      </c>
      <c r="B48" s="446"/>
      <c r="C48" s="1294" t="e">
        <f>R49</f>
        <v>#DIV/0!</v>
      </c>
      <c r="D48" s="2508" t="s">
        <v>2819</v>
      </c>
      <c r="E48" s="1295" t="e">
        <f>R48</f>
        <v>#DIV/0!</v>
      </c>
      <c r="F48" s="2509"/>
      <c r="G48" s="1294" t="e">
        <f>T48</f>
        <v>#DIV/0!</v>
      </c>
      <c r="H48" s="2509"/>
      <c r="I48" s="1295" t="e">
        <f>V48</f>
        <v>#DIV/0!</v>
      </c>
      <c r="J48" s="2509"/>
      <c r="K48" s="2511">
        <f>F48+H48+J48</f>
        <v>0</v>
      </c>
      <c r="L48" s="2921"/>
      <c r="M48" s="2922"/>
      <c r="N48" s="2913"/>
      <c r="O48" s="2922"/>
      <c r="P48" s="3424" t="str">
        <f>A48</f>
        <v>比较价值（元/平方米）</v>
      </c>
      <c r="Q48" s="3424"/>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1"/>
      <c r="M49" s="2922"/>
      <c r="N49" s="2913"/>
      <c r="O49" s="2922"/>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8" t="str">
        <f>YEAR(C7)&amp;"-"&amp;MONTH(C7)</f>
        <v>2022-8</v>
      </c>
      <c r="D58" s="1319">
        <f>EDATE(C58,-1)</f>
        <v>44743</v>
      </c>
      <c r="E58" s="1319">
        <f t="shared" ref="E58:N58" si="16">EDATE(D58,-1)</f>
        <v>44713</v>
      </c>
      <c r="F58" s="1319">
        <f t="shared" si="16"/>
        <v>44682</v>
      </c>
      <c r="G58" s="1319">
        <f t="shared" si="16"/>
        <v>44652</v>
      </c>
      <c r="H58" s="1319">
        <f t="shared" si="16"/>
        <v>44621</v>
      </c>
      <c r="I58" s="1319">
        <f t="shared" si="16"/>
        <v>44593</v>
      </c>
      <c r="J58" s="1319">
        <f t="shared" si="16"/>
        <v>44562</v>
      </c>
      <c r="K58" s="1319">
        <f t="shared" si="16"/>
        <v>44531</v>
      </c>
      <c r="L58" s="1319">
        <f t="shared" si="16"/>
        <v>44501</v>
      </c>
      <c r="M58" s="1319">
        <f t="shared" si="16"/>
        <v>44470</v>
      </c>
      <c r="N58" s="1319">
        <f t="shared" si="16"/>
        <v>44440</v>
      </c>
      <c r="O58" s="1319">
        <f>EDATE(N58,-1)</f>
        <v>44409</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1949.77</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25" t="s">
        <v>2407</v>
      </c>
      <c r="D4" s="3426"/>
      <c r="E4" s="3427" t="s">
        <v>2408</v>
      </c>
      <c r="F4" s="3428"/>
      <c r="G4" s="3425" t="s">
        <v>2409</v>
      </c>
      <c r="H4" s="3426"/>
      <c r="I4" s="3425" t="s">
        <v>2410</v>
      </c>
      <c r="J4" s="3426"/>
      <c r="K4" s="567" t="s">
        <v>2411</v>
      </c>
      <c r="L4" s="2912"/>
      <c r="M4" s="2913"/>
      <c r="N4" s="2913"/>
      <c r="O4" s="2913"/>
      <c r="P4" s="3516" t="s">
        <v>2412</v>
      </c>
      <c r="Q4" s="3517"/>
      <c r="R4" s="3511" t="s">
        <v>2408</v>
      </c>
      <c r="S4" s="3512"/>
      <c r="T4" s="3511" t="s">
        <v>2409</v>
      </c>
      <c r="U4" s="3512"/>
      <c r="V4" s="3520" t="s">
        <v>2410</v>
      </c>
      <c r="W4" s="3520"/>
      <c r="X4" s="2114"/>
      <c r="Y4" s="3511" t="s">
        <v>2412</v>
      </c>
      <c r="Z4" s="3512"/>
      <c r="AA4" s="3510" t="s">
        <v>2408</v>
      </c>
      <c r="AB4" s="3510" t="s">
        <v>2409</v>
      </c>
      <c r="AC4" s="3513" t="s">
        <v>2410</v>
      </c>
    </row>
    <row r="5" spans="1:29" ht="15">
      <c r="A5" s="364"/>
      <c r="B5" s="365"/>
      <c r="C5" s="3417" t="s">
        <v>2303</v>
      </c>
      <c r="D5" s="3418"/>
      <c r="E5" s="3503" t="s">
        <v>2304</v>
      </c>
      <c r="F5" s="3416"/>
      <c r="G5" s="3417" t="s">
        <v>2305</v>
      </c>
      <c r="H5" s="3418"/>
      <c r="I5" s="3417" t="s">
        <v>2306</v>
      </c>
      <c r="J5" s="3418"/>
      <c r="K5" s="567"/>
      <c r="L5" s="2912"/>
      <c r="M5" s="2913"/>
      <c r="N5" s="2913"/>
      <c r="O5" s="2913"/>
      <c r="P5" s="3518"/>
      <c r="Q5" s="3432"/>
      <c r="R5" s="3413"/>
      <c r="S5" s="3414"/>
      <c r="T5" s="3413"/>
      <c r="U5" s="3414"/>
      <c r="V5" s="3437"/>
      <c r="W5" s="3437"/>
      <c r="X5" s="1509"/>
      <c r="Y5" s="3413"/>
      <c r="Z5" s="3414"/>
      <c r="AA5" s="3407"/>
      <c r="AB5" s="3407"/>
      <c r="AC5" s="3514"/>
    </row>
    <row r="6" spans="1:29" ht="15.75" thickBot="1">
      <c r="A6" s="366"/>
      <c r="B6" s="367"/>
      <c r="C6" s="3419" t="s">
        <v>2307</v>
      </c>
      <c r="D6" s="3420"/>
      <c r="E6" s="3422" t="s">
        <v>2307</v>
      </c>
      <c r="F6" s="3423"/>
      <c r="G6" s="3419" t="s">
        <v>2307</v>
      </c>
      <c r="H6" s="3420"/>
      <c r="I6" s="3419" t="s">
        <v>2307</v>
      </c>
      <c r="J6" s="3420"/>
      <c r="K6" s="567" t="s">
        <v>2308</v>
      </c>
      <c r="L6" s="2912"/>
      <c r="M6" s="2913"/>
      <c r="N6" s="2913"/>
      <c r="O6" s="2913"/>
      <c r="P6" s="3519"/>
      <c r="Q6" s="3434"/>
      <c r="R6" s="3413"/>
      <c r="S6" s="3414"/>
      <c r="T6" s="3435"/>
      <c r="U6" s="3436"/>
      <c r="V6" s="3437"/>
      <c r="W6" s="3437"/>
      <c r="X6" s="1509"/>
      <c r="Y6" s="3435"/>
      <c r="Z6" s="3436"/>
      <c r="AA6" s="3408"/>
      <c r="AB6" s="3408"/>
      <c r="AC6" s="3515"/>
    </row>
    <row r="7" spans="1:29" s="113" customFormat="1" ht="15.75" thickBot="1">
      <c r="A7" s="368" t="s">
        <v>2309</v>
      </c>
      <c r="B7" s="369"/>
      <c r="C7" s="370">
        <f>'数据-取费表'!B2</f>
        <v>44781</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21" t="s">
        <v>2310</v>
      </c>
      <c r="Q7" s="3438"/>
      <c r="R7" s="710" t="s">
        <v>17</v>
      </c>
      <c r="S7" s="711">
        <f t="shared" ref="S7:S15" si="0">F7</f>
        <v>0</v>
      </c>
      <c r="T7" s="710" t="s">
        <v>17</v>
      </c>
      <c r="U7" s="711">
        <f t="shared" ref="U7:U15" si="1">H7</f>
        <v>0</v>
      </c>
      <c r="V7" s="710" t="s">
        <v>17</v>
      </c>
      <c r="W7" s="711">
        <f t="shared" ref="W7:W15" si="2">J7</f>
        <v>0</v>
      </c>
      <c r="X7" s="712"/>
      <c r="Y7" s="3409" t="s">
        <v>2310</v>
      </c>
      <c r="Z7" s="3410"/>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21" t="s">
        <v>2313</v>
      </c>
      <c r="Q8" s="3410"/>
      <c r="R8" s="710" t="s">
        <v>17</v>
      </c>
      <c r="S8" s="711">
        <f t="shared" si="0"/>
        <v>0</v>
      </c>
      <c r="T8" s="710" t="s">
        <v>17</v>
      </c>
      <c r="U8" s="711">
        <f t="shared" si="1"/>
        <v>0</v>
      </c>
      <c r="V8" s="710" t="s">
        <v>17</v>
      </c>
      <c r="W8" s="711">
        <f t="shared" si="2"/>
        <v>0</v>
      </c>
      <c r="X8" s="712"/>
      <c r="Y8" s="3409" t="s">
        <v>2313</v>
      </c>
      <c r="Z8" s="3410"/>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504" t="s">
        <v>2316</v>
      </c>
      <c r="Q9" s="1497" t="str">
        <f t="shared" ref="Q9:Q15" si="6">B9</f>
        <v>用途</v>
      </c>
      <c r="R9" s="710" t="s">
        <v>17</v>
      </c>
      <c r="S9" s="711">
        <f t="shared" si="0"/>
        <v>100</v>
      </c>
      <c r="T9" s="710" t="s">
        <v>17</v>
      </c>
      <c r="U9" s="711">
        <f t="shared" si="1"/>
        <v>100</v>
      </c>
      <c r="V9" s="710" t="s">
        <v>17</v>
      </c>
      <c r="W9" s="711">
        <f t="shared" si="2"/>
        <v>100</v>
      </c>
      <c r="X9" s="712"/>
      <c r="Y9" s="3382"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504"/>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504"/>
      <c r="Q11" s="1497" t="str">
        <f t="shared" si="6"/>
        <v>容积率</v>
      </c>
      <c r="R11" s="710" t="s">
        <v>17</v>
      </c>
      <c r="S11" s="711" t="e">
        <f t="shared" si="0"/>
        <v>#N/A</v>
      </c>
      <c r="T11" s="710" t="s">
        <v>17</v>
      </c>
      <c r="U11" s="711" t="e">
        <f t="shared" si="1"/>
        <v>#N/A</v>
      </c>
      <c r="V11" s="710" t="s">
        <v>17</v>
      </c>
      <c r="W11" s="711" t="e">
        <f t="shared" si="2"/>
        <v>#N/A</v>
      </c>
      <c r="X11" s="712"/>
      <c r="Y11" s="3382"/>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504"/>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504"/>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504"/>
      <c r="Q14" s="1497">
        <f t="shared" si="6"/>
        <v>111</v>
      </c>
      <c r="R14" s="710" t="s">
        <v>17</v>
      </c>
      <c r="S14" s="711">
        <f t="shared" si="0"/>
        <v>100</v>
      </c>
      <c r="T14" s="710" t="s">
        <v>17</v>
      </c>
      <c r="U14" s="711">
        <f t="shared" si="1"/>
        <v>100</v>
      </c>
      <c r="V14" s="710" t="s">
        <v>17</v>
      </c>
      <c r="W14" s="711">
        <f t="shared" si="2"/>
        <v>100</v>
      </c>
      <c r="X14" s="712"/>
      <c r="Y14" s="3382"/>
      <c r="Z14" s="55">
        <f t="shared" si="7"/>
        <v>111</v>
      </c>
      <c r="AA14" s="713">
        <f t="shared" si="3"/>
        <v>1</v>
      </c>
      <c r="AB14" s="713">
        <f t="shared" si="4"/>
        <v>1</v>
      </c>
      <c r="AC14" s="2115">
        <f t="shared" si="5"/>
        <v>1</v>
      </c>
    </row>
    <row r="15" spans="1:29" ht="15">
      <c r="A15" s="399" t="s">
        <v>2320</v>
      </c>
      <c r="B15" s="585" t="s">
        <v>2448</v>
      </c>
      <c r="C15" s="211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508" t="s">
        <v>2321</v>
      </c>
      <c r="Q15" s="1506" t="str">
        <f t="shared" si="6"/>
        <v>办公集聚程度</v>
      </c>
      <c r="R15" s="714" t="s">
        <v>17</v>
      </c>
      <c r="S15" s="715">
        <f t="shared" si="0"/>
        <v>100</v>
      </c>
      <c r="T15" s="714" t="s">
        <v>17</v>
      </c>
      <c r="U15" s="715">
        <f t="shared" si="1"/>
        <v>100</v>
      </c>
      <c r="V15" s="714" t="s">
        <v>17</v>
      </c>
      <c r="W15" s="715">
        <f t="shared" si="2"/>
        <v>100</v>
      </c>
      <c r="X15" s="1509"/>
      <c r="Y15" s="3439"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509"/>
      <c r="Q16" s="1506"/>
      <c r="R16" s="714"/>
      <c r="S16" s="715"/>
      <c r="T16" s="714"/>
      <c r="U16" s="715"/>
      <c r="V16" s="714"/>
      <c r="W16" s="715"/>
      <c r="X16" s="1509"/>
      <c r="Y16" s="3440"/>
      <c r="Z16" s="1510"/>
      <c r="AA16" s="1507">
        <v>1</v>
      </c>
      <c r="AB16" s="1507">
        <v>1</v>
      </c>
      <c r="AC16" s="2118">
        <v>1</v>
      </c>
    </row>
    <row r="17" spans="1:29" ht="15">
      <c r="A17" s="387"/>
      <c r="B17" s="587" t="s">
        <v>1885</v>
      </c>
      <c r="C17" s="211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509"/>
      <c r="Q17" s="1506" t="str">
        <f>B17</f>
        <v>交通便捷度</v>
      </c>
      <c r="R17" s="714" t="s">
        <v>17</v>
      </c>
      <c r="S17" s="715">
        <f>F17</f>
        <v>100</v>
      </c>
      <c r="T17" s="714" t="s">
        <v>17</v>
      </c>
      <c r="U17" s="715">
        <f>H17</f>
        <v>100</v>
      </c>
      <c r="V17" s="714" t="s">
        <v>17</v>
      </c>
      <c r="W17" s="715">
        <f>J17</f>
        <v>100</v>
      </c>
      <c r="X17" s="1509"/>
      <c r="Y17" s="3440"/>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509"/>
      <c r="Q18" s="1506"/>
      <c r="R18" s="714"/>
      <c r="S18" s="715"/>
      <c r="T18" s="714"/>
      <c r="U18" s="715"/>
      <c r="V18" s="714"/>
      <c r="W18" s="715"/>
      <c r="X18" s="1509"/>
      <c r="Y18" s="3440"/>
      <c r="Z18" s="1510"/>
      <c r="AA18" s="1507">
        <v>1</v>
      </c>
      <c r="AB18" s="1507">
        <v>1</v>
      </c>
      <c r="AC18" s="2118">
        <v>1</v>
      </c>
    </row>
    <row r="19" spans="1:29" ht="15">
      <c r="A19" s="387"/>
      <c r="B19" s="587" t="s">
        <v>2449</v>
      </c>
      <c r="C19" s="211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509"/>
      <c r="Q19" s="1506" t="str">
        <f>B19</f>
        <v>公共配套设施</v>
      </c>
      <c r="R19" s="714" t="s">
        <v>17</v>
      </c>
      <c r="S19" s="715">
        <f>F19</f>
        <v>100</v>
      </c>
      <c r="T19" s="714" t="s">
        <v>17</v>
      </c>
      <c r="U19" s="715">
        <f>H19</f>
        <v>100</v>
      </c>
      <c r="V19" s="714" t="s">
        <v>17</v>
      </c>
      <c r="W19" s="715">
        <f>J19</f>
        <v>100</v>
      </c>
      <c r="X19" s="1509"/>
      <c r="Y19" s="3440"/>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509"/>
      <c r="Q20" s="1506"/>
      <c r="R20" s="714"/>
      <c r="S20" s="715"/>
      <c r="T20" s="714"/>
      <c r="U20" s="715"/>
      <c r="V20" s="714"/>
      <c r="W20" s="715"/>
      <c r="X20" s="1509"/>
      <c r="Y20" s="3440"/>
      <c r="Z20" s="1510"/>
      <c r="AA20" s="1507">
        <v>1</v>
      </c>
      <c r="AB20" s="1507">
        <v>1</v>
      </c>
      <c r="AC20" s="2118">
        <v>1</v>
      </c>
    </row>
    <row r="21" spans="1:29" ht="15">
      <c r="A21" s="387"/>
      <c r="B21" s="589" t="s">
        <v>2450</v>
      </c>
      <c r="C21" s="211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509"/>
      <c r="Q21" s="1506" t="str">
        <f>B21</f>
        <v>基础设施水平</v>
      </c>
      <c r="R21" s="714" t="s">
        <v>17</v>
      </c>
      <c r="S21" s="715">
        <f>F21</f>
        <v>100</v>
      </c>
      <c r="T21" s="714" t="s">
        <v>17</v>
      </c>
      <c r="U21" s="715">
        <f>H21</f>
        <v>100</v>
      </c>
      <c r="V21" s="714" t="s">
        <v>17</v>
      </c>
      <c r="W21" s="715">
        <f>J21</f>
        <v>100</v>
      </c>
      <c r="X21" s="1509"/>
      <c r="Y21" s="3440"/>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509"/>
      <c r="Q22" s="1506"/>
      <c r="R22" s="714"/>
      <c r="S22" s="715"/>
      <c r="T22" s="714"/>
      <c r="U22" s="715"/>
      <c r="V22" s="714"/>
      <c r="W22" s="715"/>
      <c r="X22" s="1509"/>
      <c r="Y22" s="3440"/>
      <c r="Z22" s="1510"/>
      <c r="AA22" s="1507">
        <v>1</v>
      </c>
      <c r="AB22" s="1507">
        <v>1</v>
      </c>
      <c r="AC22" s="2118">
        <v>1</v>
      </c>
    </row>
    <row r="23" spans="1:29" ht="15">
      <c r="A23" s="387"/>
      <c r="B23" s="587" t="s">
        <v>2451</v>
      </c>
      <c r="C23" s="211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509"/>
      <c r="Q23" s="1506" t="str">
        <f>B23</f>
        <v>环境质量</v>
      </c>
      <c r="R23" s="714" t="s">
        <v>17</v>
      </c>
      <c r="S23" s="715">
        <f>F23</f>
        <v>100</v>
      </c>
      <c r="T23" s="714" t="s">
        <v>17</v>
      </c>
      <c r="U23" s="715">
        <f>H23</f>
        <v>100</v>
      </c>
      <c r="V23" s="714" t="s">
        <v>17</v>
      </c>
      <c r="W23" s="715">
        <f>J23</f>
        <v>100</v>
      </c>
      <c r="X23" s="1509"/>
      <c r="Y23" s="3440"/>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509"/>
      <c r="Q24" s="1506"/>
      <c r="R24" s="714"/>
      <c r="S24" s="715"/>
      <c r="T24" s="714"/>
      <c r="U24" s="715"/>
      <c r="V24" s="714"/>
      <c r="W24" s="715"/>
      <c r="X24" s="1509"/>
      <c r="Y24" s="3440"/>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509"/>
      <c r="Q25" s="1506" t="str">
        <f>B25</f>
        <v>毗邻道路的类型与等级</v>
      </c>
      <c r="R25" s="714" t="s">
        <v>17</v>
      </c>
      <c r="S25" s="715">
        <f>F25</f>
        <v>100</v>
      </c>
      <c r="T25" s="714" t="s">
        <v>17</v>
      </c>
      <c r="U25" s="715">
        <f>H25</f>
        <v>100</v>
      </c>
      <c r="V25" s="714" t="s">
        <v>17</v>
      </c>
      <c r="W25" s="715">
        <f>J25</f>
        <v>100</v>
      </c>
      <c r="X25" s="1509"/>
      <c r="Y25" s="3440"/>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509"/>
      <c r="Q26" s="1506"/>
      <c r="R26" s="714"/>
      <c r="S26" s="715"/>
      <c r="T26" s="714"/>
      <c r="U26" s="715"/>
      <c r="V26" s="714"/>
      <c r="W26" s="715"/>
      <c r="X26" s="1509"/>
      <c r="Y26" s="3440"/>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509"/>
      <c r="Q27" s="1506" t="str">
        <f t="shared" ref="Q27:Q47" si="11">B27</f>
        <v>楼层</v>
      </c>
      <c r="R27" s="714" t="s">
        <v>17</v>
      </c>
      <c r="S27" s="715">
        <f>F27</f>
        <v>100</v>
      </c>
      <c r="T27" s="714" t="s">
        <v>17</v>
      </c>
      <c r="U27" s="715">
        <f>H27</f>
        <v>100</v>
      </c>
      <c r="V27" s="714" t="s">
        <v>17</v>
      </c>
      <c r="W27" s="715">
        <f>J27</f>
        <v>100</v>
      </c>
      <c r="X27" s="1509"/>
      <c r="Y27" s="3440"/>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509"/>
      <c r="Q28" s="1497" t="str">
        <f t="shared" si="11"/>
        <v>朝向</v>
      </c>
      <c r="R28" s="710" t="s">
        <v>17</v>
      </c>
      <c r="S28" s="711">
        <f>F28</f>
        <v>100</v>
      </c>
      <c r="T28" s="710" t="s">
        <v>17</v>
      </c>
      <c r="U28" s="711">
        <f>H28</f>
        <v>100</v>
      </c>
      <c r="V28" s="710" t="s">
        <v>17</v>
      </c>
      <c r="W28" s="711">
        <f>J28</f>
        <v>100</v>
      </c>
      <c r="X28" s="712"/>
      <c r="Y28" s="3440"/>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509"/>
      <c r="Q29" s="1506">
        <f t="shared" si="11"/>
        <v>111</v>
      </c>
      <c r="R29" s="714" t="s">
        <v>17</v>
      </c>
      <c r="S29" s="715">
        <f t="shared" ref="S29:S47" si="12">F29</f>
        <v>100</v>
      </c>
      <c r="T29" s="714" t="s">
        <v>17</v>
      </c>
      <c r="U29" s="715">
        <f t="shared" ref="U29:U47" si="13">H29</f>
        <v>100</v>
      </c>
      <c r="V29" s="714" t="s">
        <v>17</v>
      </c>
      <c r="W29" s="715">
        <f t="shared" ref="W29:W47" si="14">J29</f>
        <v>100</v>
      </c>
      <c r="X29" s="1509"/>
      <c r="Y29" s="3440"/>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509"/>
      <c r="Q30" s="1506">
        <f t="shared" si="11"/>
        <v>111</v>
      </c>
      <c r="R30" s="714" t="s">
        <v>17</v>
      </c>
      <c r="S30" s="715">
        <f t="shared" si="12"/>
        <v>100</v>
      </c>
      <c r="T30" s="714" t="s">
        <v>17</v>
      </c>
      <c r="U30" s="715">
        <f t="shared" si="13"/>
        <v>100</v>
      </c>
      <c r="V30" s="714" t="s">
        <v>17</v>
      </c>
      <c r="W30" s="715">
        <f t="shared" si="14"/>
        <v>100</v>
      </c>
      <c r="X30" s="1509"/>
      <c r="Y30" s="3440"/>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509"/>
      <c r="Q31" s="1506">
        <f t="shared" si="11"/>
        <v>111</v>
      </c>
      <c r="R31" s="714" t="s">
        <v>17</v>
      </c>
      <c r="S31" s="715">
        <f t="shared" si="12"/>
        <v>100</v>
      </c>
      <c r="T31" s="714" t="s">
        <v>17</v>
      </c>
      <c r="U31" s="715">
        <f t="shared" si="13"/>
        <v>100</v>
      </c>
      <c r="V31" s="714" t="s">
        <v>17</v>
      </c>
      <c r="W31" s="715">
        <f t="shared" si="14"/>
        <v>100</v>
      </c>
      <c r="X31" s="1509"/>
      <c r="Y31" s="3440"/>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509"/>
      <c r="Q32" s="1506">
        <f t="shared" si="11"/>
        <v>111</v>
      </c>
      <c r="R32" s="714" t="s">
        <v>17</v>
      </c>
      <c r="S32" s="715">
        <f t="shared" si="12"/>
        <v>100</v>
      </c>
      <c r="T32" s="714" t="s">
        <v>17</v>
      </c>
      <c r="U32" s="715">
        <f t="shared" si="13"/>
        <v>100</v>
      </c>
      <c r="V32" s="714" t="s">
        <v>17</v>
      </c>
      <c r="W32" s="715">
        <f t="shared" si="14"/>
        <v>100</v>
      </c>
      <c r="X32" s="1509"/>
      <c r="Y32" s="3440"/>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505" t="s">
        <v>2326</v>
      </c>
      <c r="Q33" s="1506" t="str">
        <f t="shared" si="11"/>
        <v>建筑类型</v>
      </c>
      <c r="R33" s="714" t="s">
        <v>17</v>
      </c>
      <c r="S33" s="715">
        <f t="shared" si="12"/>
        <v>100</v>
      </c>
      <c r="T33" s="714" t="s">
        <v>17</v>
      </c>
      <c r="U33" s="715">
        <f t="shared" si="13"/>
        <v>100</v>
      </c>
      <c r="V33" s="714" t="s">
        <v>17</v>
      </c>
      <c r="W33" s="715">
        <f t="shared" si="14"/>
        <v>100</v>
      </c>
      <c r="X33" s="1509"/>
      <c r="Y33" s="3442"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506"/>
      <c r="Q34" s="716" t="str">
        <f t="shared" si="11"/>
        <v>项目建筑规模</v>
      </c>
      <c r="R34" s="717" t="s">
        <v>17</v>
      </c>
      <c r="S34" s="718" t="e">
        <f t="shared" si="12"/>
        <v>#N/A</v>
      </c>
      <c r="T34" s="717" t="s">
        <v>17</v>
      </c>
      <c r="U34" s="718" t="e">
        <f t="shared" si="13"/>
        <v>#N/A</v>
      </c>
      <c r="V34" s="717" t="s">
        <v>17</v>
      </c>
      <c r="W34" s="718" t="e">
        <f t="shared" si="14"/>
        <v>#N/A</v>
      </c>
      <c r="X34" s="719"/>
      <c r="Y34" s="3442"/>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506"/>
      <c r="Q35" s="1506" t="str">
        <f t="shared" si="11"/>
        <v>建筑结构</v>
      </c>
      <c r="R35" s="714" t="s">
        <v>17</v>
      </c>
      <c r="S35" s="715">
        <f t="shared" si="12"/>
        <v>100</v>
      </c>
      <c r="T35" s="714" t="s">
        <v>17</v>
      </c>
      <c r="U35" s="715">
        <f t="shared" si="13"/>
        <v>100</v>
      </c>
      <c r="V35" s="714" t="s">
        <v>17</v>
      </c>
      <c r="W35" s="715">
        <f t="shared" si="14"/>
        <v>100</v>
      </c>
      <c r="X35" s="1509"/>
      <c r="Y35" s="3442"/>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506"/>
      <c r="Q36" s="1506" t="str">
        <f t="shared" si="11"/>
        <v>公共部分装修</v>
      </c>
      <c r="R36" s="714" t="s">
        <v>17</v>
      </c>
      <c r="S36" s="715">
        <f t="shared" si="12"/>
        <v>100</v>
      </c>
      <c r="T36" s="714" t="s">
        <v>17</v>
      </c>
      <c r="U36" s="715">
        <f t="shared" si="13"/>
        <v>100</v>
      </c>
      <c r="V36" s="714" t="s">
        <v>17</v>
      </c>
      <c r="W36" s="715">
        <f t="shared" si="14"/>
        <v>100</v>
      </c>
      <c r="X36" s="1509"/>
      <c r="Y36" s="3442"/>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506"/>
      <c r="Q37" s="1506" t="str">
        <f t="shared" si="11"/>
        <v>成新度</v>
      </c>
      <c r="R37" s="714" t="s">
        <v>17</v>
      </c>
      <c r="S37" s="715" t="e">
        <f t="shared" si="12"/>
        <v>#N/A</v>
      </c>
      <c r="T37" s="714" t="s">
        <v>17</v>
      </c>
      <c r="U37" s="715" t="e">
        <f t="shared" si="13"/>
        <v>#N/A</v>
      </c>
      <c r="V37" s="714" t="s">
        <v>17</v>
      </c>
      <c r="W37" s="715" t="e">
        <f t="shared" si="14"/>
        <v>#N/A</v>
      </c>
      <c r="X37" s="1509"/>
      <c r="Y37" s="3442"/>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506"/>
      <c r="Q38" s="1497" t="str">
        <f t="shared" si="11"/>
        <v>写字楼等级</v>
      </c>
      <c r="R38" s="710" t="s">
        <v>17</v>
      </c>
      <c r="S38" s="711">
        <f t="shared" si="12"/>
        <v>100</v>
      </c>
      <c r="T38" s="710" t="s">
        <v>17</v>
      </c>
      <c r="U38" s="711">
        <f t="shared" si="13"/>
        <v>100</v>
      </c>
      <c r="V38" s="710" t="s">
        <v>17</v>
      </c>
      <c r="W38" s="711">
        <f t="shared" si="14"/>
        <v>100</v>
      </c>
      <c r="X38" s="712"/>
      <c r="Y38" s="3442"/>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506" t="s">
        <v>2326</v>
      </c>
      <c r="Q39" s="1506" t="str">
        <f t="shared" si="11"/>
        <v>物业管理</v>
      </c>
      <c r="R39" s="714" t="s">
        <v>17</v>
      </c>
      <c r="S39" s="715">
        <f t="shared" si="12"/>
        <v>100</v>
      </c>
      <c r="T39" s="714" t="s">
        <v>17</v>
      </c>
      <c r="U39" s="715">
        <f t="shared" si="13"/>
        <v>100</v>
      </c>
      <c r="V39" s="714" t="s">
        <v>17</v>
      </c>
      <c r="W39" s="715">
        <f t="shared" si="14"/>
        <v>100</v>
      </c>
      <c r="X39" s="1509"/>
      <c r="Y39" s="3442"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506"/>
      <c r="Q40" s="1506" t="str">
        <f t="shared" si="11"/>
        <v>市政基础设施</v>
      </c>
      <c r="R40" s="714" t="s">
        <v>17</v>
      </c>
      <c r="S40" s="715">
        <f t="shared" si="12"/>
        <v>100</v>
      </c>
      <c r="T40" s="714" t="s">
        <v>17</v>
      </c>
      <c r="U40" s="715">
        <f t="shared" si="13"/>
        <v>100</v>
      </c>
      <c r="V40" s="714" t="s">
        <v>17</v>
      </c>
      <c r="W40" s="715">
        <f t="shared" si="14"/>
        <v>100</v>
      </c>
      <c r="X40" s="1509"/>
      <c r="Y40" s="3442"/>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506"/>
      <c r="Q41" s="1506" t="str">
        <f t="shared" si="11"/>
        <v>层高</v>
      </c>
      <c r="R41" s="714" t="s">
        <v>17</v>
      </c>
      <c r="S41" s="715">
        <f t="shared" si="12"/>
        <v>100</v>
      </c>
      <c r="T41" s="714" t="s">
        <v>17</v>
      </c>
      <c r="U41" s="715">
        <f t="shared" si="13"/>
        <v>100</v>
      </c>
      <c r="V41" s="714" t="s">
        <v>17</v>
      </c>
      <c r="W41" s="715">
        <f t="shared" si="14"/>
        <v>100</v>
      </c>
      <c r="X41" s="1509"/>
      <c r="Y41" s="3442"/>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506"/>
      <c r="Q42" s="716" t="str">
        <f t="shared" si="11"/>
        <v>单套建筑面积</v>
      </c>
      <c r="R42" s="717" t="s">
        <v>17</v>
      </c>
      <c r="S42" s="718">
        <f t="shared" si="12"/>
        <v>100</v>
      </c>
      <c r="T42" s="717" t="s">
        <v>17</v>
      </c>
      <c r="U42" s="718">
        <f t="shared" si="13"/>
        <v>100</v>
      </c>
      <c r="V42" s="717" t="s">
        <v>17</v>
      </c>
      <c r="W42" s="718">
        <f t="shared" si="14"/>
        <v>100</v>
      </c>
      <c r="X42" s="719"/>
      <c r="Y42" s="3442"/>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506"/>
      <c r="Q43" s="1506" t="str">
        <f t="shared" si="11"/>
        <v>内部装修</v>
      </c>
      <c r="R43" s="714" t="s">
        <v>17</v>
      </c>
      <c r="S43" s="715">
        <f t="shared" si="12"/>
        <v>100</v>
      </c>
      <c r="T43" s="714" t="s">
        <v>17</v>
      </c>
      <c r="U43" s="715">
        <f t="shared" si="13"/>
        <v>100</v>
      </c>
      <c r="V43" s="714" t="s">
        <v>17</v>
      </c>
      <c r="W43" s="715">
        <f t="shared" si="14"/>
        <v>100</v>
      </c>
      <c r="X43" s="1509"/>
      <c r="Y43" s="3442"/>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506"/>
      <c r="Q44" s="1506" t="str">
        <f t="shared" si="11"/>
        <v>内部装修维护情况</v>
      </c>
      <c r="R44" s="714" t="s">
        <v>17</v>
      </c>
      <c r="S44" s="715">
        <f t="shared" si="12"/>
        <v>100</v>
      </c>
      <c r="T44" s="714" t="s">
        <v>17</v>
      </c>
      <c r="U44" s="715">
        <f t="shared" si="13"/>
        <v>100</v>
      </c>
      <c r="V44" s="714" t="s">
        <v>17</v>
      </c>
      <c r="W44" s="715">
        <f t="shared" si="14"/>
        <v>100</v>
      </c>
      <c r="X44" s="1509"/>
      <c r="Y44" s="3442"/>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506"/>
      <c r="Q45" s="1497">
        <f t="shared" si="11"/>
        <v>111</v>
      </c>
      <c r="R45" s="710" t="s">
        <v>17</v>
      </c>
      <c r="S45" s="711">
        <f t="shared" si="12"/>
        <v>100</v>
      </c>
      <c r="T45" s="710" t="s">
        <v>17</v>
      </c>
      <c r="U45" s="711">
        <f t="shared" si="13"/>
        <v>100</v>
      </c>
      <c r="V45" s="710" t="s">
        <v>17</v>
      </c>
      <c r="W45" s="711">
        <f t="shared" si="14"/>
        <v>100</v>
      </c>
      <c r="X45" s="712"/>
      <c r="Y45" s="3442"/>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506"/>
      <c r="Q46" s="1506">
        <f t="shared" si="11"/>
        <v>111</v>
      </c>
      <c r="R46" s="714" t="s">
        <v>17</v>
      </c>
      <c r="S46" s="715">
        <f t="shared" si="12"/>
        <v>100</v>
      </c>
      <c r="T46" s="714" t="s">
        <v>17</v>
      </c>
      <c r="U46" s="715">
        <f t="shared" si="13"/>
        <v>100</v>
      </c>
      <c r="V46" s="714" t="s">
        <v>17</v>
      </c>
      <c r="W46" s="715">
        <f t="shared" si="14"/>
        <v>100</v>
      </c>
      <c r="X46" s="1509"/>
      <c r="Y46" s="3442"/>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507"/>
      <c r="Q47" s="1506">
        <f t="shared" si="11"/>
        <v>111</v>
      </c>
      <c r="R47" s="714" t="s">
        <v>17</v>
      </c>
      <c r="S47" s="715">
        <f t="shared" si="12"/>
        <v>100</v>
      </c>
      <c r="T47" s="714" t="s">
        <v>17</v>
      </c>
      <c r="U47" s="715">
        <f t="shared" si="13"/>
        <v>100</v>
      </c>
      <c r="V47" s="714" t="s">
        <v>17</v>
      </c>
      <c r="W47" s="715">
        <f t="shared" si="14"/>
        <v>100</v>
      </c>
      <c r="X47" s="1509"/>
      <c r="Y47" s="3443"/>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1"/>
      <c r="M48" s="2913"/>
      <c r="N48" s="2913"/>
      <c r="O48" s="2913"/>
      <c r="P48" s="3504" t="str">
        <f>A48</f>
        <v>成交单价（元/平方米）</v>
      </c>
      <c r="Q48" s="3424"/>
      <c r="R48" s="3444">
        <f>E48</f>
        <v>0</v>
      </c>
      <c r="S48" s="3444"/>
      <c r="T48" s="3444">
        <f>G48</f>
        <v>0</v>
      </c>
      <c r="U48" s="3444"/>
      <c r="V48" s="3444">
        <f>I48</f>
        <v>0</v>
      </c>
      <c r="W48" s="3444"/>
      <c r="X48" s="405"/>
      <c r="Y48" s="721"/>
      <c r="Z48" s="405"/>
      <c r="AA48" s="405"/>
      <c r="AB48" s="405"/>
      <c r="AC48" s="586"/>
    </row>
    <row r="49" spans="1:29" ht="15.75" thickBot="1">
      <c r="A49" s="445" t="s">
        <v>2430</v>
      </c>
      <c r="B49" s="446"/>
      <c r="C49" s="1294" t="e">
        <f>R50</f>
        <v>#DIV/0!</v>
      </c>
      <c r="D49" s="2508" t="s">
        <v>2819</v>
      </c>
      <c r="E49" s="1295" t="e">
        <f>R49</f>
        <v>#DIV/0!</v>
      </c>
      <c r="F49" s="2509"/>
      <c r="G49" s="1294" t="e">
        <f>T49</f>
        <v>#DIV/0!</v>
      </c>
      <c r="H49" s="2509"/>
      <c r="I49" s="1295" t="e">
        <f>V49</f>
        <v>#DIV/0!</v>
      </c>
      <c r="J49" s="2509"/>
      <c r="K49" s="2511">
        <f>F49+H49+J49</f>
        <v>0</v>
      </c>
      <c r="L49" s="2921"/>
      <c r="M49" s="2913"/>
      <c r="N49" s="2913"/>
      <c r="O49" s="2913"/>
      <c r="P49" s="3504" t="str">
        <f>A49</f>
        <v>比较价值（元/平方米）</v>
      </c>
      <c r="Q49" s="3424"/>
      <c r="R49" s="3444" t="e">
        <f>IF(F1="售价",ROUND(PRODUCT(R48,AA7:AA47),0),ROUND(PRODUCT(R48,AA7:AA47),1))</f>
        <v>#DIV/0!</v>
      </c>
      <c r="S49" s="3444"/>
      <c r="T49" s="3444" t="e">
        <f>IF(F1="售价",ROUND(PRODUCT(T48,AB7:AB47),0),ROUND(PRODUCT(T48,AB7:AB47),1))</f>
        <v>#DIV/0!</v>
      </c>
      <c r="U49" s="3444"/>
      <c r="V49" s="3444" t="e">
        <f>IF(F1="售价",ROUND(PRODUCT(V48,AC7:AC47),0),ROUND(PRODUCT(V48,AC7:AC47),1))</f>
        <v>#DIV/0!</v>
      </c>
      <c r="W49" s="3444"/>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1"/>
      <c r="M50" s="2913"/>
      <c r="N50" s="2913"/>
      <c r="O50" s="2913"/>
      <c r="P50" s="3522" t="str">
        <f>A50</f>
        <v>估价对象XX用房的比较价值（楼面单价，元/平方米）</v>
      </c>
      <c r="Q50" s="3523"/>
      <c r="R50" s="3524" t="e">
        <f>IF(F1="售价",ROUND(IF(D49="简单平均",AVERAGE(R49:V49),R49*F49+T49*H49+V49*J49),0),ROUND(IF(D49="简单平均",AVERAGE(R49:V49),R49*F49+T49*H49+V49*J49),1))</f>
        <v>#DIV/0!</v>
      </c>
      <c r="S50" s="3524"/>
      <c r="T50" s="3524"/>
      <c r="U50" s="3524"/>
      <c r="V50" s="3524"/>
      <c r="W50" s="3524"/>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8" t="str">
        <f>YEAR(C7)&amp;"-"&amp;MONTH(C7)</f>
        <v>2022-8</v>
      </c>
      <c r="D59" s="1319">
        <f>EDATE(C59,-1)</f>
        <v>44743</v>
      </c>
      <c r="E59" s="1319">
        <f>EDATE(D59,-1)</f>
        <v>44713</v>
      </c>
      <c r="F59" s="1319">
        <f t="shared" ref="F59:O59" si="16">EDATE(E59,-1)</f>
        <v>44682</v>
      </c>
      <c r="G59" s="1319">
        <f t="shared" si="16"/>
        <v>44652</v>
      </c>
      <c r="H59" s="1319">
        <f t="shared" si="16"/>
        <v>44621</v>
      </c>
      <c r="I59" s="1319">
        <f t="shared" si="16"/>
        <v>44593</v>
      </c>
      <c r="J59" s="1319">
        <f t="shared" si="16"/>
        <v>44562</v>
      </c>
      <c r="K59" s="1319">
        <f t="shared" si="16"/>
        <v>44531</v>
      </c>
      <c r="L59" s="1319">
        <f t="shared" si="16"/>
        <v>44501</v>
      </c>
      <c r="M59" s="1319">
        <f t="shared" si="16"/>
        <v>44470</v>
      </c>
      <c r="N59" s="1319">
        <f t="shared" si="16"/>
        <v>44440</v>
      </c>
      <c r="O59" s="1319">
        <f t="shared" si="16"/>
        <v>44409</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20" stopIfTrue="1" operator="containsText" text="超过">
      <formula>NOT(ISERROR(SEARCH("超过",F53)))</formula>
    </cfRule>
  </conditionalFormatting>
  <conditionalFormatting sqref="H55">
    <cfRule type="containsText" dxfId="91" priority="19" stopIfTrue="1" operator="containsText" text="超过">
      <formula>NOT(ISERROR(SEARCH("超过",H55)))</formula>
    </cfRule>
  </conditionalFormatting>
  <conditionalFormatting sqref="F55">
    <cfRule type="containsText" dxfId="90" priority="18" stopIfTrue="1" operator="containsText" text="超过">
      <formula>NOT(ISERROR(SEARCH("超过",F55)))</formula>
    </cfRule>
  </conditionalFormatting>
  <conditionalFormatting sqref="F54 H54">
    <cfRule type="containsText" dxfId="89" priority="17" stopIfTrue="1" operator="containsText" text="超过">
      <formula>NOT(ISERROR(SEARCH("超过",F54)))</formula>
    </cfRule>
  </conditionalFormatting>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G55">
    <cfRule type="expression" dxfId="85" priority="13" stopIfTrue="1">
      <formula>$H$55="超过30%"</formula>
    </cfRule>
  </conditionalFormatting>
  <conditionalFormatting sqref="G53">
    <cfRule type="expression" dxfId="84" priority="12" stopIfTrue="1">
      <formula>$H$53="超过30%"</formula>
    </cfRule>
  </conditionalFormatting>
  <conditionalFormatting sqref="G54">
    <cfRule type="expression" dxfId="83" priority="11" stopIfTrue="1">
      <formula>$H$54="超过20%"</formula>
    </cfRule>
  </conditionalFormatting>
  <conditionalFormatting sqref="J53">
    <cfRule type="containsText" dxfId="82" priority="10" stopIfTrue="1" operator="containsText" text="超过">
      <formula>NOT(ISERROR(SEARCH("超过",J53)))</formula>
    </cfRule>
  </conditionalFormatting>
  <conditionalFormatting sqref="J55">
    <cfRule type="containsText" dxfId="81" priority="9" stopIfTrue="1" operator="containsText" text="超过">
      <formula>NOT(ISERROR(SEARCH("超过",J55)))</formula>
    </cfRule>
  </conditionalFormatting>
  <conditionalFormatting sqref="J54">
    <cfRule type="containsText" dxfId="80" priority="8" stopIfTrue="1" operator="containsText" text="超过">
      <formula>NOT(ISERROR(SEARCH("超过",J54)))</formula>
    </cfRule>
  </conditionalFormatting>
  <conditionalFormatting sqref="I53">
    <cfRule type="expression" dxfId="79" priority="7" stopIfTrue="1">
      <formula>$J$53="超过30%"</formula>
    </cfRule>
  </conditionalFormatting>
  <conditionalFormatting sqref="I54">
    <cfRule type="expression" dxfId="78" priority="6" stopIfTrue="1">
      <formula>$J$53+$J$54="超过20%"</formula>
    </cfRule>
  </conditionalFormatting>
  <conditionalFormatting sqref="I55">
    <cfRule type="expression" dxfId="77" priority="5" stopIfTrue="1">
      <formula>$J$55="超过30%"</formula>
    </cfRule>
  </conditionalFormatting>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F7:F47 H7:H47 J7:J47">
    <cfRule type="cellIs" dxfId="73"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2406</v>
      </c>
      <c r="B4" s="362"/>
      <c r="C4" s="3425" t="s">
        <v>2407</v>
      </c>
      <c r="D4" s="3426"/>
      <c r="E4" s="3427" t="s">
        <v>2408</v>
      </c>
      <c r="F4" s="3428"/>
      <c r="G4" s="3425" t="s">
        <v>2409</v>
      </c>
      <c r="H4" s="3426"/>
      <c r="I4" s="3425" t="s">
        <v>2410</v>
      </c>
      <c r="J4" s="3426"/>
      <c r="K4" s="567" t="s">
        <v>2411</v>
      </c>
      <c r="L4" s="2912"/>
      <c r="M4" s="2913"/>
      <c r="N4" s="2913"/>
      <c r="O4" s="2913"/>
      <c r="P4" s="3429" t="s">
        <v>2412</v>
      </c>
      <c r="Q4" s="3430"/>
      <c r="R4" s="3411" t="s">
        <v>2408</v>
      </c>
      <c r="S4" s="3412"/>
      <c r="T4" s="3411" t="s">
        <v>2409</v>
      </c>
      <c r="U4" s="3412"/>
      <c r="V4" s="3437" t="s">
        <v>2410</v>
      </c>
      <c r="W4" s="3437"/>
      <c r="X4" s="1509"/>
      <c r="Y4" s="3411" t="s">
        <v>2412</v>
      </c>
      <c r="Z4" s="3412"/>
      <c r="AA4" s="3406" t="s">
        <v>2408</v>
      </c>
      <c r="AB4" s="3407" t="s">
        <v>2409</v>
      </c>
      <c r="AC4" s="3406" t="s">
        <v>2410</v>
      </c>
    </row>
    <row r="5" spans="1:29" ht="15">
      <c r="A5" s="364"/>
      <c r="B5" s="365"/>
      <c r="C5" s="3417" t="s">
        <v>2303</v>
      </c>
      <c r="D5" s="3418"/>
      <c r="E5" s="3503" t="s">
        <v>2304</v>
      </c>
      <c r="F5" s="3416"/>
      <c r="G5" s="3417" t="s">
        <v>2305</v>
      </c>
      <c r="H5" s="3418"/>
      <c r="I5" s="3417" t="s">
        <v>2306</v>
      </c>
      <c r="J5" s="3418"/>
      <c r="K5" s="567"/>
      <c r="L5" s="2912"/>
      <c r="M5" s="2913"/>
      <c r="N5" s="2913"/>
      <c r="O5" s="2913"/>
      <c r="P5" s="3431"/>
      <c r="Q5" s="3432"/>
      <c r="R5" s="3413"/>
      <c r="S5" s="3414"/>
      <c r="T5" s="3413"/>
      <c r="U5" s="3414"/>
      <c r="V5" s="3437"/>
      <c r="W5" s="3437"/>
      <c r="X5" s="1509"/>
      <c r="Y5" s="3413"/>
      <c r="Z5" s="3414"/>
      <c r="AA5" s="3407"/>
      <c r="AB5" s="3407"/>
      <c r="AC5" s="3407"/>
    </row>
    <row r="6" spans="1:29" ht="15.75" thickBot="1">
      <c r="A6" s="366"/>
      <c r="B6" s="367"/>
      <c r="C6" s="3419" t="s">
        <v>2307</v>
      </c>
      <c r="D6" s="3420"/>
      <c r="E6" s="3422" t="s">
        <v>2307</v>
      </c>
      <c r="F6" s="3423"/>
      <c r="G6" s="3419" t="s">
        <v>2307</v>
      </c>
      <c r="H6" s="3420"/>
      <c r="I6" s="3419" t="s">
        <v>2307</v>
      </c>
      <c r="J6" s="3420"/>
      <c r="K6" s="567" t="s">
        <v>2308</v>
      </c>
      <c r="L6" s="2912"/>
      <c r="M6" s="2913"/>
      <c r="N6" s="2913"/>
      <c r="O6" s="2913"/>
      <c r="P6" s="3433"/>
      <c r="Q6" s="3434"/>
      <c r="R6" s="3413"/>
      <c r="S6" s="3414"/>
      <c r="T6" s="3435"/>
      <c r="U6" s="3436"/>
      <c r="V6" s="3437"/>
      <c r="W6" s="3437"/>
      <c r="X6" s="1509"/>
      <c r="Y6" s="3435"/>
      <c r="Z6" s="3436"/>
      <c r="AA6" s="3408"/>
      <c r="AB6" s="3408"/>
      <c r="AC6" s="3408"/>
    </row>
    <row r="7" spans="1:29" s="113" customFormat="1" ht="15.75" thickBot="1">
      <c r="A7" s="368" t="s">
        <v>2309</v>
      </c>
      <c r="B7" s="369"/>
      <c r="C7" s="370">
        <f>'数据-取费表'!B2</f>
        <v>44781</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09" t="s">
        <v>2310</v>
      </c>
      <c r="Q7" s="3438"/>
      <c r="R7" s="710" t="s">
        <v>17</v>
      </c>
      <c r="S7" s="711">
        <f t="shared" ref="S7:S14" si="0">F7</f>
        <v>0</v>
      </c>
      <c r="T7" s="710" t="s">
        <v>17</v>
      </c>
      <c r="U7" s="711">
        <f t="shared" ref="U7:U14" si="1">H7</f>
        <v>0</v>
      </c>
      <c r="V7" s="710" t="s">
        <v>17</v>
      </c>
      <c r="W7" s="711">
        <f t="shared" ref="W7:W14" si="2">J7</f>
        <v>0</v>
      </c>
      <c r="X7" s="712"/>
      <c r="Y7" s="3409" t="s">
        <v>2310</v>
      </c>
      <c r="Z7" s="3410"/>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09" t="s">
        <v>2313</v>
      </c>
      <c r="Q8" s="3410"/>
      <c r="R8" s="710" t="s">
        <v>17</v>
      </c>
      <c r="S8" s="711">
        <f t="shared" si="0"/>
        <v>0</v>
      </c>
      <c r="T8" s="710" t="s">
        <v>17</v>
      </c>
      <c r="U8" s="711">
        <f t="shared" si="1"/>
        <v>0</v>
      </c>
      <c r="V8" s="710" t="s">
        <v>17</v>
      </c>
      <c r="W8" s="711">
        <f t="shared" si="2"/>
        <v>0</v>
      </c>
      <c r="X8" s="712"/>
      <c r="Y8" s="3409" t="s">
        <v>2313</v>
      </c>
      <c r="Z8" s="3410"/>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24" t="s">
        <v>2316</v>
      </c>
      <c r="Q9" s="1497" t="str">
        <f t="shared" ref="Q9:Q14" si="6">B9</f>
        <v>用途</v>
      </c>
      <c r="R9" s="710" t="s">
        <v>17</v>
      </c>
      <c r="S9" s="711">
        <f t="shared" si="0"/>
        <v>100</v>
      </c>
      <c r="T9" s="710" t="s">
        <v>17</v>
      </c>
      <c r="U9" s="711">
        <f t="shared" si="1"/>
        <v>100</v>
      </c>
      <c r="V9" s="710" t="s">
        <v>17</v>
      </c>
      <c r="W9" s="711">
        <f t="shared" si="2"/>
        <v>100</v>
      </c>
      <c r="X9" s="712"/>
      <c r="Y9" s="3382"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24"/>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24"/>
      <c r="Q11" s="1497">
        <f t="shared" si="6"/>
        <v>111</v>
      </c>
      <c r="R11" s="710" t="s">
        <v>17</v>
      </c>
      <c r="S11" s="711">
        <f t="shared" si="0"/>
        <v>100</v>
      </c>
      <c r="T11" s="710" t="s">
        <v>17</v>
      </c>
      <c r="U11" s="711">
        <f t="shared" si="1"/>
        <v>100</v>
      </c>
      <c r="V11" s="710" t="s">
        <v>17</v>
      </c>
      <c r="W11" s="711">
        <f t="shared" si="2"/>
        <v>100</v>
      </c>
      <c r="X11" s="712"/>
      <c r="Y11" s="338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24"/>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24"/>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
      <c r="A14" s="361" t="s">
        <v>2320</v>
      </c>
      <c r="B14" s="585" t="s">
        <v>2470</v>
      </c>
      <c r="C14" s="212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39" t="s">
        <v>2321</v>
      </c>
      <c r="Q14" s="1506" t="str">
        <f t="shared" si="6"/>
        <v>交通便捷度</v>
      </c>
      <c r="R14" s="714" t="s">
        <v>17</v>
      </c>
      <c r="S14" s="715">
        <f t="shared" si="0"/>
        <v>100</v>
      </c>
      <c r="T14" s="714" t="s">
        <v>17</v>
      </c>
      <c r="U14" s="715">
        <f t="shared" si="1"/>
        <v>100</v>
      </c>
      <c r="V14" s="714" t="s">
        <v>17</v>
      </c>
      <c r="W14" s="715">
        <f t="shared" si="2"/>
        <v>100</v>
      </c>
      <c r="X14" s="1509"/>
      <c r="Y14" s="3439"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40"/>
      <c r="Q15" s="1506"/>
      <c r="R15" s="714"/>
      <c r="S15" s="715"/>
      <c r="T15" s="714"/>
      <c r="U15" s="715"/>
      <c r="V15" s="714"/>
      <c r="W15" s="715"/>
      <c r="X15" s="1509"/>
      <c r="Y15" s="3440"/>
      <c r="Z15" s="1510"/>
      <c r="AA15" s="1507">
        <v>1</v>
      </c>
      <c r="AB15" s="1507">
        <v>1</v>
      </c>
      <c r="AC15" s="1507">
        <v>1</v>
      </c>
    </row>
    <row r="16" spans="1:29" ht="15">
      <c r="A16" s="364"/>
      <c r="B16" s="587" t="s">
        <v>2449</v>
      </c>
      <c r="C16" s="205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40"/>
      <c r="Q16" s="1506" t="str">
        <f>B16</f>
        <v>公共配套设施</v>
      </c>
      <c r="R16" s="714" t="s">
        <v>17</v>
      </c>
      <c r="S16" s="715">
        <f>F16</f>
        <v>100</v>
      </c>
      <c r="T16" s="714" t="s">
        <v>17</v>
      </c>
      <c r="U16" s="715">
        <f>H16</f>
        <v>100</v>
      </c>
      <c r="V16" s="714" t="s">
        <v>17</v>
      </c>
      <c r="W16" s="715">
        <f>J16</f>
        <v>100</v>
      </c>
      <c r="X16" s="1509"/>
      <c r="Y16" s="3440"/>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40"/>
      <c r="Q17" s="1506"/>
      <c r="R17" s="714"/>
      <c r="S17" s="715"/>
      <c r="T17" s="714"/>
      <c r="U17" s="715"/>
      <c r="V17" s="714"/>
      <c r="W17" s="715"/>
      <c r="X17" s="1509"/>
      <c r="Y17" s="3440"/>
      <c r="Z17" s="1510"/>
      <c r="AA17" s="1507">
        <v>1</v>
      </c>
      <c r="AB17" s="1507">
        <v>1</v>
      </c>
      <c r="AC17" s="1507">
        <v>1</v>
      </c>
    </row>
    <row r="18" spans="1:29" ht="15">
      <c r="A18" s="364"/>
      <c r="B18" s="589" t="s">
        <v>2450</v>
      </c>
      <c r="C18" s="205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40"/>
      <c r="Q18" s="1506" t="str">
        <f>B18</f>
        <v>基础设施水平</v>
      </c>
      <c r="R18" s="714" t="s">
        <v>17</v>
      </c>
      <c r="S18" s="715">
        <f>F18</f>
        <v>100</v>
      </c>
      <c r="T18" s="714" t="s">
        <v>17</v>
      </c>
      <c r="U18" s="715">
        <f>H18</f>
        <v>100</v>
      </c>
      <c r="V18" s="714" t="s">
        <v>17</v>
      </c>
      <c r="W18" s="715">
        <f>J18</f>
        <v>100</v>
      </c>
      <c r="X18" s="1509"/>
      <c r="Y18" s="3440"/>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40"/>
      <c r="Q19" s="1506"/>
      <c r="R19" s="714"/>
      <c r="S19" s="715"/>
      <c r="T19" s="714"/>
      <c r="U19" s="715"/>
      <c r="V19" s="714"/>
      <c r="W19" s="715"/>
      <c r="X19" s="1509"/>
      <c r="Y19" s="3440"/>
      <c r="Z19" s="1510"/>
      <c r="AA19" s="1507">
        <v>1</v>
      </c>
      <c r="AB19" s="1507">
        <v>1</v>
      </c>
      <c r="AC19" s="1507">
        <v>1</v>
      </c>
    </row>
    <row r="20" spans="1:29" ht="15">
      <c r="A20" s="364"/>
      <c r="B20" s="587" t="s">
        <v>2471</v>
      </c>
      <c r="C20" s="205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40"/>
      <c r="Q20" s="1506" t="str">
        <f>B20</f>
        <v>自然及人文环境</v>
      </c>
      <c r="R20" s="714" t="s">
        <v>17</v>
      </c>
      <c r="S20" s="715">
        <f>F20</f>
        <v>100</v>
      </c>
      <c r="T20" s="714" t="s">
        <v>17</v>
      </c>
      <c r="U20" s="715">
        <f>H20</f>
        <v>100</v>
      </c>
      <c r="V20" s="714" t="s">
        <v>17</v>
      </c>
      <c r="W20" s="715">
        <f>J20</f>
        <v>100</v>
      </c>
      <c r="X20" s="1509"/>
      <c r="Y20" s="3440"/>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40"/>
      <c r="Q21" s="1506"/>
      <c r="R21" s="714"/>
      <c r="S21" s="715"/>
      <c r="T21" s="714"/>
      <c r="U21" s="715"/>
      <c r="V21" s="714"/>
      <c r="W21" s="715"/>
      <c r="X21" s="1509"/>
      <c r="Y21" s="3440"/>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40"/>
      <c r="Q22" s="1506" t="str">
        <f>B22</f>
        <v>楼层</v>
      </c>
      <c r="R22" s="714" t="s">
        <v>17</v>
      </c>
      <c r="S22" s="715">
        <f>F22</f>
        <v>100</v>
      </c>
      <c r="T22" s="714" t="s">
        <v>17</v>
      </c>
      <c r="U22" s="715">
        <f>H22</f>
        <v>100</v>
      </c>
      <c r="V22" s="714" t="s">
        <v>17</v>
      </c>
      <c r="W22" s="715">
        <f>J22</f>
        <v>100</v>
      </c>
      <c r="X22" s="1509"/>
      <c r="Y22" s="3440"/>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40"/>
      <c r="Q23" s="1506">
        <f>B23</f>
        <v>111</v>
      </c>
      <c r="R23" s="714" t="s">
        <v>17</v>
      </c>
      <c r="S23" s="715">
        <f>F23</f>
        <v>100</v>
      </c>
      <c r="T23" s="714" t="s">
        <v>17</v>
      </c>
      <c r="U23" s="715">
        <f>H23</f>
        <v>100</v>
      </c>
      <c r="V23" s="714" t="s">
        <v>17</v>
      </c>
      <c r="W23" s="715">
        <f>J23</f>
        <v>100</v>
      </c>
      <c r="X23" s="1509"/>
      <c r="Y23" s="3440"/>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40"/>
      <c r="Q24" s="1506">
        <f t="shared" ref="Q24:Q36" si="11">B24</f>
        <v>111</v>
      </c>
      <c r="R24" s="714" t="s">
        <v>17</v>
      </c>
      <c r="S24" s="715">
        <f>F24</f>
        <v>100</v>
      </c>
      <c r="T24" s="714" t="s">
        <v>17</v>
      </c>
      <c r="U24" s="715">
        <f>H24</f>
        <v>100</v>
      </c>
      <c r="V24" s="714" t="s">
        <v>17</v>
      </c>
      <c r="W24" s="715">
        <f>J24</f>
        <v>100</v>
      </c>
      <c r="X24" s="1509"/>
      <c r="Y24" s="3440"/>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40"/>
      <c r="Q25" s="1497">
        <f t="shared" si="11"/>
        <v>111</v>
      </c>
      <c r="R25" s="710" t="s">
        <v>17</v>
      </c>
      <c r="S25" s="711">
        <f>F25</f>
        <v>100</v>
      </c>
      <c r="T25" s="710" t="s">
        <v>17</v>
      </c>
      <c r="U25" s="711">
        <f>H25</f>
        <v>100</v>
      </c>
      <c r="V25" s="710" t="s">
        <v>17</v>
      </c>
      <c r="W25" s="711">
        <f>J25</f>
        <v>100</v>
      </c>
      <c r="X25" s="712"/>
      <c r="Y25" s="3440"/>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41"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42"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42"/>
      <c r="Q27" s="716" t="str">
        <f t="shared" si="11"/>
        <v>项目停车位配比</v>
      </c>
      <c r="R27" s="717" t="s">
        <v>17</v>
      </c>
      <c r="S27" s="718">
        <f t="shared" si="12"/>
        <v>100</v>
      </c>
      <c r="T27" s="717" t="s">
        <v>17</v>
      </c>
      <c r="U27" s="718">
        <f t="shared" si="13"/>
        <v>100</v>
      </c>
      <c r="V27" s="717" t="s">
        <v>17</v>
      </c>
      <c r="W27" s="718">
        <f t="shared" si="14"/>
        <v>100</v>
      </c>
      <c r="X27" s="719"/>
      <c r="Y27" s="3442"/>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42"/>
      <c r="Q28" s="1506" t="str">
        <f t="shared" si="11"/>
        <v>公共部分装修</v>
      </c>
      <c r="R28" s="714" t="s">
        <v>17</v>
      </c>
      <c r="S28" s="715">
        <f t="shared" si="12"/>
        <v>100</v>
      </c>
      <c r="T28" s="714" t="s">
        <v>17</v>
      </c>
      <c r="U28" s="715">
        <f t="shared" si="13"/>
        <v>100</v>
      </c>
      <c r="V28" s="714" t="s">
        <v>17</v>
      </c>
      <c r="W28" s="715">
        <f t="shared" si="14"/>
        <v>100</v>
      </c>
      <c r="X28" s="1509"/>
      <c r="Y28" s="3442"/>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42"/>
      <c r="Q29" s="1506" t="str">
        <f t="shared" si="11"/>
        <v>成新率</v>
      </c>
      <c r="R29" s="714" t="s">
        <v>17</v>
      </c>
      <c r="S29" s="715" t="e">
        <f t="shared" si="12"/>
        <v>#N/A</v>
      </c>
      <c r="T29" s="714" t="s">
        <v>17</v>
      </c>
      <c r="U29" s="715" t="e">
        <f t="shared" si="13"/>
        <v>#N/A</v>
      </c>
      <c r="V29" s="714" t="s">
        <v>17</v>
      </c>
      <c r="W29" s="715" t="e">
        <f t="shared" si="14"/>
        <v>#N/A</v>
      </c>
      <c r="X29" s="1509"/>
      <c r="Y29" s="3442"/>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42"/>
      <c r="Q30" s="1506" t="str">
        <f t="shared" si="11"/>
        <v>物业等级</v>
      </c>
      <c r="R30" s="714" t="s">
        <v>17</v>
      </c>
      <c r="S30" s="715">
        <f t="shared" si="12"/>
        <v>100</v>
      </c>
      <c r="T30" s="714" t="s">
        <v>17</v>
      </c>
      <c r="U30" s="715">
        <f t="shared" si="13"/>
        <v>100</v>
      </c>
      <c r="V30" s="714" t="s">
        <v>17</v>
      </c>
      <c r="W30" s="715">
        <f t="shared" si="14"/>
        <v>100</v>
      </c>
      <c r="X30" s="1509"/>
      <c r="Y30" s="3442"/>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42"/>
      <c r="Q31" s="1497" t="str">
        <f t="shared" si="11"/>
        <v>停车位面积</v>
      </c>
      <c r="R31" s="710" t="s">
        <v>17</v>
      </c>
      <c r="S31" s="711" t="e">
        <f t="shared" si="12"/>
        <v>#N/A</v>
      </c>
      <c r="T31" s="710" t="s">
        <v>17</v>
      </c>
      <c r="U31" s="711" t="e">
        <f t="shared" si="13"/>
        <v>#N/A</v>
      </c>
      <c r="V31" s="710" t="s">
        <v>17</v>
      </c>
      <c r="W31" s="711" t="e">
        <f t="shared" si="14"/>
        <v>#N/A</v>
      </c>
      <c r="X31" s="712"/>
      <c r="Y31" s="3442"/>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42" t="s">
        <v>2326</v>
      </c>
      <c r="Q32" s="1506" t="str">
        <f t="shared" si="11"/>
        <v>车位类型</v>
      </c>
      <c r="R32" s="714" t="s">
        <v>17</v>
      </c>
      <c r="S32" s="715">
        <f t="shared" si="12"/>
        <v>100</v>
      </c>
      <c r="T32" s="714" t="s">
        <v>17</v>
      </c>
      <c r="U32" s="715">
        <f t="shared" si="13"/>
        <v>100</v>
      </c>
      <c r="V32" s="714" t="s">
        <v>17</v>
      </c>
      <c r="W32" s="715">
        <f t="shared" si="14"/>
        <v>100</v>
      </c>
      <c r="X32" s="1509"/>
      <c r="Y32" s="3442"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42"/>
      <c r="Q33" s="1506" t="str">
        <f t="shared" si="11"/>
        <v>是否直接入户</v>
      </c>
      <c r="R33" s="714" t="s">
        <v>17</v>
      </c>
      <c r="S33" s="715">
        <f t="shared" si="12"/>
        <v>100</v>
      </c>
      <c r="T33" s="714" t="s">
        <v>17</v>
      </c>
      <c r="U33" s="715">
        <f t="shared" si="13"/>
        <v>100</v>
      </c>
      <c r="V33" s="714" t="s">
        <v>17</v>
      </c>
      <c r="W33" s="715">
        <f t="shared" si="14"/>
        <v>100</v>
      </c>
      <c r="X33" s="1509"/>
      <c r="Y33" s="3442"/>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42"/>
      <c r="Q34" s="1506">
        <f t="shared" si="11"/>
        <v>111</v>
      </c>
      <c r="R34" s="714" t="s">
        <v>17</v>
      </c>
      <c r="S34" s="715">
        <f t="shared" si="12"/>
        <v>100</v>
      </c>
      <c r="T34" s="714" t="s">
        <v>17</v>
      </c>
      <c r="U34" s="715">
        <f t="shared" si="13"/>
        <v>100</v>
      </c>
      <c r="V34" s="714" t="s">
        <v>17</v>
      </c>
      <c r="W34" s="715">
        <f t="shared" si="14"/>
        <v>100</v>
      </c>
      <c r="X34" s="1509"/>
      <c r="Y34" s="3442"/>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42"/>
      <c r="Q35" s="716">
        <f t="shared" si="11"/>
        <v>111</v>
      </c>
      <c r="R35" s="717" t="s">
        <v>17</v>
      </c>
      <c r="S35" s="718">
        <f t="shared" si="12"/>
        <v>100</v>
      </c>
      <c r="T35" s="717" t="s">
        <v>17</v>
      </c>
      <c r="U35" s="718">
        <f t="shared" si="13"/>
        <v>100</v>
      </c>
      <c r="V35" s="717" t="s">
        <v>17</v>
      </c>
      <c r="W35" s="718">
        <f t="shared" si="14"/>
        <v>100</v>
      </c>
      <c r="X35" s="719"/>
      <c r="Y35" s="3442"/>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42"/>
      <c r="Q36" s="1506">
        <f t="shared" si="11"/>
        <v>111</v>
      </c>
      <c r="R36" s="714" t="s">
        <v>17</v>
      </c>
      <c r="S36" s="715">
        <f t="shared" si="12"/>
        <v>100</v>
      </c>
      <c r="T36" s="714" t="s">
        <v>17</v>
      </c>
      <c r="U36" s="715">
        <f t="shared" si="13"/>
        <v>100</v>
      </c>
      <c r="V36" s="714" t="s">
        <v>17</v>
      </c>
      <c r="W36" s="715">
        <f t="shared" si="14"/>
        <v>100</v>
      </c>
      <c r="X36" s="1509"/>
      <c r="Y36" s="3442"/>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1"/>
      <c r="M37" s="2922"/>
      <c r="N37" s="2913"/>
      <c r="O37" s="2922"/>
      <c r="P37" s="3424" t="str">
        <f>A37</f>
        <v>成交单价</v>
      </c>
      <c r="Q37" s="3424"/>
      <c r="R37" s="3444">
        <f>E37</f>
        <v>0</v>
      </c>
      <c r="S37" s="3444"/>
      <c r="T37" s="3444">
        <f>G37</f>
        <v>0</v>
      </c>
      <c r="U37" s="3444"/>
      <c r="V37" s="3444">
        <f>I37</f>
        <v>0</v>
      </c>
      <c r="W37" s="3444"/>
      <c r="X37" s="699"/>
      <c r="Y37" s="721"/>
      <c r="Z37" s="699"/>
      <c r="AA37" s="699"/>
      <c r="AB37" s="699"/>
      <c r="AC37" s="699"/>
    </row>
    <row r="38" spans="1:29" ht="15.75" thickBot="1">
      <c r="A38" s="445" t="s">
        <v>2483</v>
      </c>
      <c r="B38" s="446" t="str">
        <f>B37</f>
        <v>元/车位</v>
      </c>
      <c r="C38" s="1294" t="e">
        <f>R39</f>
        <v>#DIV/0!</v>
      </c>
      <c r="D38" s="2508" t="s">
        <v>2819</v>
      </c>
      <c r="E38" s="1295" t="e">
        <f>R38</f>
        <v>#DIV/0!</v>
      </c>
      <c r="F38" s="2509"/>
      <c r="G38" s="1294" t="e">
        <f>T38</f>
        <v>#DIV/0!</v>
      </c>
      <c r="H38" s="2509"/>
      <c r="I38" s="1295" t="e">
        <f>V38</f>
        <v>#DIV/0!</v>
      </c>
      <c r="J38" s="2509"/>
      <c r="K38" s="2511">
        <f>F38+H38+J38</f>
        <v>0</v>
      </c>
      <c r="L38" s="2921"/>
      <c r="M38" s="2922"/>
      <c r="N38" s="2922"/>
      <c r="O38" s="2922"/>
      <c r="P38" s="3424" t="str">
        <f>A38</f>
        <v>比较价值（元/平方米）</v>
      </c>
      <c r="Q38" s="3424"/>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1"/>
      <c r="M39" s="2922"/>
      <c r="N39" s="2922"/>
      <c r="O39" s="2922"/>
      <c r="P39" s="3445" t="str">
        <f>A39</f>
        <v>估价对象XX用房的比较价值（楼面单价，元/平方米）</v>
      </c>
      <c r="Q39" s="3446"/>
      <c r="R39" s="3525" t="e">
        <f>IF(F1="售价",ROUND(IF(D38="简单平均",AVERAGE(R38:W38),R38*F38+T38*H38+V38*J38),0),ROUND(IF(D38="简单平均",AVERAGE(R38:V38),R38*F38+T38*H38+V38*J38),1))</f>
        <v>#DIV/0!</v>
      </c>
      <c r="S39" s="3525"/>
      <c r="T39" s="3525"/>
      <c r="U39" s="3525"/>
      <c r="V39" s="3525"/>
      <c r="W39" s="3525"/>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2488</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8" t="str">
        <f>YEAR(C7)&amp;"-"&amp;MONTH(C7)</f>
        <v>2022-8</v>
      </c>
      <c r="D48" s="1319">
        <f>EDATE(C48,-1)</f>
        <v>44743</v>
      </c>
      <c r="E48" s="1319">
        <f t="shared" ref="E48:O48" si="16">EDATE(D48,-1)</f>
        <v>44713</v>
      </c>
      <c r="F48" s="1319">
        <f t="shared" si="16"/>
        <v>44682</v>
      </c>
      <c r="G48" s="1319">
        <f t="shared" si="16"/>
        <v>44652</v>
      </c>
      <c r="H48" s="1319">
        <f t="shared" si="16"/>
        <v>44621</v>
      </c>
      <c r="I48" s="1319">
        <f t="shared" si="16"/>
        <v>44593</v>
      </c>
      <c r="J48" s="1319">
        <f t="shared" si="16"/>
        <v>44562</v>
      </c>
      <c r="K48" s="1319">
        <f t="shared" si="16"/>
        <v>44531</v>
      </c>
      <c r="L48" s="1319">
        <f t="shared" si="16"/>
        <v>44501</v>
      </c>
      <c r="M48" s="1319">
        <f t="shared" si="16"/>
        <v>44470</v>
      </c>
      <c r="N48" s="1319">
        <f t="shared" si="16"/>
        <v>44440</v>
      </c>
      <c r="O48" s="1319">
        <f t="shared" si="16"/>
        <v>44409</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25" t="s">
        <v>2407</v>
      </c>
      <c r="D4" s="3426"/>
      <c r="E4" s="3427" t="s">
        <v>2408</v>
      </c>
      <c r="F4" s="3428"/>
      <c r="G4" s="3425" t="s">
        <v>2409</v>
      </c>
      <c r="H4" s="3426"/>
      <c r="I4" s="3425" t="s">
        <v>2410</v>
      </c>
      <c r="J4" s="3426"/>
      <c r="K4" s="567" t="s">
        <v>2411</v>
      </c>
      <c r="L4" s="2912"/>
      <c r="M4" s="2913"/>
      <c r="N4" s="2913"/>
      <c r="O4" s="2913"/>
      <c r="P4" s="3429" t="s">
        <v>2412</v>
      </c>
      <c r="Q4" s="3430"/>
      <c r="R4" s="3411" t="s">
        <v>2408</v>
      </c>
      <c r="S4" s="3412"/>
      <c r="T4" s="3411" t="s">
        <v>2409</v>
      </c>
      <c r="U4" s="3412"/>
      <c r="V4" s="3437" t="s">
        <v>2410</v>
      </c>
      <c r="W4" s="3437"/>
      <c r="X4" s="1509"/>
      <c r="Y4" s="3411" t="s">
        <v>2412</v>
      </c>
      <c r="Z4" s="3412"/>
      <c r="AA4" s="3406" t="s">
        <v>2408</v>
      </c>
      <c r="AB4" s="3407" t="s">
        <v>2409</v>
      </c>
      <c r="AC4" s="3406" t="s">
        <v>2410</v>
      </c>
    </row>
    <row r="5" spans="1:29" ht="15">
      <c r="A5" s="364"/>
      <c r="B5" s="365"/>
      <c r="C5" s="3417" t="s">
        <v>2303</v>
      </c>
      <c r="D5" s="3418"/>
      <c r="E5" s="3503" t="s">
        <v>2304</v>
      </c>
      <c r="F5" s="3416"/>
      <c r="G5" s="3417" t="s">
        <v>2305</v>
      </c>
      <c r="H5" s="3418"/>
      <c r="I5" s="3417" t="s">
        <v>2306</v>
      </c>
      <c r="J5" s="3418"/>
      <c r="K5" s="567"/>
      <c r="L5" s="2912"/>
      <c r="M5" s="2913"/>
      <c r="N5" s="2913"/>
      <c r="O5" s="2913"/>
      <c r="P5" s="3431"/>
      <c r="Q5" s="3432"/>
      <c r="R5" s="3413"/>
      <c r="S5" s="3414"/>
      <c r="T5" s="3413"/>
      <c r="U5" s="3414"/>
      <c r="V5" s="3437"/>
      <c r="W5" s="3437"/>
      <c r="X5" s="1509"/>
      <c r="Y5" s="3413"/>
      <c r="Z5" s="3414"/>
      <c r="AA5" s="3407"/>
      <c r="AB5" s="3407"/>
      <c r="AC5" s="3407"/>
    </row>
    <row r="6" spans="1:29" ht="15.75" thickBot="1">
      <c r="A6" s="366"/>
      <c r="B6" s="367"/>
      <c r="C6" s="3419" t="s">
        <v>2307</v>
      </c>
      <c r="D6" s="3420"/>
      <c r="E6" s="3422" t="s">
        <v>2307</v>
      </c>
      <c r="F6" s="3423"/>
      <c r="G6" s="3419" t="s">
        <v>2307</v>
      </c>
      <c r="H6" s="3420"/>
      <c r="I6" s="3419" t="s">
        <v>2307</v>
      </c>
      <c r="J6" s="3420"/>
      <c r="K6" s="567" t="s">
        <v>2308</v>
      </c>
      <c r="L6" s="2912"/>
      <c r="M6" s="2913"/>
      <c r="N6" s="2913"/>
      <c r="O6" s="2913"/>
      <c r="P6" s="3433"/>
      <c r="Q6" s="3434"/>
      <c r="R6" s="3413"/>
      <c r="S6" s="3414"/>
      <c r="T6" s="3435"/>
      <c r="U6" s="3436"/>
      <c r="V6" s="3437"/>
      <c r="W6" s="3437"/>
      <c r="X6" s="1509"/>
      <c r="Y6" s="3435"/>
      <c r="Z6" s="3436"/>
      <c r="AA6" s="3408"/>
      <c r="AB6" s="3408"/>
      <c r="AC6" s="3408"/>
    </row>
    <row r="7" spans="1:29" s="113" customFormat="1" ht="15.75" thickBot="1">
      <c r="A7" s="368" t="s">
        <v>2309</v>
      </c>
      <c r="B7" s="369"/>
      <c r="C7" s="370">
        <f>'数据-取费表'!B2</f>
        <v>44781</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09" t="s">
        <v>2310</v>
      </c>
      <c r="Q7" s="3438"/>
      <c r="R7" s="710" t="s">
        <v>17</v>
      </c>
      <c r="S7" s="711">
        <f t="shared" ref="S7:S14" si="0">F7</f>
        <v>0</v>
      </c>
      <c r="T7" s="710" t="s">
        <v>17</v>
      </c>
      <c r="U7" s="711">
        <f t="shared" ref="U7:U14" si="1">H7</f>
        <v>0</v>
      </c>
      <c r="V7" s="710" t="s">
        <v>17</v>
      </c>
      <c r="W7" s="711">
        <f t="shared" ref="W7:W14" si="2">J7</f>
        <v>0</v>
      </c>
      <c r="X7" s="712"/>
      <c r="Y7" s="3409" t="s">
        <v>2310</v>
      </c>
      <c r="Z7" s="3410"/>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09" t="s">
        <v>2313</v>
      </c>
      <c r="Q8" s="3410"/>
      <c r="R8" s="710" t="s">
        <v>17</v>
      </c>
      <c r="S8" s="711">
        <f t="shared" si="0"/>
        <v>0</v>
      </c>
      <c r="T8" s="710" t="s">
        <v>17</v>
      </c>
      <c r="U8" s="711">
        <f t="shared" si="1"/>
        <v>0</v>
      </c>
      <c r="V8" s="710" t="s">
        <v>17</v>
      </c>
      <c r="W8" s="711">
        <f t="shared" si="2"/>
        <v>0</v>
      </c>
      <c r="X8" s="712"/>
      <c r="Y8" s="3409" t="s">
        <v>2313</v>
      </c>
      <c r="Z8" s="3410"/>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24" t="s">
        <v>2316</v>
      </c>
      <c r="Q9" s="1497" t="str">
        <f t="shared" ref="Q9:Q14" si="6">B9</f>
        <v>用途</v>
      </c>
      <c r="R9" s="710" t="s">
        <v>17</v>
      </c>
      <c r="S9" s="711">
        <f t="shared" si="0"/>
        <v>100</v>
      </c>
      <c r="T9" s="710" t="s">
        <v>17</v>
      </c>
      <c r="U9" s="711">
        <f t="shared" si="1"/>
        <v>100</v>
      </c>
      <c r="V9" s="710" t="s">
        <v>17</v>
      </c>
      <c r="W9" s="711">
        <f t="shared" si="2"/>
        <v>100</v>
      </c>
      <c r="X9" s="712"/>
      <c r="Y9" s="3382"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24"/>
      <c r="Q10" s="1497" t="str">
        <f t="shared" si="6"/>
        <v>土地使用年限（年）</v>
      </c>
      <c r="R10" s="710" t="s">
        <v>17</v>
      </c>
      <c r="S10" s="711">
        <f t="shared" si="0"/>
        <v>100</v>
      </c>
      <c r="T10" s="710" t="s">
        <v>17</v>
      </c>
      <c r="U10" s="711">
        <f t="shared" si="1"/>
        <v>100</v>
      </c>
      <c r="V10" s="710" t="s">
        <v>17</v>
      </c>
      <c r="W10" s="711">
        <f t="shared" si="2"/>
        <v>100</v>
      </c>
      <c r="X10" s="712"/>
      <c r="Y10" s="3382"/>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24"/>
      <c r="Q11" s="1497">
        <f t="shared" si="6"/>
        <v>111</v>
      </c>
      <c r="R11" s="710" t="s">
        <v>17</v>
      </c>
      <c r="S11" s="711">
        <f t="shared" si="0"/>
        <v>100</v>
      </c>
      <c r="T11" s="710" t="s">
        <v>17</v>
      </c>
      <c r="U11" s="711">
        <f t="shared" si="1"/>
        <v>100</v>
      </c>
      <c r="V11" s="710" t="s">
        <v>17</v>
      </c>
      <c r="W11" s="711">
        <f t="shared" si="2"/>
        <v>100</v>
      </c>
      <c r="X11" s="712"/>
      <c r="Y11" s="3382"/>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24"/>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24"/>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
      <c r="A14" s="399" t="s">
        <v>2320</v>
      </c>
      <c r="B14" s="65" t="s">
        <v>2470</v>
      </c>
      <c r="C14" s="212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39" t="s">
        <v>2321</v>
      </c>
      <c r="Q14" s="1506" t="str">
        <f t="shared" si="6"/>
        <v>交通便捷度</v>
      </c>
      <c r="R14" s="714" t="s">
        <v>17</v>
      </c>
      <c r="S14" s="715">
        <f t="shared" si="0"/>
        <v>100</v>
      </c>
      <c r="T14" s="714" t="s">
        <v>17</v>
      </c>
      <c r="U14" s="715">
        <f t="shared" si="1"/>
        <v>100</v>
      </c>
      <c r="V14" s="714" t="s">
        <v>17</v>
      </c>
      <c r="W14" s="715">
        <f t="shared" si="2"/>
        <v>100</v>
      </c>
      <c r="X14" s="1509"/>
      <c r="Y14" s="3439"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40"/>
      <c r="Q15" s="1506"/>
      <c r="R15" s="714"/>
      <c r="S15" s="715"/>
      <c r="T15" s="714"/>
      <c r="U15" s="715"/>
      <c r="V15" s="714"/>
      <c r="W15" s="715"/>
      <c r="X15" s="1509"/>
      <c r="Y15" s="3440"/>
      <c r="Z15" s="1510"/>
      <c r="AA15" s="1507">
        <v>1</v>
      </c>
      <c r="AB15" s="1507">
        <v>1</v>
      </c>
      <c r="AC15" s="1507">
        <v>1</v>
      </c>
    </row>
    <row r="16" spans="1:29" ht="15">
      <c r="A16" s="387"/>
      <c r="B16" s="410" t="s">
        <v>2449</v>
      </c>
      <c r="C16" s="205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40"/>
      <c r="Q16" s="1506" t="str">
        <f>B16</f>
        <v>公共配套设施</v>
      </c>
      <c r="R16" s="714" t="s">
        <v>17</v>
      </c>
      <c r="S16" s="715">
        <f>F16</f>
        <v>100</v>
      </c>
      <c r="T16" s="714" t="s">
        <v>17</v>
      </c>
      <c r="U16" s="715">
        <f>H16</f>
        <v>100</v>
      </c>
      <c r="V16" s="714" t="s">
        <v>17</v>
      </c>
      <c r="W16" s="715">
        <f>J16</f>
        <v>100</v>
      </c>
      <c r="X16" s="1509"/>
      <c r="Y16" s="3440"/>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40"/>
      <c r="Q17" s="1506"/>
      <c r="R17" s="714"/>
      <c r="S17" s="715"/>
      <c r="T17" s="714"/>
      <c r="U17" s="715"/>
      <c r="V17" s="714"/>
      <c r="W17" s="715"/>
      <c r="X17" s="1509"/>
      <c r="Y17" s="3440"/>
      <c r="Z17" s="1510"/>
      <c r="AA17" s="1507">
        <v>1</v>
      </c>
      <c r="AB17" s="1507">
        <v>1</v>
      </c>
      <c r="AC17" s="1507">
        <v>1</v>
      </c>
    </row>
    <row r="18" spans="1:29" ht="15">
      <c r="A18" s="387"/>
      <c r="B18" s="1265" t="s">
        <v>2450</v>
      </c>
      <c r="C18" s="205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40"/>
      <c r="Q18" s="1506" t="str">
        <f>B18</f>
        <v>基础设施水平</v>
      </c>
      <c r="R18" s="714" t="s">
        <v>17</v>
      </c>
      <c r="S18" s="715">
        <f>F18</f>
        <v>100</v>
      </c>
      <c r="T18" s="714" t="s">
        <v>17</v>
      </c>
      <c r="U18" s="715">
        <f>H18</f>
        <v>100</v>
      </c>
      <c r="V18" s="714" t="s">
        <v>17</v>
      </c>
      <c r="W18" s="715">
        <f>J18</f>
        <v>100</v>
      </c>
      <c r="X18" s="1509"/>
      <c r="Y18" s="3440"/>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40"/>
      <c r="Q19" s="1506"/>
      <c r="R19" s="714"/>
      <c r="S19" s="715"/>
      <c r="T19" s="714"/>
      <c r="U19" s="715"/>
      <c r="V19" s="714"/>
      <c r="W19" s="715"/>
      <c r="X19" s="1509"/>
      <c r="Y19" s="3440"/>
      <c r="Z19" s="1510"/>
      <c r="AA19" s="1507">
        <v>1</v>
      </c>
      <c r="AB19" s="1507">
        <v>1</v>
      </c>
      <c r="AC19" s="1507">
        <v>1</v>
      </c>
    </row>
    <row r="20" spans="1:29" ht="15">
      <c r="A20" s="387"/>
      <c r="B20" s="410" t="s">
        <v>2471</v>
      </c>
      <c r="C20" s="205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40"/>
      <c r="Q20" s="1506" t="str">
        <f>B20</f>
        <v>自然及人文环境</v>
      </c>
      <c r="R20" s="714" t="s">
        <v>17</v>
      </c>
      <c r="S20" s="715">
        <f>F20</f>
        <v>100</v>
      </c>
      <c r="T20" s="714" t="s">
        <v>17</v>
      </c>
      <c r="U20" s="715">
        <f>H20</f>
        <v>100</v>
      </c>
      <c r="V20" s="714" t="s">
        <v>17</v>
      </c>
      <c r="W20" s="715">
        <f>J20</f>
        <v>100</v>
      </c>
      <c r="X20" s="1509"/>
      <c r="Y20" s="3440"/>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40"/>
      <c r="Q21" s="1506"/>
      <c r="R21" s="714"/>
      <c r="S21" s="715"/>
      <c r="T21" s="714"/>
      <c r="U21" s="715"/>
      <c r="V21" s="714"/>
      <c r="W21" s="715"/>
      <c r="X21" s="1509"/>
      <c r="Y21" s="3440"/>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40"/>
      <c r="Q22" s="1506" t="str">
        <f>B22</f>
        <v>楼层</v>
      </c>
      <c r="R22" s="714" t="s">
        <v>17</v>
      </c>
      <c r="S22" s="715">
        <f>F22</f>
        <v>100</v>
      </c>
      <c r="T22" s="714" t="s">
        <v>17</v>
      </c>
      <c r="U22" s="715">
        <f>H22</f>
        <v>100</v>
      </c>
      <c r="V22" s="714" t="s">
        <v>17</v>
      </c>
      <c r="W22" s="715">
        <f>J22</f>
        <v>100</v>
      </c>
      <c r="X22" s="1509"/>
      <c r="Y22" s="3440"/>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40"/>
      <c r="Q23" s="1506">
        <f>B23</f>
        <v>111</v>
      </c>
      <c r="R23" s="714" t="s">
        <v>17</v>
      </c>
      <c r="S23" s="715">
        <f>F23</f>
        <v>100</v>
      </c>
      <c r="T23" s="714" t="s">
        <v>17</v>
      </c>
      <c r="U23" s="715">
        <f>H23</f>
        <v>100</v>
      </c>
      <c r="V23" s="714" t="s">
        <v>17</v>
      </c>
      <c r="W23" s="715">
        <f>J23</f>
        <v>100</v>
      </c>
      <c r="X23" s="1509"/>
      <c r="Y23" s="3440"/>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40"/>
      <c r="Q24" s="1506">
        <f t="shared" ref="Q24:Q34" si="11">B24</f>
        <v>111</v>
      </c>
      <c r="R24" s="714" t="s">
        <v>17</v>
      </c>
      <c r="S24" s="715">
        <f>F24</f>
        <v>100</v>
      </c>
      <c r="T24" s="714" t="s">
        <v>17</v>
      </c>
      <c r="U24" s="715">
        <f>H24</f>
        <v>100</v>
      </c>
      <c r="V24" s="714" t="s">
        <v>17</v>
      </c>
      <c r="W24" s="715">
        <f>J24</f>
        <v>100</v>
      </c>
      <c r="X24" s="1509"/>
      <c r="Y24" s="3440"/>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40"/>
      <c r="Q25" s="1497">
        <f t="shared" si="11"/>
        <v>111</v>
      </c>
      <c r="R25" s="710" t="s">
        <v>17</v>
      </c>
      <c r="S25" s="711">
        <f>F25</f>
        <v>100</v>
      </c>
      <c r="T25" s="710" t="s">
        <v>17</v>
      </c>
      <c r="U25" s="711">
        <f>H25</f>
        <v>100</v>
      </c>
      <c r="V25" s="710" t="s">
        <v>17</v>
      </c>
      <c r="W25" s="711">
        <f>J25</f>
        <v>100</v>
      </c>
      <c r="X25" s="712"/>
      <c r="Y25" s="3440"/>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441"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42"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42"/>
      <c r="Q27" s="716" t="str">
        <f t="shared" si="11"/>
        <v>成新率</v>
      </c>
      <c r="R27" s="717" t="s">
        <v>17</v>
      </c>
      <c r="S27" s="718" t="e">
        <f t="shared" si="12"/>
        <v>#N/A</v>
      </c>
      <c r="T27" s="717" t="s">
        <v>17</v>
      </c>
      <c r="U27" s="718" t="e">
        <f t="shared" si="13"/>
        <v>#N/A</v>
      </c>
      <c r="V27" s="717" t="s">
        <v>17</v>
      </c>
      <c r="W27" s="718" t="e">
        <f t="shared" si="14"/>
        <v>#N/A</v>
      </c>
      <c r="X27" s="719"/>
      <c r="Y27" s="3442"/>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42"/>
      <c r="Q28" s="1506" t="str">
        <f t="shared" si="11"/>
        <v>物业等级</v>
      </c>
      <c r="R28" s="714" t="s">
        <v>17</v>
      </c>
      <c r="S28" s="715">
        <f t="shared" si="12"/>
        <v>100</v>
      </c>
      <c r="T28" s="714" t="s">
        <v>17</v>
      </c>
      <c r="U28" s="715">
        <f t="shared" si="13"/>
        <v>100</v>
      </c>
      <c r="V28" s="714" t="s">
        <v>17</v>
      </c>
      <c r="W28" s="715">
        <f t="shared" si="14"/>
        <v>100</v>
      </c>
      <c r="X28" s="1509"/>
      <c r="Y28" s="3442"/>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42"/>
      <c r="Q29" s="1506" t="str">
        <f t="shared" si="11"/>
        <v>有无电梯</v>
      </c>
      <c r="R29" s="714" t="s">
        <v>17</v>
      </c>
      <c r="S29" s="715">
        <f t="shared" si="12"/>
        <v>100</v>
      </c>
      <c r="T29" s="714" t="s">
        <v>17</v>
      </c>
      <c r="U29" s="715">
        <f t="shared" si="13"/>
        <v>100</v>
      </c>
      <c r="V29" s="714" t="s">
        <v>17</v>
      </c>
      <c r="W29" s="715">
        <f t="shared" si="14"/>
        <v>100</v>
      </c>
      <c r="X29" s="1509"/>
      <c r="Y29" s="3442"/>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42"/>
      <c r="Q30" s="1506" t="str">
        <f t="shared" si="11"/>
        <v>建筑面积</v>
      </c>
      <c r="R30" s="714" t="s">
        <v>17</v>
      </c>
      <c r="S30" s="715" t="e">
        <f t="shared" si="12"/>
        <v>#N/A</v>
      </c>
      <c r="T30" s="714" t="s">
        <v>17</v>
      </c>
      <c r="U30" s="715" t="e">
        <f t="shared" si="13"/>
        <v>#N/A</v>
      </c>
      <c r="V30" s="714" t="s">
        <v>17</v>
      </c>
      <c r="W30" s="715" t="e">
        <f t="shared" si="14"/>
        <v>#N/A</v>
      </c>
      <c r="X30" s="1509"/>
      <c r="Y30" s="3442"/>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42"/>
      <c r="Q31" s="1497" t="str">
        <f t="shared" si="11"/>
        <v>是否封闭</v>
      </c>
      <c r="R31" s="710" t="s">
        <v>17</v>
      </c>
      <c r="S31" s="711">
        <f t="shared" si="12"/>
        <v>100</v>
      </c>
      <c r="T31" s="710" t="s">
        <v>17</v>
      </c>
      <c r="U31" s="711">
        <f t="shared" si="13"/>
        <v>100</v>
      </c>
      <c r="V31" s="710" t="s">
        <v>17</v>
      </c>
      <c r="W31" s="711">
        <f t="shared" si="14"/>
        <v>100</v>
      </c>
      <c r="X31" s="712"/>
      <c r="Y31" s="3442"/>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42" t="s">
        <v>2326</v>
      </c>
      <c r="Q32" s="1506">
        <f t="shared" si="11"/>
        <v>111</v>
      </c>
      <c r="R32" s="714" t="s">
        <v>17</v>
      </c>
      <c r="S32" s="715">
        <f t="shared" si="12"/>
        <v>100</v>
      </c>
      <c r="T32" s="714" t="s">
        <v>17</v>
      </c>
      <c r="U32" s="715">
        <f t="shared" si="13"/>
        <v>100</v>
      </c>
      <c r="V32" s="714" t="s">
        <v>17</v>
      </c>
      <c r="W32" s="715">
        <f t="shared" si="14"/>
        <v>100</v>
      </c>
      <c r="X32" s="1509"/>
      <c r="Y32" s="3442"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42"/>
      <c r="Q33" s="1506">
        <f t="shared" si="11"/>
        <v>111</v>
      </c>
      <c r="R33" s="714" t="s">
        <v>17</v>
      </c>
      <c r="S33" s="715">
        <f t="shared" si="12"/>
        <v>100</v>
      </c>
      <c r="T33" s="714" t="s">
        <v>17</v>
      </c>
      <c r="U33" s="715">
        <f t="shared" si="13"/>
        <v>100</v>
      </c>
      <c r="V33" s="714" t="s">
        <v>17</v>
      </c>
      <c r="W33" s="715">
        <f t="shared" si="14"/>
        <v>100</v>
      </c>
      <c r="X33" s="1509"/>
      <c r="Y33" s="3442"/>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42"/>
      <c r="Q34" s="1506">
        <f t="shared" si="11"/>
        <v>111</v>
      </c>
      <c r="R34" s="714" t="s">
        <v>17</v>
      </c>
      <c r="S34" s="715">
        <f t="shared" si="12"/>
        <v>100</v>
      </c>
      <c r="T34" s="714" t="s">
        <v>17</v>
      </c>
      <c r="U34" s="715">
        <f t="shared" si="13"/>
        <v>100</v>
      </c>
      <c r="V34" s="714" t="s">
        <v>17</v>
      </c>
      <c r="W34" s="715">
        <f t="shared" si="14"/>
        <v>100</v>
      </c>
      <c r="X34" s="1509"/>
      <c r="Y34" s="3442"/>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1"/>
      <c r="M35" s="2922"/>
      <c r="N35" s="2913"/>
      <c r="O35" s="2922"/>
      <c r="P35" s="3424" t="str">
        <f>A35</f>
        <v>成交单价（元/平方米）</v>
      </c>
      <c r="Q35" s="3424"/>
      <c r="R35" s="3444">
        <f>E35</f>
        <v>0</v>
      </c>
      <c r="S35" s="3444"/>
      <c r="T35" s="3444">
        <f>G35</f>
        <v>0</v>
      </c>
      <c r="U35" s="3444"/>
      <c r="V35" s="3444">
        <f>I35</f>
        <v>0</v>
      </c>
      <c r="W35" s="3444"/>
      <c r="X35" s="699"/>
      <c r="Y35" s="721"/>
      <c r="Z35" s="699"/>
      <c r="AA35" s="699"/>
      <c r="AB35" s="699"/>
      <c r="AC35" s="699"/>
    </row>
    <row r="36" spans="1:30" ht="15.75" thickBot="1">
      <c r="A36" s="445" t="s">
        <v>2430</v>
      </c>
      <c r="B36" s="446"/>
      <c r="C36" s="1294" t="e">
        <f>R37</f>
        <v>#DIV/0!</v>
      </c>
      <c r="D36" s="2508" t="s">
        <v>2819</v>
      </c>
      <c r="E36" s="1295" t="e">
        <f>R36</f>
        <v>#DIV/0!</v>
      </c>
      <c r="F36" s="2509"/>
      <c r="G36" s="1294" t="e">
        <f>T36</f>
        <v>#DIV/0!</v>
      </c>
      <c r="H36" s="2509"/>
      <c r="I36" s="1295" t="e">
        <f>V36</f>
        <v>#DIV/0!</v>
      </c>
      <c r="J36" s="2509"/>
      <c r="K36" s="2511">
        <f>F36+H36+J36</f>
        <v>0</v>
      </c>
      <c r="L36" s="2921"/>
      <c r="M36" s="2922"/>
      <c r="N36" s="2913"/>
      <c r="O36" s="2922"/>
      <c r="P36" s="3424" t="str">
        <f>A36</f>
        <v>比较价值（元/平方米）</v>
      </c>
      <c r="Q36" s="3424"/>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1"/>
      <c r="M37" s="2922"/>
      <c r="N37" s="2922"/>
      <c r="O37" s="2922"/>
      <c r="P37" s="3445" t="str">
        <f>A37</f>
        <v>估价对象XX用房的比较价值（楼面单价，元/平方米）</v>
      </c>
      <c r="Q37" s="3446"/>
      <c r="R37" s="3525" t="e">
        <f>IF(F1="售价",ROUND(IF(D36="简单平均",AVERAGE(R36:W36),R36*F36+T36*H36+V36*J36),0),ROUND(IF(D36="简单平均",AVERAGE(R36:V36),R36*F36+T36*H36+V36*J36),1))</f>
        <v>#DIV/0!</v>
      </c>
      <c r="S37" s="3525"/>
      <c r="T37" s="3525"/>
      <c r="U37" s="3525"/>
      <c r="V37" s="3525"/>
      <c r="W37" s="3525"/>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8" t="str">
        <f>YEAR(C7)&amp;"-"&amp;MONTH(C7)</f>
        <v>2022-8</v>
      </c>
      <c r="D46" s="1319">
        <f>EDATE(C46,-1)</f>
        <v>44743</v>
      </c>
      <c r="E46" s="1319">
        <f t="shared" ref="E46:O46" si="16">EDATE(D46,-1)</f>
        <v>44713</v>
      </c>
      <c r="F46" s="1319">
        <f t="shared" si="16"/>
        <v>44682</v>
      </c>
      <c r="G46" s="1319">
        <f t="shared" si="16"/>
        <v>44652</v>
      </c>
      <c r="H46" s="1319">
        <f t="shared" si="16"/>
        <v>44621</v>
      </c>
      <c r="I46" s="1319">
        <f t="shared" si="16"/>
        <v>44593</v>
      </c>
      <c r="J46" s="1319">
        <f t="shared" si="16"/>
        <v>44562</v>
      </c>
      <c r="K46" s="1319">
        <f t="shared" si="16"/>
        <v>44531</v>
      </c>
      <c r="L46" s="1319">
        <f t="shared" si="16"/>
        <v>44501</v>
      </c>
      <c r="M46" s="1319">
        <f t="shared" si="16"/>
        <v>44470</v>
      </c>
      <c r="N46" s="1319">
        <f t="shared" si="16"/>
        <v>44440</v>
      </c>
      <c r="O46" s="1319">
        <f t="shared" si="16"/>
        <v>44409</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25" t="s">
        <v>2407</v>
      </c>
      <c r="D4" s="3426"/>
      <c r="E4" s="3427" t="s">
        <v>2408</v>
      </c>
      <c r="F4" s="3428"/>
      <c r="G4" s="3425" t="s">
        <v>2409</v>
      </c>
      <c r="H4" s="3426"/>
      <c r="I4" s="3425" t="s">
        <v>2410</v>
      </c>
      <c r="J4" s="3426"/>
      <c r="K4" s="567" t="s">
        <v>2411</v>
      </c>
      <c r="L4" s="2912"/>
      <c r="M4" s="2913"/>
      <c r="N4" s="2913"/>
      <c r="O4" s="2913"/>
      <c r="P4" s="3429" t="s">
        <v>2412</v>
      </c>
      <c r="Q4" s="3430"/>
      <c r="R4" s="3411" t="s">
        <v>2408</v>
      </c>
      <c r="S4" s="3412"/>
      <c r="T4" s="3411" t="s">
        <v>2409</v>
      </c>
      <c r="U4" s="3412"/>
      <c r="V4" s="3437" t="s">
        <v>2410</v>
      </c>
      <c r="W4" s="3437"/>
      <c r="X4" s="1509"/>
      <c r="Y4" s="3411" t="s">
        <v>2412</v>
      </c>
      <c r="Z4" s="3412"/>
      <c r="AA4" s="3406" t="s">
        <v>2408</v>
      </c>
      <c r="AB4" s="3407" t="s">
        <v>2409</v>
      </c>
      <c r="AC4" s="3406" t="s">
        <v>2410</v>
      </c>
    </row>
    <row r="5" spans="1:30" ht="15">
      <c r="A5" s="364"/>
      <c r="B5" s="365"/>
      <c r="C5" s="3417" t="s">
        <v>2303</v>
      </c>
      <c r="D5" s="3418"/>
      <c r="E5" s="3503" t="s">
        <v>2304</v>
      </c>
      <c r="F5" s="3416"/>
      <c r="G5" s="3417" t="s">
        <v>2305</v>
      </c>
      <c r="H5" s="3418"/>
      <c r="I5" s="3417" t="s">
        <v>2306</v>
      </c>
      <c r="J5" s="3418"/>
      <c r="K5" s="567"/>
      <c r="L5" s="2912"/>
      <c r="M5" s="2913"/>
      <c r="N5" s="2913"/>
      <c r="O5" s="2913"/>
      <c r="P5" s="3431"/>
      <c r="Q5" s="3432"/>
      <c r="R5" s="3413"/>
      <c r="S5" s="3414"/>
      <c r="T5" s="3413"/>
      <c r="U5" s="3414"/>
      <c r="V5" s="3437"/>
      <c r="W5" s="3437"/>
      <c r="X5" s="1509"/>
      <c r="Y5" s="3413"/>
      <c r="Z5" s="3414"/>
      <c r="AA5" s="3407"/>
      <c r="AB5" s="3407"/>
      <c r="AC5" s="3407"/>
    </row>
    <row r="6" spans="1:30" ht="15.75" thickBot="1">
      <c r="A6" s="366"/>
      <c r="B6" s="367"/>
      <c r="C6" s="3419" t="s">
        <v>2307</v>
      </c>
      <c r="D6" s="3420"/>
      <c r="E6" s="3422" t="s">
        <v>2307</v>
      </c>
      <c r="F6" s="3423"/>
      <c r="G6" s="3419" t="s">
        <v>2307</v>
      </c>
      <c r="H6" s="3420"/>
      <c r="I6" s="3419" t="s">
        <v>2307</v>
      </c>
      <c r="J6" s="3420"/>
      <c r="K6" s="567" t="s">
        <v>2308</v>
      </c>
      <c r="L6" s="2912"/>
      <c r="M6" s="2913"/>
      <c r="N6" s="2913"/>
      <c r="O6" s="2913"/>
      <c r="P6" s="3433"/>
      <c r="Q6" s="3434"/>
      <c r="R6" s="3413"/>
      <c r="S6" s="3414"/>
      <c r="T6" s="3435"/>
      <c r="U6" s="3436"/>
      <c r="V6" s="3437"/>
      <c r="W6" s="3437"/>
      <c r="X6" s="1509"/>
      <c r="Y6" s="3435"/>
      <c r="Z6" s="3436"/>
      <c r="AA6" s="3408"/>
      <c r="AB6" s="3408"/>
      <c r="AC6" s="3408"/>
    </row>
    <row r="7" spans="1:30" s="113" customFormat="1" ht="15.75" thickBot="1">
      <c r="A7" s="368" t="s">
        <v>2309</v>
      </c>
      <c r="B7" s="369"/>
      <c r="C7" s="370">
        <f>'数据-取费表'!B2</f>
        <v>44781</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09" t="s">
        <v>2310</v>
      </c>
      <c r="Q7" s="3438"/>
      <c r="R7" s="710" t="s">
        <v>17</v>
      </c>
      <c r="S7" s="711">
        <f t="shared" ref="S7:S15" si="0">F7</f>
        <v>0</v>
      </c>
      <c r="T7" s="710" t="s">
        <v>17</v>
      </c>
      <c r="U7" s="711">
        <f t="shared" ref="U7:U15" si="1">H7</f>
        <v>0</v>
      </c>
      <c r="V7" s="710" t="s">
        <v>17</v>
      </c>
      <c r="W7" s="711">
        <f t="shared" ref="W7:W15" si="2">J7</f>
        <v>0</v>
      </c>
      <c r="X7" s="712"/>
      <c r="Y7" s="3409" t="s">
        <v>2310</v>
      </c>
      <c r="Z7" s="3410"/>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09" t="s">
        <v>2313</v>
      </c>
      <c r="Q8" s="3410"/>
      <c r="R8" s="710" t="s">
        <v>17</v>
      </c>
      <c r="S8" s="711">
        <f t="shared" si="0"/>
        <v>0</v>
      </c>
      <c r="T8" s="710" t="s">
        <v>17</v>
      </c>
      <c r="U8" s="711">
        <f t="shared" si="1"/>
        <v>0</v>
      </c>
      <c r="V8" s="710" t="s">
        <v>17</v>
      </c>
      <c r="W8" s="711">
        <f t="shared" si="2"/>
        <v>0</v>
      </c>
      <c r="X8" s="712"/>
      <c r="Y8" s="3409" t="s">
        <v>2313</v>
      </c>
      <c r="Z8" s="3410"/>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24" t="s">
        <v>2316</v>
      </c>
      <c r="Q9" s="1497" t="str">
        <f t="shared" ref="Q9:Q15" si="6">B9</f>
        <v>用途</v>
      </c>
      <c r="R9" s="710" t="s">
        <v>17</v>
      </c>
      <c r="S9" s="711">
        <f t="shared" si="0"/>
        <v>100</v>
      </c>
      <c r="T9" s="710" t="s">
        <v>17</v>
      </c>
      <c r="U9" s="711">
        <f t="shared" si="1"/>
        <v>100</v>
      </c>
      <c r="V9" s="710" t="s">
        <v>17</v>
      </c>
      <c r="W9" s="711">
        <f t="shared" si="2"/>
        <v>100</v>
      </c>
      <c r="X9" s="712"/>
      <c r="Y9" s="3382"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108</v>
      </c>
      <c r="G10" s="422"/>
      <c r="H10" s="132">
        <f>ROUND(100/'数据-取费表'!G16,0)</f>
        <v>108</v>
      </c>
      <c r="I10" s="422"/>
      <c r="J10" s="132">
        <f>ROUND(100/'数据-取费表'!G16,0)</f>
        <v>108</v>
      </c>
      <c r="K10" s="628"/>
      <c r="L10" s="2916"/>
      <c r="M10" s="2917"/>
      <c r="N10" s="2917"/>
      <c r="O10" s="2970"/>
      <c r="P10" s="3424"/>
      <c r="Q10" s="1497" t="str">
        <f t="shared" si="6"/>
        <v>土地使用年限（年）</v>
      </c>
      <c r="R10" s="710" t="s">
        <v>17</v>
      </c>
      <c r="S10" s="711">
        <f t="shared" si="0"/>
        <v>108</v>
      </c>
      <c r="T10" s="710" t="s">
        <v>17</v>
      </c>
      <c r="U10" s="711">
        <f t="shared" si="1"/>
        <v>108</v>
      </c>
      <c r="V10" s="710" t="s">
        <v>17</v>
      </c>
      <c r="W10" s="711">
        <f t="shared" si="2"/>
        <v>108</v>
      </c>
      <c r="X10" s="712"/>
      <c r="Y10" s="3382"/>
      <c r="Z10" s="55" t="str">
        <f t="shared" si="7"/>
        <v>土地使用年限（年）</v>
      </c>
      <c r="AA10" s="713">
        <f t="shared" si="3"/>
        <v>0.92592592592592593</v>
      </c>
      <c r="AB10" s="713">
        <f t="shared" si="4"/>
        <v>0.92592592592592593</v>
      </c>
      <c r="AC10" s="713">
        <f t="shared" si="5"/>
        <v>0.92592592592592593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24"/>
      <c r="Q11" s="1497" t="str">
        <f t="shared" si="6"/>
        <v>容积率</v>
      </c>
      <c r="R11" s="710" t="s">
        <v>17</v>
      </c>
      <c r="S11" s="711" t="e">
        <f t="shared" si="0"/>
        <v>#N/A</v>
      </c>
      <c r="T11" s="710" t="s">
        <v>17</v>
      </c>
      <c r="U11" s="711" t="e">
        <f t="shared" si="1"/>
        <v>#N/A</v>
      </c>
      <c r="V11" s="710" t="s">
        <v>17</v>
      </c>
      <c r="W11" s="711" t="e">
        <f t="shared" si="2"/>
        <v>#N/A</v>
      </c>
      <c r="X11" s="712"/>
      <c r="Y11" s="3382"/>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24"/>
      <c r="Q12" s="1497" t="str">
        <f t="shared" si="6"/>
        <v>配建</v>
      </c>
      <c r="R12" s="710" t="s">
        <v>17</v>
      </c>
      <c r="S12" s="711">
        <f t="shared" si="0"/>
        <v>100</v>
      </c>
      <c r="T12" s="710" t="s">
        <v>17</v>
      </c>
      <c r="U12" s="711">
        <f t="shared" si="1"/>
        <v>100</v>
      </c>
      <c r="V12" s="710" t="s">
        <v>17</v>
      </c>
      <c r="W12" s="711">
        <f t="shared" si="2"/>
        <v>100</v>
      </c>
      <c r="X12" s="712"/>
      <c r="Y12" s="3382"/>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24"/>
      <c r="Q13" s="1497">
        <f t="shared" si="6"/>
        <v>111</v>
      </c>
      <c r="R13" s="710" t="s">
        <v>17</v>
      </c>
      <c r="S13" s="711">
        <f t="shared" si="0"/>
        <v>100</v>
      </c>
      <c r="T13" s="710" t="s">
        <v>17</v>
      </c>
      <c r="U13" s="711">
        <f t="shared" si="1"/>
        <v>100</v>
      </c>
      <c r="V13" s="710" t="s">
        <v>17</v>
      </c>
      <c r="W13" s="711">
        <f t="shared" si="2"/>
        <v>100</v>
      </c>
      <c r="X13" s="712"/>
      <c r="Y13" s="3382"/>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24"/>
      <c r="Q14" s="1497">
        <f t="shared" si="6"/>
        <v>111</v>
      </c>
      <c r="R14" s="710" t="s">
        <v>17</v>
      </c>
      <c r="S14" s="711">
        <f t="shared" si="0"/>
        <v>100</v>
      </c>
      <c r="T14" s="710" t="s">
        <v>17</v>
      </c>
      <c r="U14" s="711">
        <f t="shared" si="1"/>
        <v>100</v>
      </c>
      <c r="V14" s="710" t="s">
        <v>17</v>
      </c>
      <c r="W14" s="711">
        <f t="shared" si="2"/>
        <v>100</v>
      </c>
      <c r="X14" s="712"/>
      <c r="Y14" s="3382"/>
      <c r="Z14" s="55">
        <f t="shared" si="7"/>
        <v>111</v>
      </c>
      <c r="AA14" s="713">
        <f>D14/F14</f>
        <v>1</v>
      </c>
      <c r="AB14" s="713">
        <f>D14/H14</f>
        <v>1</v>
      </c>
      <c r="AC14" s="713">
        <f>D14/J14</f>
        <v>1</v>
      </c>
    </row>
    <row r="15" spans="1:30" ht="15">
      <c r="A15" s="399" t="s">
        <v>2320</v>
      </c>
      <c r="B15" s="65" t="s">
        <v>1883</v>
      </c>
      <c r="C15" s="205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39" t="s">
        <v>2321</v>
      </c>
      <c r="Q15" s="1506" t="str">
        <f t="shared" si="6"/>
        <v>居住社区成熟度</v>
      </c>
      <c r="R15" s="714" t="s">
        <v>17</v>
      </c>
      <c r="S15" s="715">
        <f t="shared" si="0"/>
        <v>100</v>
      </c>
      <c r="T15" s="714" t="s">
        <v>17</v>
      </c>
      <c r="U15" s="715">
        <f t="shared" si="1"/>
        <v>100</v>
      </c>
      <c r="V15" s="714" t="s">
        <v>17</v>
      </c>
      <c r="W15" s="715">
        <f t="shared" si="2"/>
        <v>100</v>
      </c>
      <c r="X15" s="1509"/>
      <c r="Y15" s="3439"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40"/>
      <c r="Q16" s="1506"/>
      <c r="R16" s="714"/>
      <c r="S16" s="715"/>
      <c r="T16" s="714"/>
      <c r="U16" s="715"/>
      <c r="V16" s="714"/>
      <c r="W16" s="715"/>
      <c r="X16" s="1509"/>
      <c r="Y16" s="3440"/>
      <c r="Z16" s="1510"/>
      <c r="AA16" s="1507">
        <v>1</v>
      </c>
      <c r="AB16" s="1507">
        <v>1</v>
      </c>
      <c r="AC16" s="1507">
        <v>1</v>
      </c>
    </row>
    <row r="17" spans="1:29" ht="15">
      <c r="A17" s="387"/>
      <c r="B17" s="410" t="s">
        <v>2414</v>
      </c>
      <c r="C17" s="211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40"/>
      <c r="Q17" s="1506" t="str">
        <f>B17</f>
        <v>商业繁华度</v>
      </c>
      <c r="R17" s="714" t="s">
        <v>17</v>
      </c>
      <c r="S17" s="715">
        <f>F17</f>
        <v>100</v>
      </c>
      <c r="T17" s="714" t="s">
        <v>17</v>
      </c>
      <c r="U17" s="715">
        <f>H17</f>
        <v>100</v>
      </c>
      <c r="V17" s="714" t="s">
        <v>17</v>
      </c>
      <c r="W17" s="715">
        <f>J17</f>
        <v>100</v>
      </c>
      <c r="X17" s="1509"/>
      <c r="Y17" s="3440"/>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40"/>
      <c r="Q18" s="1506"/>
      <c r="R18" s="714"/>
      <c r="S18" s="715"/>
      <c r="T18" s="714"/>
      <c r="U18" s="715"/>
      <c r="V18" s="714"/>
      <c r="W18" s="715"/>
      <c r="X18" s="1509"/>
      <c r="Y18" s="3440"/>
      <c r="Z18" s="1510"/>
      <c r="AA18" s="1507">
        <v>1</v>
      </c>
      <c r="AB18" s="1507">
        <v>1</v>
      </c>
      <c r="AC18" s="1507">
        <v>1</v>
      </c>
    </row>
    <row r="19" spans="1:29" ht="15">
      <c r="A19" s="387"/>
      <c r="B19" s="410" t="s">
        <v>2448</v>
      </c>
      <c r="C19" s="211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40"/>
      <c r="Q19" s="1506" t="str">
        <f>B19</f>
        <v>办公集聚程度</v>
      </c>
      <c r="R19" s="714" t="s">
        <v>17</v>
      </c>
      <c r="S19" s="715">
        <f>F19</f>
        <v>100</v>
      </c>
      <c r="T19" s="714" t="s">
        <v>17</v>
      </c>
      <c r="U19" s="715">
        <f>H19</f>
        <v>100</v>
      </c>
      <c r="V19" s="714" t="s">
        <v>17</v>
      </c>
      <c r="W19" s="715">
        <f>J19</f>
        <v>100</v>
      </c>
      <c r="X19" s="1509"/>
      <c r="Y19" s="3440"/>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40"/>
      <c r="Q20" s="1506"/>
      <c r="R20" s="714"/>
      <c r="S20" s="715"/>
      <c r="T20" s="714"/>
      <c r="U20" s="715"/>
      <c r="V20" s="714"/>
      <c r="W20" s="715"/>
      <c r="X20" s="1509"/>
      <c r="Y20" s="3440"/>
      <c r="Z20" s="1510"/>
      <c r="AA20" s="1507">
        <v>1</v>
      </c>
      <c r="AB20" s="1507">
        <v>1</v>
      </c>
      <c r="AC20" s="1507">
        <v>1</v>
      </c>
    </row>
    <row r="21" spans="1:29" ht="15">
      <c r="A21" s="387"/>
      <c r="B21" s="410" t="s">
        <v>2470</v>
      </c>
      <c r="C21" s="205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40"/>
      <c r="Q21" s="1506" t="str">
        <f>B21</f>
        <v>交通便捷度</v>
      </c>
      <c r="R21" s="714" t="s">
        <v>17</v>
      </c>
      <c r="S21" s="715">
        <f>F21</f>
        <v>100</v>
      </c>
      <c r="T21" s="714" t="s">
        <v>17</v>
      </c>
      <c r="U21" s="715">
        <f>H21</f>
        <v>100</v>
      </c>
      <c r="V21" s="714" t="s">
        <v>17</v>
      </c>
      <c r="W21" s="715">
        <f>J21</f>
        <v>100</v>
      </c>
      <c r="X21" s="1509"/>
      <c r="Y21" s="3440"/>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40"/>
      <c r="Q22" s="1506"/>
      <c r="R22" s="714"/>
      <c r="S22" s="715"/>
      <c r="T22" s="714"/>
      <c r="U22" s="715"/>
      <c r="V22" s="714"/>
      <c r="W22" s="715"/>
      <c r="X22" s="1509"/>
      <c r="Y22" s="3440"/>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40"/>
      <c r="Q23" s="1506" t="str">
        <f t="shared" ref="Q23:Q37" si="8">B23</f>
        <v>区域土地利用方向</v>
      </c>
      <c r="R23" s="714" t="s">
        <v>17</v>
      </c>
      <c r="S23" s="715">
        <f>F23</f>
        <v>100</v>
      </c>
      <c r="T23" s="714" t="s">
        <v>17</v>
      </c>
      <c r="U23" s="715">
        <f>H23</f>
        <v>100</v>
      </c>
      <c r="V23" s="714" t="s">
        <v>17</v>
      </c>
      <c r="W23" s="715">
        <f>J23</f>
        <v>100</v>
      </c>
      <c r="X23" s="1509"/>
      <c r="Y23" s="3440"/>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40"/>
      <c r="Q24" s="1506"/>
      <c r="R24" s="714"/>
      <c r="S24" s="715"/>
      <c r="T24" s="714"/>
      <c r="U24" s="715"/>
      <c r="V24" s="714"/>
      <c r="W24" s="715"/>
      <c r="X24" s="1509"/>
      <c r="Y24" s="3440"/>
      <c r="Z24" s="1510"/>
      <c r="AA24" s="1507"/>
      <c r="AB24" s="1507"/>
      <c r="AC24" s="1507"/>
    </row>
    <row r="25" spans="1:29" ht="27">
      <c r="A25" s="364"/>
      <c r="B25" s="1265" t="s">
        <v>2510</v>
      </c>
      <c r="C25" s="211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40"/>
      <c r="Q25" s="1506" t="str">
        <f t="shared" si="8"/>
        <v>自然及人文环境状况</v>
      </c>
      <c r="R25" s="714" t="s">
        <v>17</v>
      </c>
      <c r="S25" s="715">
        <f>F25</f>
        <v>100</v>
      </c>
      <c r="T25" s="714" t="s">
        <v>17</v>
      </c>
      <c r="U25" s="715">
        <f>H25</f>
        <v>100</v>
      </c>
      <c r="V25" s="714" t="s">
        <v>17</v>
      </c>
      <c r="W25" s="715">
        <f>J25</f>
        <v>100</v>
      </c>
      <c r="X25" s="1509"/>
      <c r="Y25" s="3440"/>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40"/>
      <c r="Q26" s="1506"/>
      <c r="R26" s="714"/>
      <c r="S26" s="715"/>
      <c r="T26" s="714"/>
      <c r="U26" s="715"/>
      <c r="V26" s="714"/>
      <c r="W26" s="715"/>
      <c r="X26" s="1509"/>
      <c r="Y26" s="3440"/>
      <c r="Z26" s="1510"/>
      <c r="AA26" s="1507">
        <v>1</v>
      </c>
      <c r="AB26" s="1507">
        <v>1</v>
      </c>
      <c r="AC26" s="1507">
        <v>1</v>
      </c>
    </row>
    <row r="27" spans="1:29" s="113" customFormat="1" ht="15">
      <c r="A27" s="605"/>
      <c r="B27" s="1265" t="s">
        <v>2415</v>
      </c>
      <c r="C27" s="205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40"/>
      <c r="Q27" s="1497" t="str">
        <f t="shared" si="8"/>
        <v>公共配套设施</v>
      </c>
      <c r="R27" s="710" t="s">
        <v>17</v>
      </c>
      <c r="S27" s="711">
        <f>F27</f>
        <v>100</v>
      </c>
      <c r="T27" s="710" t="s">
        <v>17</v>
      </c>
      <c r="U27" s="711">
        <f>H27</f>
        <v>100</v>
      </c>
      <c r="V27" s="710" t="s">
        <v>17</v>
      </c>
      <c r="W27" s="711">
        <f>J27</f>
        <v>100</v>
      </c>
      <c r="X27" s="712"/>
      <c r="Y27" s="3440"/>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40"/>
      <c r="Q28" s="1497"/>
      <c r="R28" s="710"/>
      <c r="S28" s="711"/>
      <c r="T28" s="710"/>
      <c r="U28" s="711"/>
      <c r="V28" s="710"/>
      <c r="W28" s="711"/>
      <c r="X28" s="712"/>
      <c r="Y28" s="3440"/>
      <c r="Z28" s="55"/>
      <c r="AA28" s="1507">
        <v>1</v>
      </c>
      <c r="AB28" s="1507">
        <v>1</v>
      </c>
      <c r="AC28" s="1507">
        <v>1</v>
      </c>
    </row>
    <row r="29" spans="1:29" s="113" customFormat="1" ht="15">
      <c r="A29" s="605"/>
      <c r="B29" s="1265" t="s">
        <v>2416</v>
      </c>
      <c r="C29" s="205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40"/>
      <c r="Q29" s="1497" t="str">
        <f t="shared" ref="Q29" si="9">B29</f>
        <v>基础设施水平</v>
      </c>
      <c r="R29" s="710" t="s">
        <v>17</v>
      </c>
      <c r="S29" s="711">
        <f>F29</f>
        <v>100</v>
      </c>
      <c r="T29" s="710" t="s">
        <v>17</v>
      </c>
      <c r="U29" s="711">
        <f>H29</f>
        <v>100</v>
      </c>
      <c r="V29" s="710" t="s">
        <v>17</v>
      </c>
      <c r="W29" s="711">
        <f>J29</f>
        <v>100</v>
      </c>
      <c r="X29" s="712"/>
      <c r="Y29" s="3440"/>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40"/>
      <c r="Q30" s="1497"/>
      <c r="R30" s="710"/>
      <c r="S30" s="711"/>
      <c r="T30" s="710"/>
      <c r="U30" s="711"/>
      <c r="V30" s="710"/>
      <c r="W30" s="711"/>
      <c r="X30" s="712"/>
      <c r="Y30" s="3440"/>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40"/>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40"/>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40"/>
      <c r="Q32" s="1506" t="str">
        <f t="shared" si="8"/>
        <v>毗邻道路的类型与等级</v>
      </c>
      <c r="R32" s="714" t="s">
        <v>17</v>
      </c>
      <c r="S32" s="715">
        <f t="shared" si="10"/>
        <v>100</v>
      </c>
      <c r="T32" s="714" t="s">
        <v>17</v>
      </c>
      <c r="U32" s="715">
        <f t="shared" si="11"/>
        <v>100</v>
      </c>
      <c r="V32" s="714" t="s">
        <v>17</v>
      </c>
      <c r="W32" s="715">
        <f t="shared" si="12"/>
        <v>100</v>
      </c>
      <c r="X32" s="1509"/>
      <c r="Y32" s="3440"/>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40"/>
      <c r="Q33" s="1506"/>
      <c r="R33" s="714"/>
      <c r="S33" s="715"/>
      <c r="T33" s="714"/>
      <c r="U33" s="715"/>
      <c r="V33" s="714"/>
      <c r="W33" s="715"/>
      <c r="X33" s="1509"/>
      <c r="Y33" s="3440"/>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40"/>
      <c r="Q34" s="1506" t="str">
        <f t="shared" si="8"/>
        <v>土地级别</v>
      </c>
      <c r="R34" s="714" t="s">
        <v>17</v>
      </c>
      <c r="S34" s="715">
        <f t="shared" si="10"/>
        <v>100</v>
      </c>
      <c r="T34" s="714" t="s">
        <v>17</v>
      </c>
      <c r="U34" s="715">
        <f t="shared" si="11"/>
        <v>100</v>
      </c>
      <c r="V34" s="714" t="s">
        <v>17</v>
      </c>
      <c r="W34" s="715">
        <f t="shared" si="12"/>
        <v>100</v>
      </c>
      <c r="X34" s="1509"/>
      <c r="Y34" s="3440"/>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40"/>
      <c r="Q35" s="1506">
        <f t="shared" si="8"/>
        <v>111</v>
      </c>
      <c r="R35" s="714" t="s">
        <v>17</v>
      </c>
      <c r="S35" s="715">
        <f t="shared" si="10"/>
        <v>100</v>
      </c>
      <c r="T35" s="714" t="s">
        <v>17</v>
      </c>
      <c r="U35" s="715">
        <f t="shared" si="11"/>
        <v>100</v>
      </c>
      <c r="V35" s="714" t="s">
        <v>17</v>
      </c>
      <c r="W35" s="715">
        <f t="shared" si="12"/>
        <v>100</v>
      </c>
      <c r="X35" s="1509"/>
      <c r="Y35" s="3440"/>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41" t="s">
        <v>2326</v>
      </c>
      <c r="Q36" s="1506">
        <f t="shared" si="8"/>
        <v>111</v>
      </c>
      <c r="R36" s="714" t="s">
        <v>17</v>
      </c>
      <c r="S36" s="715">
        <f t="shared" si="10"/>
        <v>100</v>
      </c>
      <c r="T36" s="714" t="s">
        <v>17</v>
      </c>
      <c r="U36" s="715">
        <f t="shared" si="11"/>
        <v>100</v>
      </c>
      <c r="V36" s="714" t="s">
        <v>17</v>
      </c>
      <c r="W36" s="715">
        <f t="shared" si="12"/>
        <v>100</v>
      </c>
      <c r="X36" s="1509"/>
      <c r="Y36" s="3442"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42"/>
      <c r="Q37" s="1506">
        <f t="shared" si="8"/>
        <v>111</v>
      </c>
      <c r="R37" s="717" t="s">
        <v>17</v>
      </c>
      <c r="S37" s="718">
        <f t="shared" si="10"/>
        <v>100</v>
      </c>
      <c r="T37" s="717" t="s">
        <v>17</v>
      </c>
      <c r="U37" s="718">
        <f t="shared" si="11"/>
        <v>100</v>
      </c>
      <c r="V37" s="717" t="s">
        <v>17</v>
      </c>
      <c r="W37" s="718">
        <f t="shared" si="12"/>
        <v>100</v>
      </c>
      <c r="X37" s="719"/>
      <c r="Y37" s="3442"/>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42"/>
      <c r="Q38" s="1506" t="str">
        <f>B38</f>
        <v>宗地面积</v>
      </c>
      <c r="R38" s="714" t="s">
        <v>17</v>
      </c>
      <c r="S38" s="715" t="e">
        <f t="shared" si="10"/>
        <v>#N/A</v>
      </c>
      <c r="T38" s="714" t="s">
        <v>17</v>
      </c>
      <c r="U38" s="715" t="e">
        <f t="shared" si="11"/>
        <v>#N/A</v>
      </c>
      <c r="V38" s="714" t="s">
        <v>17</v>
      </c>
      <c r="W38" s="715" t="e">
        <f t="shared" si="12"/>
        <v>#N/A</v>
      </c>
      <c r="X38" s="1509"/>
      <c r="Y38" s="3442"/>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42"/>
      <c r="Q39" s="1506" t="str">
        <f t="shared" ref="Q39:Q45" si="14">B39</f>
        <v>宗地形状</v>
      </c>
      <c r="R39" s="714" t="s">
        <v>17</v>
      </c>
      <c r="S39" s="715">
        <f t="shared" si="10"/>
        <v>100</v>
      </c>
      <c r="T39" s="714" t="s">
        <v>17</v>
      </c>
      <c r="U39" s="715">
        <f t="shared" si="11"/>
        <v>100</v>
      </c>
      <c r="V39" s="714" t="s">
        <v>17</v>
      </c>
      <c r="W39" s="715">
        <f t="shared" si="12"/>
        <v>100</v>
      </c>
      <c r="X39" s="1509"/>
      <c r="Y39" s="3442"/>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42"/>
      <c r="Q40" s="1506" t="str">
        <f t="shared" si="14"/>
        <v>临街宽度及深度</v>
      </c>
      <c r="R40" s="714" t="s">
        <v>17</v>
      </c>
      <c r="S40" s="715">
        <f t="shared" si="10"/>
        <v>100</v>
      </c>
      <c r="T40" s="714" t="s">
        <v>17</v>
      </c>
      <c r="U40" s="715">
        <f t="shared" si="11"/>
        <v>100</v>
      </c>
      <c r="V40" s="714" t="s">
        <v>17</v>
      </c>
      <c r="W40" s="715">
        <f t="shared" si="12"/>
        <v>100</v>
      </c>
      <c r="X40" s="1509"/>
      <c r="Y40" s="3442"/>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42"/>
      <c r="Q41" s="1506" t="str">
        <f t="shared" si="14"/>
        <v>宗地开发程度</v>
      </c>
      <c r="R41" s="710" t="s">
        <v>17</v>
      </c>
      <c r="S41" s="711">
        <f t="shared" si="10"/>
        <v>100</v>
      </c>
      <c r="T41" s="710" t="s">
        <v>17</v>
      </c>
      <c r="U41" s="711">
        <f t="shared" si="11"/>
        <v>100</v>
      </c>
      <c r="V41" s="710" t="s">
        <v>17</v>
      </c>
      <c r="W41" s="711">
        <f t="shared" si="12"/>
        <v>100</v>
      </c>
      <c r="X41" s="712"/>
      <c r="Y41" s="3442"/>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42" t="s">
        <v>2326</v>
      </c>
      <c r="Q42" s="1506" t="str">
        <f t="shared" si="14"/>
        <v>工程地质条件</v>
      </c>
      <c r="R42" s="714" t="s">
        <v>17</v>
      </c>
      <c r="S42" s="715">
        <f t="shared" si="10"/>
        <v>100</v>
      </c>
      <c r="T42" s="714" t="s">
        <v>17</v>
      </c>
      <c r="U42" s="715">
        <f t="shared" si="11"/>
        <v>100</v>
      </c>
      <c r="V42" s="714" t="s">
        <v>17</v>
      </c>
      <c r="W42" s="715">
        <f t="shared" si="12"/>
        <v>100</v>
      </c>
      <c r="X42" s="1509"/>
      <c r="Y42" s="3442"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42"/>
      <c r="Q43" s="1506">
        <f t="shared" si="14"/>
        <v>111</v>
      </c>
      <c r="R43" s="714" t="s">
        <v>17</v>
      </c>
      <c r="S43" s="715">
        <f t="shared" si="10"/>
        <v>100</v>
      </c>
      <c r="T43" s="714" t="s">
        <v>17</v>
      </c>
      <c r="U43" s="715">
        <f t="shared" si="11"/>
        <v>100</v>
      </c>
      <c r="V43" s="714" t="s">
        <v>17</v>
      </c>
      <c r="W43" s="715">
        <f t="shared" si="12"/>
        <v>100</v>
      </c>
      <c r="X43" s="1509"/>
      <c r="Y43" s="3442"/>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42"/>
      <c r="Q44" s="1506">
        <f t="shared" si="14"/>
        <v>111</v>
      </c>
      <c r="R44" s="714" t="s">
        <v>17</v>
      </c>
      <c r="S44" s="715">
        <f t="shared" si="10"/>
        <v>100</v>
      </c>
      <c r="T44" s="714" t="s">
        <v>17</v>
      </c>
      <c r="U44" s="715">
        <f t="shared" si="11"/>
        <v>100</v>
      </c>
      <c r="V44" s="714" t="s">
        <v>17</v>
      </c>
      <c r="W44" s="715">
        <f t="shared" si="12"/>
        <v>100</v>
      </c>
      <c r="X44" s="1509"/>
      <c r="Y44" s="3442"/>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42"/>
      <c r="Q45" s="1506">
        <f t="shared" si="14"/>
        <v>111</v>
      </c>
      <c r="R45" s="717" t="s">
        <v>17</v>
      </c>
      <c r="S45" s="718">
        <f t="shared" si="10"/>
        <v>100</v>
      </c>
      <c r="T45" s="717" t="s">
        <v>17</v>
      </c>
      <c r="U45" s="718">
        <f t="shared" si="11"/>
        <v>100</v>
      </c>
      <c r="V45" s="717" t="s">
        <v>17</v>
      </c>
      <c r="W45" s="718">
        <f t="shared" si="12"/>
        <v>100</v>
      </c>
      <c r="X45" s="719"/>
      <c r="Y45" s="3442"/>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1"/>
      <c r="M46" s="2922"/>
      <c r="N46" s="2913"/>
      <c r="O46" s="2922"/>
      <c r="P46" s="3424" t="str">
        <f>A46</f>
        <v>成交单价</v>
      </c>
      <c r="Q46" s="3424"/>
      <c r="R46" s="3437">
        <f>E46</f>
        <v>0</v>
      </c>
      <c r="S46" s="3437"/>
      <c r="T46" s="3437">
        <f>G46</f>
        <v>0</v>
      </c>
      <c r="U46" s="3437"/>
      <c r="V46" s="3437">
        <f>I46</f>
        <v>0</v>
      </c>
      <c r="W46" s="3437"/>
      <c r="X46" s="699"/>
      <c r="Y46" s="721"/>
      <c r="Z46" s="699"/>
      <c r="AA46" s="699"/>
      <c r="AB46" s="699"/>
      <c r="AC46" s="699"/>
    </row>
    <row r="47" spans="1:29" ht="15.75" thickBot="1">
      <c r="A47" s="445" t="s">
        <v>2430</v>
      </c>
      <c r="B47" s="639"/>
      <c r="C47" s="448" t="e">
        <f>R48</f>
        <v>#DIV/0!</v>
      </c>
      <c r="D47" s="2508" t="s">
        <v>2819</v>
      </c>
      <c r="E47" s="448" t="e">
        <f>R47</f>
        <v>#DIV/0!</v>
      </c>
      <c r="F47" s="2509"/>
      <c r="G47" s="447" t="e">
        <f>T47</f>
        <v>#DIV/0!</v>
      </c>
      <c r="H47" s="2509"/>
      <c r="I47" s="448" t="e">
        <f>V47</f>
        <v>#DIV/0!</v>
      </c>
      <c r="J47" s="2509"/>
      <c r="K47" s="2511">
        <f>F47+H47+J47</f>
        <v>0</v>
      </c>
      <c r="L47" s="2921"/>
      <c r="M47" s="2922"/>
      <c r="N47" s="2922"/>
      <c r="O47" s="2922"/>
      <c r="P47" s="3424" t="str">
        <f>A47</f>
        <v>比较价值（元/平方米）</v>
      </c>
      <c r="Q47" s="3424"/>
      <c r="R47" s="3526" t="e">
        <f>ROUND(PRODUCT(R46,AA7:AA45),0)</f>
        <v>#DIV/0!</v>
      </c>
      <c r="S47" s="3526"/>
      <c r="T47" s="3526" t="e">
        <f>ROUND(PRODUCT(T46,AB7:AB45),0)</f>
        <v>#DIV/0!</v>
      </c>
      <c r="U47" s="3526"/>
      <c r="V47" s="3526" t="e">
        <f>ROUND(PRODUCT(V46,AC7:AC45),0)</f>
        <v>#DIV/0!</v>
      </c>
      <c r="W47" s="3526"/>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445" t="str">
        <f>A48</f>
        <v>估价对象XX用房的比较价值（楼面单价，元/平方米）</v>
      </c>
      <c r="Q48" s="3446"/>
      <c r="R48" s="3527" t="e">
        <f>ROUND(IF(D47="简单平均",AVERAGE(R47:W47),R47*F47+T47*H47+V47*J47),0)</f>
        <v>#DIV/0!</v>
      </c>
      <c r="S48" s="3527"/>
      <c r="T48" s="3527"/>
      <c r="U48" s="3527"/>
      <c r="V48" s="3527"/>
      <c r="W48" s="3527"/>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9" t="s">
        <v>2521</v>
      </c>
      <c r="D55" s="2140" t="s">
        <v>2522</v>
      </c>
      <c r="E55" s="642" t="s">
        <v>2523</v>
      </c>
      <c r="F55" s="1021" t="s">
        <v>2524</v>
      </c>
      <c r="G55" s="3425" t="s">
        <v>2525</v>
      </c>
      <c r="H55" s="3528"/>
      <c r="I55" s="140" t="s">
        <v>2526</v>
      </c>
      <c r="J55" s="2141">
        <f>项目基本情况!F35</f>
        <v>0</v>
      </c>
      <c r="K55" s="2142"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5">
        <v>1</v>
      </c>
      <c r="E56" s="646">
        <f>'数据-汇总表'!E8+'数据-汇总表'!E9</f>
        <v>1949.77</v>
      </c>
      <c r="F56" s="1017" t="e">
        <f t="shared" ref="F56:F65" si="15">ROUND(B56*E56/10000,0)</f>
        <v>#DIV/0!</v>
      </c>
      <c r="G56" s="3504"/>
      <c r="H56" s="3424"/>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v>
      </c>
      <c r="D57" s="1076">
        <v>0.25</v>
      </c>
      <c r="E57" s="650"/>
      <c r="F57" s="1017" t="e">
        <f t="shared" si="15"/>
        <v>#DIV/0!</v>
      </c>
      <c r="G57" s="3529"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v>
      </c>
      <c r="D58" s="1076">
        <v>0.25</v>
      </c>
      <c r="E58" s="650"/>
      <c r="F58" s="1017" t="e">
        <f t="shared" si="15"/>
        <v>#DIV/0!</v>
      </c>
      <c r="G58" s="3529"/>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v>
      </c>
      <c r="D59" s="1076">
        <v>0.25</v>
      </c>
      <c r="E59" s="650"/>
      <c r="F59" s="1017" t="e">
        <f t="shared" si="15"/>
        <v>#DIV/0!</v>
      </c>
      <c r="G59" s="3529"/>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v>
      </c>
      <c r="D60" s="1076">
        <v>0.25</v>
      </c>
      <c r="E60" s="650"/>
      <c r="F60" s="1017" t="e">
        <f t="shared" si="15"/>
        <v>#DIV/0!</v>
      </c>
      <c r="G60" s="3529"/>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1949.77</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2022-8-1</v>
      </c>
      <c r="D68" s="701">
        <f>EDATE(C68,-3)</f>
        <v>44682</v>
      </c>
      <c r="E68" s="701">
        <f>EDATE(D68,-3)</f>
        <v>44593</v>
      </c>
      <c r="F68" s="701">
        <f t="shared" ref="F68:O68" si="18">EDATE(E68,-3)</f>
        <v>44501</v>
      </c>
      <c r="G68" s="701">
        <f t="shared" si="18"/>
        <v>44409</v>
      </c>
      <c r="H68" s="701">
        <f t="shared" si="18"/>
        <v>44317</v>
      </c>
      <c r="I68" s="701">
        <f t="shared" si="18"/>
        <v>44228</v>
      </c>
      <c r="J68" s="701">
        <f t="shared" si="18"/>
        <v>44136</v>
      </c>
      <c r="K68" s="701">
        <f t="shared" si="18"/>
        <v>44044</v>
      </c>
      <c r="L68" s="701">
        <f t="shared" si="18"/>
        <v>43952</v>
      </c>
      <c r="M68" s="701">
        <f t="shared" si="18"/>
        <v>43862</v>
      </c>
      <c r="N68" s="701">
        <f t="shared" si="18"/>
        <v>43770</v>
      </c>
      <c r="O68" s="701">
        <f t="shared" si="18"/>
        <v>43678</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2543</v>
      </c>
      <c r="B70" s="1241"/>
      <c r="C70" s="1316" t="str">
        <f>YEAR(C68)&amp;"-"&amp;ROUNDUP(MONTH(C68)/3,0)</f>
        <v>2022-3</v>
      </c>
      <c r="D70" s="1316" t="str">
        <f>YEAR(D68)&amp;"-"&amp;ROUNDUP(MONTH(D68)/3,0)</f>
        <v>2022-2</v>
      </c>
      <c r="E70" s="1316" t="str">
        <f t="shared" ref="E70:O70" si="19">YEAR(E68)&amp;"-"&amp;ROUNDUP(MONTH(E68)/3,0)</f>
        <v>2022-1</v>
      </c>
      <c r="F70" s="1316" t="str">
        <f t="shared" si="19"/>
        <v>2021-4</v>
      </c>
      <c r="G70" s="1316" t="str">
        <f t="shared" si="19"/>
        <v>2021-3</v>
      </c>
      <c r="H70" s="1316" t="str">
        <f t="shared" si="19"/>
        <v>2021-2</v>
      </c>
      <c r="I70" s="1316" t="str">
        <f t="shared" si="19"/>
        <v>2021-1</v>
      </c>
      <c r="J70" s="1316" t="str">
        <f t="shared" si="19"/>
        <v>2020-4</v>
      </c>
      <c r="K70" s="1316" t="str">
        <f t="shared" si="19"/>
        <v>2020-3</v>
      </c>
      <c r="L70" s="1316" t="str">
        <f t="shared" si="19"/>
        <v>2020-2</v>
      </c>
      <c r="M70" s="1316" t="str">
        <f t="shared" si="19"/>
        <v>2020-1</v>
      </c>
      <c r="N70" s="1316" t="str">
        <f t="shared" si="19"/>
        <v>2019-4</v>
      </c>
      <c r="O70" s="1316" t="str">
        <f t="shared" si="19"/>
        <v>2019-3</v>
      </c>
      <c r="P70" s="2973"/>
      <c r="Q70" s="2938"/>
      <c r="R70" s="2938"/>
      <c r="S70" s="2938"/>
      <c r="T70" s="2938"/>
      <c r="U70" s="2938"/>
      <c r="V70" s="2938"/>
      <c r="W70" s="2938"/>
      <c r="X70" s="2938"/>
      <c r="Y70" s="2938"/>
      <c r="Z70" s="2938"/>
      <c r="AA70" s="2938"/>
      <c r="AB70" s="2938"/>
      <c r="AC70" s="2938"/>
    </row>
    <row r="71" spans="1:29" s="113" customFormat="1" ht="30" customHeight="1">
      <c r="A71" s="2146"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25" t="s">
        <v>2407</v>
      </c>
      <c r="D4" s="3426"/>
      <c r="E4" s="3427" t="s">
        <v>2408</v>
      </c>
      <c r="F4" s="3428"/>
      <c r="G4" s="3425" t="s">
        <v>2409</v>
      </c>
      <c r="H4" s="3426"/>
      <c r="I4" s="3425" t="s">
        <v>2410</v>
      </c>
      <c r="J4" s="3426"/>
      <c r="K4" s="567" t="s">
        <v>2411</v>
      </c>
      <c r="L4" s="2912"/>
      <c r="M4" s="2913"/>
      <c r="N4" s="2913"/>
      <c r="O4" s="2913"/>
      <c r="P4" s="3429" t="s">
        <v>2412</v>
      </c>
      <c r="Q4" s="3430"/>
      <c r="R4" s="3411" t="s">
        <v>2408</v>
      </c>
      <c r="S4" s="3412"/>
      <c r="T4" s="3411" t="s">
        <v>2409</v>
      </c>
      <c r="U4" s="3412"/>
      <c r="V4" s="3437" t="s">
        <v>2410</v>
      </c>
      <c r="W4" s="3437"/>
      <c r="X4" s="1509"/>
      <c r="Y4" s="3411" t="s">
        <v>2412</v>
      </c>
      <c r="Z4" s="3412"/>
      <c r="AA4" s="3406" t="s">
        <v>2408</v>
      </c>
      <c r="AB4" s="3407" t="s">
        <v>2409</v>
      </c>
      <c r="AC4" s="3406" t="s">
        <v>2410</v>
      </c>
    </row>
    <row r="5" spans="1:29" ht="15">
      <c r="A5" s="364"/>
      <c r="B5" s="365"/>
      <c r="C5" s="3417" t="s">
        <v>2303</v>
      </c>
      <c r="D5" s="3418"/>
      <c r="E5" s="3503" t="s">
        <v>2304</v>
      </c>
      <c r="F5" s="3416"/>
      <c r="G5" s="3417" t="s">
        <v>2305</v>
      </c>
      <c r="H5" s="3418"/>
      <c r="I5" s="3417" t="s">
        <v>2306</v>
      </c>
      <c r="J5" s="3418"/>
      <c r="K5" s="567"/>
      <c r="L5" s="2912"/>
      <c r="M5" s="2913"/>
      <c r="N5" s="2913"/>
      <c r="O5" s="2913"/>
      <c r="P5" s="3431"/>
      <c r="Q5" s="3432"/>
      <c r="R5" s="3413"/>
      <c r="S5" s="3414"/>
      <c r="T5" s="3413"/>
      <c r="U5" s="3414"/>
      <c r="V5" s="3437"/>
      <c r="W5" s="3437"/>
      <c r="X5" s="1509"/>
      <c r="Y5" s="3413"/>
      <c r="Z5" s="3414"/>
      <c r="AA5" s="3407"/>
      <c r="AB5" s="3407"/>
      <c r="AC5" s="3407"/>
    </row>
    <row r="6" spans="1:29" ht="15.75" thickBot="1">
      <c r="A6" s="366"/>
      <c r="B6" s="367"/>
      <c r="C6" s="3530" t="s">
        <v>2558</v>
      </c>
      <c r="D6" s="3531"/>
      <c r="E6" s="3532" t="s">
        <v>2558</v>
      </c>
      <c r="F6" s="3533"/>
      <c r="G6" s="3530" t="s">
        <v>2558</v>
      </c>
      <c r="H6" s="3531"/>
      <c r="I6" s="3530" t="s">
        <v>2558</v>
      </c>
      <c r="J6" s="3531"/>
      <c r="K6" s="567" t="s">
        <v>2308</v>
      </c>
      <c r="L6" s="2912"/>
      <c r="M6" s="2913"/>
      <c r="N6" s="2913"/>
      <c r="O6" s="2913"/>
      <c r="P6" s="3433"/>
      <c r="Q6" s="3434"/>
      <c r="R6" s="3413"/>
      <c r="S6" s="3414"/>
      <c r="T6" s="3435"/>
      <c r="U6" s="3436"/>
      <c r="V6" s="3437"/>
      <c r="W6" s="3437"/>
      <c r="X6" s="1509"/>
      <c r="Y6" s="3435"/>
      <c r="Z6" s="3436"/>
      <c r="AA6" s="3408"/>
      <c r="AB6" s="3408"/>
      <c r="AC6" s="3408"/>
    </row>
    <row r="7" spans="1:29" s="113" customFormat="1" ht="15.75" thickBot="1">
      <c r="A7" s="368" t="s">
        <v>2309</v>
      </c>
      <c r="B7" s="369"/>
      <c r="C7" s="370">
        <f>'数据-取费表'!B2</f>
        <v>44781</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409" t="s">
        <v>2310</v>
      </c>
      <c r="Q7" s="3438"/>
      <c r="R7" s="710" t="s">
        <v>17</v>
      </c>
      <c r="S7" s="711">
        <f t="shared" ref="S7:S15" si="0">F7</f>
        <v>0</v>
      </c>
      <c r="T7" s="710" t="s">
        <v>17</v>
      </c>
      <c r="U7" s="711">
        <f t="shared" ref="U7:U15" si="1">H7</f>
        <v>0</v>
      </c>
      <c r="V7" s="710" t="s">
        <v>17</v>
      </c>
      <c r="W7" s="711">
        <f t="shared" ref="W7:W15" si="2">J7</f>
        <v>0</v>
      </c>
      <c r="X7" s="712"/>
      <c r="Y7" s="3409" t="s">
        <v>2310</v>
      </c>
      <c r="Z7" s="3410"/>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09" t="s">
        <v>2313</v>
      </c>
      <c r="Q8" s="3410"/>
      <c r="R8" s="710" t="s">
        <v>17</v>
      </c>
      <c r="S8" s="711">
        <f t="shared" si="0"/>
        <v>0</v>
      </c>
      <c r="T8" s="710" t="s">
        <v>17</v>
      </c>
      <c r="U8" s="711">
        <f t="shared" si="1"/>
        <v>0</v>
      </c>
      <c r="V8" s="710" t="s">
        <v>17</v>
      </c>
      <c r="W8" s="711">
        <f t="shared" si="2"/>
        <v>0</v>
      </c>
      <c r="X8" s="712"/>
      <c r="Y8" s="3409" t="s">
        <v>2313</v>
      </c>
      <c r="Z8" s="3410"/>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24" t="s">
        <v>2316</v>
      </c>
      <c r="Q9" s="1497" t="str">
        <f t="shared" ref="Q9:Q15" si="6">B9</f>
        <v>用途</v>
      </c>
      <c r="R9" s="710" t="s">
        <v>17</v>
      </c>
      <c r="S9" s="711">
        <f t="shared" si="0"/>
        <v>100</v>
      </c>
      <c r="T9" s="710" t="s">
        <v>17</v>
      </c>
      <c r="U9" s="711">
        <f t="shared" si="1"/>
        <v>100</v>
      </c>
      <c r="V9" s="710" t="s">
        <v>17</v>
      </c>
      <c r="W9" s="711">
        <f t="shared" si="2"/>
        <v>100</v>
      </c>
      <c r="X9" s="712"/>
      <c r="Y9" s="3382"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108</v>
      </c>
      <c r="G10" s="391"/>
      <c r="H10" s="132">
        <f>ROUND(100/'数据-取费表'!G16,0)</f>
        <v>108</v>
      </c>
      <c r="I10" s="391"/>
      <c r="J10" s="132">
        <f>ROUND(100/'数据-取费表'!G16,0)</f>
        <v>108</v>
      </c>
      <c r="K10" s="628"/>
      <c r="L10" s="2916"/>
      <c r="M10" s="2917"/>
      <c r="N10" s="2917"/>
      <c r="O10" s="2970"/>
      <c r="P10" s="3424"/>
      <c r="Q10" s="1497" t="str">
        <f t="shared" si="6"/>
        <v>土地使用年限（年）</v>
      </c>
      <c r="R10" s="710" t="s">
        <v>17</v>
      </c>
      <c r="S10" s="711">
        <f t="shared" si="0"/>
        <v>108</v>
      </c>
      <c r="T10" s="710" t="s">
        <v>17</v>
      </c>
      <c r="U10" s="711">
        <f t="shared" si="1"/>
        <v>108</v>
      </c>
      <c r="V10" s="710" t="s">
        <v>17</v>
      </c>
      <c r="W10" s="711">
        <f t="shared" si="2"/>
        <v>108</v>
      </c>
      <c r="X10" s="712"/>
      <c r="Y10" s="3382"/>
      <c r="Z10" s="55" t="str">
        <f t="shared" si="7"/>
        <v>土地使用年限（年）</v>
      </c>
      <c r="AA10" s="713">
        <f t="shared" si="3"/>
        <v>0.92592592592592593</v>
      </c>
      <c r="AB10" s="713">
        <f t="shared" si="4"/>
        <v>0.92592592592592593</v>
      </c>
      <c r="AC10" s="713">
        <f t="shared" si="5"/>
        <v>0.92592592592592593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24"/>
      <c r="Q11" s="1497" t="str">
        <f t="shared" si="6"/>
        <v>容积率</v>
      </c>
      <c r="R11" s="710" t="s">
        <v>17</v>
      </c>
      <c r="S11" s="711" t="e">
        <f t="shared" si="0"/>
        <v>#N/A</v>
      </c>
      <c r="T11" s="710" t="s">
        <v>17</v>
      </c>
      <c r="U11" s="711" t="e">
        <f t="shared" si="1"/>
        <v>#N/A</v>
      </c>
      <c r="V11" s="710" t="s">
        <v>17</v>
      </c>
      <c r="W11" s="711" t="e">
        <f t="shared" si="2"/>
        <v>#N/A</v>
      </c>
      <c r="X11" s="712"/>
      <c r="Y11" s="3382"/>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24"/>
      <c r="Q12" s="1497">
        <f t="shared" si="6"/>
        <v>111</v>
      </c>
      <c r="R12" s="710" t="s">
        <v>17</v>
      </c>
      <c r="S12" s="711">
        <f t="shared" si="0"/>
        <v>100</v>
      </c>
      <c r="T12" s="710" t="s">
        <v>17</v>
      </c>
      <c r="U12" s="711">
        <f t="shared" si="1"/>
        <v>100</v>
      </c>
      <c r="V12" s="710" t="s">
        <v>17</v>
      </c>
      <c r="W12" s="711">
        <f t="shared" si="2"/>
        <v>100</v>
      </c>
      <c r="X12" s="712"/>
      <c r="Y12" s="3382"/>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24"/>
      <c r="Q13" s="1497">
        <f t="shared" si="6"/>
        <v>111</v>
      </c>
      <c r="R13" s="710" t="s">
        <v>17</v>
      </c>
      <c r="S13" s="711">
        <f t="shared" si="0"/>
        <v>100</v>
      </c>
      <c r="T13" s="710" t="s">
        <v>17</v>
      </c>
      <c r="U13" s="711">
        <f t="shared" si="1"/>
        <v>100</v>
      </c>
      <c r="V13" s="710" t="s">
        <v>17</v>
      </c>
      <c r="W13" s="711">
        <f t="shared" si="2"/>
        <v>100</v>
      </c>
      <c r="X13" s="712"/>
      <c r="Y13" s="3382"/>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24"/>
      <c r="Q14" s="1497">
        <f t="shared" si="6"/>
        <v>111</v>
      </c>
      <c r="R14" s="710" t="s">
        <v>17</v>
      </c>
      <c r="S14" s="711">
        <f t="shared" si="0"/>
        <v>100</v>
      </c>
      <c r="T14" s="710" t="s">
        <v>17</v>
      </c>
      <c r="U14" s="711">
        <f t="shared" si="1"/>
        <v>100</v>
      </c>
      <c r="V14" s="710" t="s">
        <v>17</v>
      </c>
      <c r="W14" s="711">
        <f t="shared" si="2"/>
        <v>100</v>
      </c>
      <c r="X14" s="712"/>
      <c r="Y14" s="3382"/>
      <c r="Z14" s="55">
        <f t="shared" si="7"/>
        <v>111</v>
      </c>
      <c r="AA14" s="713">
        <f t="shared" si="3"/>
        <v>1</v>
      </c>
      <c r="AB14" s="713">
        <f t="shared" si="4"/>
        <v>1</v>
      </c>
      <c r="AC14" s="713">
        <f t="shared" si="5"/>
        <v>1</v>
      </c>
    </row>
    <row r="15" spans="1:29" ht="15">
      <c r="A15" s="399" t="s">
        <v>2320</v>
      </c>
      <c r="B15" s="585" t="s">
        <v>2559</v>
      </c>
      <c r="C15" s="2127" t="str">
        <f>估价对象房地状况!G15</f>
        <v>一般</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39" t="s">
        <v>2321</v>
      </c>
      <c r="Q15" s="1506" t="str">
        <f t="shared" si="6"/>
        <v>产业集聚程度</v>
      </c>
      <c r="R15" s="714" t="s">
        <v>17</v>
      </c>
      <c r="S15" s="715">
        <f t="shared" si="0"/>
        <v>100</v>
      </c>
      <c r="T15" s="714" t="s">
        <v>17</v>
      </c>
      <c r="U15" s="715">
        <f t="shared" si="1"/>
        <v>100</v>
      </c>
      <c r="V15" s="714" t="s">
        <v>17</v>
      </c>
      <c r="W15" s="715">
        <f t="shared" si="2"/>
        <v>100</v>
      </c>
      <c r="X15" s="1509"/>
      <c r="Y15" s="3439"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40"/>
      <c r="Q16" s="1506"/>
      <c r="R16" s="714"/>
      <c r="S16" s="715"/>
      <c r="T16" s="714"/>
      <c r="U16" s="715"/>
      <c r="V16" s="714"/>
      <c r="W16" s="715"/>
      <c r="X16" s="1509"/>
      <c r="Y16" s="3440"/>
      <c r="Z16" s="1510"/>
      <c r="AA16" s="1507">
        <v>1</v>
      </c>
      <c r="AB16" s="1507">
        <v>1</v>
      </c>
      <c r="AC16" s="1507">
        <v>1</v>
      </c>
    </row>
    <row r="17" spans="1:29" ht="15">
      <c r="A17" s="387"/>
      <c r="B17" s="587" t="s">
        <v>2470</v>
      </c>
      <c r="C17" s="2056"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40"/>
      <c r="Q17" s="1506" t="str">
        <f>B17</f>
        <v>交通便捷度</v>
      </c>
      <c r="R17" s="714" t="s">
        <v>17</v>
      </c>
      <c r="S17" s="715">
        <f>F17</f>
        <v>100</v>
      </c>
      <c r="T17" s="714" t="s">
        <v>17</v>
      </c>
      <c r="U17" s="715">
        <f>H17</f>
        <v>100</v>
      </c>
      <c r="V17" s="714" t="s">
        <v>17</v>
      </c>
      <c r="W17" s="715">
        <f>J17</f>
        <v>100</v>
      </c>
      <c r="X17" s="1509"/>
      <c r="Y17" s="3440"/>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40"/>
      <c r="Q18" s="1506"/>
      <c r="R18" s="714"/>
      <c r="S18" s="715"/>
      <c r="T18" s="714"/>
      <c r="U18" s="715"/>
      <c r="V18" s="714"/>
      <c r="W18" s="715"/>
      <c r="X18" s="1509"/>
      <c r="Y18" s="3440"/>
      <c r="Z18" s="1510"/>
      <c r="AA18" s="1507">
        <v>1</v>
      </c>
      <c r="AB18" s="1507">
        <v>1</v>
      </c>
      <c r="AC18" s="1507">
        <v>1</v>
      </c>
    </row>
    <row r="19" spans="1:29" ht="15">
      <c r="A19" s="387"/>
      <c r="B19" s="587" t="s">
        <v>2509</v>
      </c>
      <c r="C19" s="2056" t="str">
        <f>估价对象房地状况!G17</f>
        <v>一般</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40"/>
      <c r="Q19" s="1506" t="str">
        <f t="shared" ref="Q19:Q33" si="8">B19</f>
        <v>区域土地利用方向</v>
      </c>
      <c r="R19" s="714" t="s">
        <v>17</v>
      </c>
      <c r="S19" s="715">
        <f>F19</f>
        <v>100</v>
      </c>
      <c r="T19" s="714" t="s">
        <v>17</v>
      </c>
      <c r="U19" s="715">
        <f>H19</f>
        <v>100</v>
      </c>
      <c r="V19" s="714" t="s">
        <v>17</v>
      </c>
      <c r="W19" s="715">
        <f>J19</f>
        <v>100</v>
      </c>
      <c r="X19" s="1509"/>
      <c r="Y19" s="3440"/>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40"/>
      <c r="Q20" s="1506"/>
      <c r="R20" s="714"/>
      <c r="S20" s="715"/>
      <c r="T20" s="714"/>
      <c r="U20" s="715"/>
      <c r="V20" s="714"/>
      <c r="W20" s="715"/>
      <c r="X20" s="1509"/>
      <c r="Y20" s="3440"/>
      <c r="Z20" s="1510"/>
      <c r="AA20" s="1507"/>
      <c r="AB20" s="1507"/>
      <c r="AC20" s="1507"/>
    </row>
    <row r="21" spans="1:29" ht="15">
      <c r="A21" s="364"/>
      <c r="B21" s="587" t="s">
        <v>2560</v>
      </c>
      <c r="C21" s="2056"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40"/>
      <c r="Q21" s="1506" t="str">
        <f t="shared" si="8"/>
        <v>环境状况</v>
      </c>
      <c r="R21" s="714" t="s">
        <v>17</v>
      </c>
      <c r="S21" s="715">
        <f>F21</f>
        <v>100</v>
      </c>
      <c r="T21" s="714" t="s">
        <v>17</v>
      </c>
      <c r="U21" s="715">
        <f>H21</f>
        <v>100</v>
      </c>
      <c r="V21" s="714" t="s">
        <v>17</v>
      </c>
      <c r="W21" s="715">
        <f>J21</f>
        <v>100</v>
      </c>
      <c r="X21" s="1509"/>
      <c r="Y21" s="3440"/>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40"/>
      <c r="Q22" s="1506"/>
      <c r="R22" s="714"/>
      <c r="S22" s="715"/>
      <c r="T22" s="714"/>
      <c r="U22" s="715"/>
      <c r="V22" s="714"/>
      <c r="W22" s="715"/>
      <c r="X22" s="1509"/>
      <c r="Y22" s="3440"/>
      <c r="Z22" s="1510"/>
      <c r="AA22" s="1507">
        <v>1</v>
      </c>
      <c r="AB22" s="1507">
        <v>1</v>
      </c>
      <c r="AC22" s="1507">
        <v>1</v>
      </c>
    </row>
    <row r="23" spans="1:29" s="113" customFormat="1" ht="15">
      <c r="A23" s="605"/>
      <c r="B23" s="589" t="s">
        <v>2415</v>
      </c>
      <c r="C23" s="2056" t="str">
        <f>估价对象房地状况!G19</f>
        <v>较差</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40"/>
      <c r="Q23" s="1497" t="str">
        <f t="shared" si="8"/>
        <v>公共配套设施</v>
      </c>
      <c r="R23" s="710" t="s">
        <v>17</v>
      </c>
      <c r="S23" s="711">
        <f>F23</f>
        <v>100</v>
      </c>
      <c r="T23" s="710" t="s">
        <v>17</v>
      </c>
      <c r="U23" s="711">
        <f>H23</f>
        <v>100</v>
      </c>
      <c r="V23" s="710" t="s">
        <v>17</v>
      </c>
      <c r="W23" s="711">
        <f>J23</f>
        <v>100</v>
      </c>
      <c r="X23" s="712"/>
      <c r="Y23" s="3440"/>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40"/>
      <c r="Q24" s="1497"/>
      <c r="R24" s="710"/>
      <c r="S24" s="711"/>
      <c r="T24" s="710"/>
      <c r="U24" s="711"/>
      <c r="V24" s="710"/>
      <c r="W24" s="711"/>
      <c r="X24" s="712"/>
      <c r="Y24" s="3440"/>
      <c r="Z24" s="55"/>
      <c r="AA24" s="713">
        <v>1</v>
      </c>
      <c r="AB24" s="713">
        <v>1</v>
      </c>
      <c r="AC24" s="713">
        <v>1</v>
      </c>
    </row>
    <row r="25" spans="1:29" s="113" customFormat="1" ht="15">
      <c r="A25" s="605"/>
      <c r="B25" s="589" t="s">
        <v>2416</v>
      </c>
      <c r="C25" s="2056" t="str">
        <f>估价对象房地状况!G20</f>
        <v>五通</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40"/>
      <c r="Q25" s="1497" t="str">
        <f t="shared" ref="Q25" si="9">B25</f>
        <v>基础设施水平</v>
      </c>
      <c r="R25" s="710" t="s">
        <v>17</v>
      </c>
      <c r="S25" s="711">
        <f>F25</f>
        <v>100</v>
      </c>
      <c r="T25" s="710" t="s">
        <v>17</v>
      </c>
      <c r="U25" s="711">
        <f>H25</f>
        <v>100</v>
      </c>
      <c r="V25" s="710" t="s">
        <v>17</v>
      </c>
      <c r="W25" s="711">
        <f>J25</f>
        <v>100</v>
      </c>
      <c r="X25" s="712"/>
      <c r="Y25" s="3440"/>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40"/>
      <c r="Q26" s="1497"/>
      <c r="R26" s="710"/>
      <c r="S26" s="711"/>
      <c r="T26" s="710"/>
      <c r="U26" s="711"/>
      <c r="V26" s="710"/>
      <c r="W26" s="711"/>
      <c r="X26" s="712"/>
      <c r="Y26" s="3440"/>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40"/>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40"/>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40"/>
      <c r="Q28" s="1506" t="str">
        <f t="shared" si="8"/>
        <v>毗邻道路的类型与等级</v>
      </c>
      <c r="R28" s="714" t="s">
        <v>17</v>
      </c>
      <c r="S28" s="715">
        <f t="shared" si="10"/>
        <v>100</v>
      </c>
      <c r="T28" s="714" t="s">
        <v>17</v>
      </c>
      <c r="U28" s="715">
        <f t="shared" si="11"/>
        <v>100</v>
      </c>
      <c r="V28" s="714" t="s">
        <v>17</v>
      </c>
      <c r="W28" s="715">
        <f t="shared" si="12"/>
        <v>100</v>
      </c>
      <c r="X28" s="1509"/>
      <c r="Y28" s="3440"/>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40"/>
      <c r="Q29" s="1506"/>
      <c r="R29" s="714"/>
      <c r="S29" s="715"/>
      <c r="T29" s="714"/>
      <c r="U29" s="715"/>
      <c r="V29" s="714"/>
      <c r="W29" s="715"/>
      <c r="X29" s="1509"/>
      <c r="Y29" s="3440"/>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40"/>
      <c r="Q30" s="1506" t="str">
        <f t="shared" si="8"/>
        <v>土地级别</v>
      </c>
      <c r="R30" s="714" t="s">
        <v>17</v>
      </c>
      <c r="S30" s="715">
        <f t="shared" si="10"/>
        <v>100</v>
      </c>
      <c r="T30" s="714" t="s">
        <v>17</v>
      </c>
      <c r="U30" s="715">
        <f t="shared" si="11"/>
        <v>100</v>
      </c>
      <c r="V30" s="714" t="s">
        <v>17</v>
      </c>
      <c r="W30" s="715">
        <f t="shared" si="12"/>
        <v>100</v>
      </c>
      <c r="X30" s="1509"/>
      <c r="Y30" s="3440"/>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40"/>
      <c r="Q31" s="1506">
        <f t="shared" si="8"/>
        <v>111</v>
      </c>
      <c r="R31" s="714" t="s">
        <v>17</v>
      </c>
      <c r="S31" s="715">
        <f t="shared" si="10"/>
        <v>100</v>
      </c>
      <c r="T31" s="714" t="s">
        <v>17</v>
      </c>
      <c r="U31" s="715">
        <f t="shared" si="11"/>
        <v>100</v>
      </c>
      <c r="V31" s="714" t="s">
        <v>17</v>
      </c>
      <c r="W31" s="715">
        <f t="shared" si="12"/>
        <v>100</v>
      </c>
      <c r="X31" s="1509"/>
      <c r="Y31" s="3440"/>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41" t="s">
        <v>2326</v>
      </c>
      <c r="Q32" s="1506">
        <f t="shared" si="8"/>
        <v>111</v>
      </c>
      <c r="R32" s="714" t="s">
        <v>17</v>
      </c>
      <c r="S32" s="715">
        <f t="shared" si="10"/>
        <v>100</v>
      </c>
      <c r="T32" s="714" t="s">
        <v>17</v>
      </c>
      <c r="U32" s="715">
        <f t="shared" si="11"/>
        <v>100</v>
      </c>
      <c r="V32" s="714" t="s">
        <v>17</v>
      </c>
      <c r="W32" s="715">
        <f t="shared" si="12"/>
        <v>100</v>
      </c>
      <c r="X32" s="1509"/>
      <c r="Y32" s="3442"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42"/>
      <c r="Q33" s="1506">
        <f t="shared" si="8"/>
        <v>111</v>
      </c>
      <c r="R33" s="717" t="s">
        <v>17</v>
      </c>
      <c r="S33" s="718">
        <f t="shared" si="10"/>
        <v>100</v>
      </c>
      <c r="T33" s="717" t="s">
        <v>17</v>
      </c>
      <c r="U33" s="718">
        <f t="shared" si="11"/>
        <v>100</v>
      </c>
      <c r="V33" s="717" t="s">
        <v>17</v>
      </c>
      <c r="W33" s="718">
        <f t="shared" si="12"/>
        <v>100</v>
      </c>
      <c r="X33" s="719"/>
      <c r="Y33" s="3442"/>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42"/>
      <c r="Q34" s="1506" t="str">
        <f>B34</f>
        <v>宗地面积</v>
      </c>
      <c r="R34" s="714" t="s">
        <v>17</v>
      </c>
      <c r="S34" s="715" t="e">
        <f t="shared" si="10"/>
        <v>#N/A</v>
      </c>
      <c r="T34" s="714" t="s">
        <v>17</v>
      </c>
      <c r="U34" s="715" t="e">
        <f t="shared" si="11"/>
        <v>#N/A</v>
      </c>
      <c r="V34" s="714" t="s">
        <v>17</v>
      </c>
      <c r="W34" s="715" t="e">
        <f t="shared" si="12"/>
        <v>#N/A</v>
      </c>
      <c r="X34" s="1509"/>
      <c r="Y34" s="3442"/>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42"/>
      <c r="Q35" s="1506" t="str">
        <f t="shared" ref="Q35:Q40" si="14">B35</f>
        <v>宗地形状</v>
      </c>
      <c r="R35" s="714" t="s">
        <v>17</v>
      </c>
      <c r="S35" s="715">
        <f t="shared" si="10"/>
        <v>100</v>
      </c>
      <c r="T35" s="714" t="s">
        <v>17</v>
      </c>
      <c r="U35" s="715">
        <f t="shared" si="11"/>
        <v>100</v>
      </c>
      <c r="V35" s="714" t="s">
        <v>17</v>
      </c>
      <c r="W35" s="715">
        <f t="shared" si="12"/>
        <v>100</v>
      </c>
      <c r="X35" s="1509"/>
      <c r="Y35" s="3442"/>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42"/>
      <c r="Q36" s="1506" t="str">
        <f t="shared" si="14"/>
        <v>宗地开发程度</v>
      </c>
      <c r="R36" s="710" t="s">
        <v>17</v>
      </c>
      <c r="S36" s="711">
        <f t="shared" si="10"/>
        <v>100</v>
      </c>
      <c r="T36" s="710" t="s">
        <v>17</v>
      </c>
      <c r="U36" s="711">
        <f t="shared" si="11"/>
        <v>100</v>
      </c>
      <c r="V36" s="710" t="s">
        <v>17</v>
      </c>
      <c r="W36" s="711">
        <f t="shared" si="12"/>
        <v>100</v>
      </c>
      <c r="X36" s="712"/>
      <c r="Y36" s="3442"/>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42" t="s">
        <v>2326</v>
      </c>
      <c r="Q37" s="1506" t="str">
        <f t="shared" si="14"/>
        <v>工程地质条件</v>
      </c>
      <c r="R37" s="714" t="s">
        <v>17</v>
      </c>
      <c r="S37" s="715">
        <f t="shared" si="10"/>
        <v>100</v>
      </c>
      <c r="T37" s="714" t="s">
        <v>17</v>
      </c>
      <c r="U37" s="715">
        <f t="shared" si="11"/>
        <v>100</v>
      </c>
      <c r="V37" s="714" t="s">
        <v>17</v>
      </c>
      <c r="W37" s="715">
        <f t="shared" si="12"/>
        <v>100</v>
      </c>
      <c r="X37" s="1509"/>
      <c r="Y37" s="3442"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42"/>
      <c r="Q38" s="1506">
        <f t="shared" si="14"/>
        <v>111</v>
      </c>
      <c r="R38" s="714" t="s">
        <v>17</v>
      </c>
      <c r="S38" s="715">
        <f t="shared" si="10"/>
        <v>100</v>
      </c>
      <c r="T38" s="714" t="s">
        <v>17</v>
      </c>
      <c r="U38" s="715">
        <f t="shared" si="11"/>
        <v>100</v>
      </c>
      <c r="V38" s="714" t="s">
        <v>17</v>
      </c>
      <c r="W38" s="715">
        <f t="shared" si="12"/>
        <v>100</v>
      </c>
      <c r="X38" s="1509"/>
      <c r="Y38" s="3442"/>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42"/>
      <c r="Q39" s="1506">
        <f t="shared" si="14"/>
        <v>111</v>
      </c>
      <c r="R39" s="714" t="s">
        <v>17</v>
      </c>
      <c r="S39" s="715">
        <f t="shared" si="10"/>
        <v>100</v>
      </c>
      <c r="T39" s="714" t="s">
        <v>17</v>
      </c>
      <c r="U39" s="715">
        <f t="shared" si="11"/>
        <v>100</v>
      </c>
      <c r="V39" s="714" t="s">
        <v>17</v>
      </c>
      <c r="W39" s="715">
        <f t="shared" si="12"/>
        <v>100</v>
      </c>
      <c r="X39" s="1509"/>
      <c r="Y39" s="3442"/>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42"/>
      <c r="Q40" s="1506">
        <f t="shared" si="14"/>
        <v>111</v>
      </c>
      <c r="R40" s="717" t="s">
        <v>17</v>
      </c>
      <c r="S40" s="718">
        <f t="shared" si="10"/>
        <v>100</v>
      </c>
      <c r="T40" s="717" t="s">
        <v>17</v>
      </c>
      <c r="U40" s="718">
        <f t="shared" si="11"/>
        <v>100</v>
      </c>
      <c r="V40" s="717" t="s">
        <v>17</v>
      </c>
      <c r="W40" s="718">
        <f t="shared" si="12"/>
        <v>100</v>
      </c>
      <c r="X40" s="719"/>
      <c r="Y40" s="3442"/>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1"/>
      <c r="M41" s="2913"/>
      <c r="N41" s="2913"/>
      <c r="O41" s="2922"/>
      <c r="P41" s="3424" t="str">
        <f>A41</f>
        <v>成交单价</v>
      </c>
      <c r="Q41" s="3424"/>
      <c r="R41" s="3437">
        <f>E41</f>
        <v>0</v>
      </c>
      <c r="S41" s="3437"/>
      <c r="T41" s="3437">
        <f>G41</f>
        <v>0</v>
      </c>
      <c r="U41" s="3437"/>
      <c r="V41" s="3437">
        <f>I41</f>
        <v>0</v>
      </c>
      <c r="W41" s="3437"/>
      <c r="X41" s="699"/>
      <c r="Y41" s="721"/>
      <c r="Z41" s="699"/>
      <c r="AA41" s="699"/>
      <c r="AB41" s="699"/>
      <c r="AC41" s="699"/>
    </row>
    <row r="42" spans="1:31" ht="15.75" thickBot="1">
      <c r="A42" s="445" t="s">
        <v>2430</v>
      </c>
      <c r="B42" s="639"/>
      <c r="C42" s="448" t="e">
        <f>R43</f>
        <v>#DIV/0!</v>
      </c>
      <c r="D42" s="2508" t="s">
        <v>2819</v>
      </c>
      <c r="E42" s="448" t="e">
        <f>R42</f>
        <v>#DIV/0!</v>
      </c>
      <c r="F42" s="2509"/>
      <c r="G42" s="447" t="e">
        <f>T42</f>
        <v>#DIV/0!</v>
      </c>
      <c r="H42" s="2509"/>
      <c r="I42" s="448" t="e">
        <f>V42</f>
        <v>#DIV/0!</v>
      </c>
      <c r="J42" s="2509"/>
      <c r="K42" s="2511">
        <f>F42+H42+J42</f>
        <v>0</v>
      </c>
      <c r="L42" s="2921"/>
      <c r="M42" s="2913"/>
      <c r="N42" s="2913"/>
      <c r="O42" s="2922"/>
      <c r="P42" s="3424" t="str">
        <f>A42</f>
        <v>比较价值（元/平方米）</v>
      </c>
      <c r="Q42" s="3424"/>
      <c r="R42" s="3526" t="e">
        <f>ROUND(PRODUCT(R41,AA7:AA40),0)</f>
        <v>#DIV/0!</v>
      </c>
      <c r="S42" s="3526"/>
      <c r="T42" s="3526" t="e">
        <f>ROUND(PRODUCT(T41,AB7:AB40),0)</f>
        <v>#DIV/0!</v>
      </c>
      <c r="U42" s="3526"/>
      <c r="V42" s="3526" t="e">
        <f>ROUND(PRODUCT(V41,AC7:AC40),0)</f>
        <v>#DIV/0!</v>
      </c>
      <c r="W42" s="3526"/>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45" t="str">
        <f>A43</f>
        <v>估价对象XX用房的比较价值（楼面单价，元/平方米）</v>
      </c>
      <c r="Q43" s="3446"/>
      <c r="R43" s="3527" t="e">
        <f>ROUND(IF(D42="简单平均",AVERAGE(R42:W42),R42*F42+T42*H42+V42*J42),0)</f>
        <v>#DIV/0!</v>
      </c>
      <c r="S43" s="3527"/>
      <c r="T43" s="3527"/>
      <c r="U43" s="3527"/>
      <c r="V43" s="3527"/>
      <c r="W43" s="3527"/>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9" t="s">
        <v>2521</v>
      </c>
      <c r="D50" s="2140" t="s">
        <v>2522</v>
      </c>
      <c r="E50" s="642" t="s">
        <v>2523</v>
      </c>
      <c r="F50" s="643" t="s">
        <v>2524</v>
      </c>
      <c r="G50" s="3425" t="s">
        <v>2525</v>
      </c>
      <c r="H50" s="3528"/>
      <c r="I50" s="1510" t="s">
        <v>2562</v>
      </c>
      <c r="J50" s="1510">
        <f>项目基本情况!F35</f>
        <v>0</v>
      </c>
      <c r="K50" s="2142"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1949.77</v>
      </c>
      <c r="F51" s="647" t="e">
        <f t="shared" ref="F51:F60" si="15">ROUND(B51*E51/10000,0)</f>
        <v>#DIV/0!</v>
      </c>
      <c r="G51" s="3504"/>
      <c r="H51" s="3424"/>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529"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529"/>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529"/>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529"/>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2543</v>
      </c>
      <c r="B65" s="1241"/>
      <c r="C65" s="1316" t="str">
        <f>YEAR(C63)&amp;"-"&amp;ROUNDUP(MONTH(C63)/3,0)</f>
        <v>2022-3</v>
      </c>
      <c r="D65" s="1316" t="str">
        <f t="shared" ref="D65:O65" si="19">YEAR(D63)&amp;"-"&amp;ROUNDUP(MONTH(D63)/3,0)</f>
        <v>2022-2</v>
      </c>
      <c r="E65" s="1316" t="str">
        <f t="shared" si="19"/>
        <v>2022-1</v>
      </c>
      <c r="F65" s="1316" t="str">
        <f t="shared" si="19"/>
        <v>2021-4</v>
      </c>
      <c r="G65" s="1316" t="str">
        <f t="shared" si="19"/>
        <v>2021-3</v>
      </c>
      <c r="H65" s="1316" t="str">
        <f t="shared" si="19"/>
        <v>2021-2</v>
      </c>
      <c r="I65" s="1316" t="str">
        <f t="shared" si="19"/>
        <v>2021-1</v>
      </c>
      <c r="J65" s="1316" t="str">
        <f t="shared" si="19"/>
        <v>2020-4</v>
      </c>
      <c r="K65" s="1316" t="str">
        <f t="shared" si="19"/>
        <v>2020-3</v>
      </c>
      <c r="L65" s="1316" t="str">
        <f t="shared" si="19"/>
        <v>2020-2</v>
      </c>
      <c r="M65" s="1316" t="str">
        <f t="shared" si="19"/>
        <v>2020-1</v>
      </c>
      <c r="N65" s="1316" t="str">
        <f t="shared" si="19"/>
        <v>2019-4</v>
      </c>
      <c r="O65" s="1316" t="str">
        <f t="shared" si="19"/>
        <v>2019-3</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2563</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4" t="s">
        <v>183</v>
      </c>
      <c r="B18" s="821" t="s">
        <v>560</v>
      </c>
      <c r="C18" s="822" t="s">
        <v>561</v>
      </c>
      <c r="D18" s="823"/>
      <c r="E18" s="821">
        <v>1</v>
      </c>
      <c r="F18" s="824" t="s">
        <v>562</v>
      </c>
      <c r="G18" s="825"/>
      <c r="H18" s="817"/>
      <c r="I18" s="817"/>
    </row>
    <row r="19" spans="1:9" s="826" customFormat="1" ht="19.5" customHeight="1">
      <c r="A19" s="3534"/>
      <c r="B19" s="3534" t="s">
        <v>563</v>
      </c>
      <c r="C19" s="822" t="s">
        <v>564</v>
      </c>
      <c r="D19" s="823"/>
      <c r="E19" s="821">
        <v>0.9</v>
      </c>
      <c r="F19" s="824" t="s">
        <v>565</v>
      </c>
      <c r="G19" s="825"/>
      <c r="H19" s="817"/>
      <c r="I19" s="817"/>
    </row>
    <row r="20" spans="1:9" s="826" customFormat="1" ht="19.5" customHeight="1">
      <c r="A20" s="3534"/>
      <c r="B20" s="3534"/>
      <c r="C20" s="822" t="s">
        <v>566</v>
      </c>
      <c r="D20" s="823"/>
      <c r="E20" s="821">
        <v>1.1000000000000001</v>
      </c>
      <c r="F20" s="824" t="s">
        <v>567</v>
      </c>
      <c r="G20" s="825"/>
      <c r="H20" s="817"/>
      <c r="I20" s="817"/>
    </row>
    <row r="21" spans="1:9" s="826" customFormat="1" ht="19.5" customHeight="1">
      <c r="A21" s="3534"/>
      <c r="B21" s="3534"/>
      <c r="C21" s="822" t="s">
        <v>568</v>
      </c>
      <c r="D21" s="823"/>
      <c r="E21" s="821">
        <v>0.8</v>
      </c>
      <c r="F21" s="824" t="s">
        <v>569</v>
      </c>
      <c r="G21" s="825"/>
      <c r="H21" s="817"/>
      <c r="I21" s="817"/>
    </row>
    <row r="22" spans="1:9" s="826" customFormat="1" ht="19.5" customHeight="1">
      <c r="A22" s="3534"/>
      <c r="B22" s="3534"/>
      <c r="C22" s="822" t="s">
        <v>570</v>
      </c>
      <c r="D22" s="823"/>
      <c r="E22" s="821">
        <v>0.5</v>
      </c>
      <c r="F22" s="824"/>
      <c r="G22" s="825"/>
      <c r="H22" s="817"/>
      <c r="I22" s="817"/>
    </row>
    <row r="23" spans="1:9" s="826" customFormat="1" ht="19.5" customHeight="1">
      <c r="A23" s="3534" t="s">
        <v>184</v>
      </c>
      <c r="B23" s="821" t="s">
        <v>560</v>
      </c>
      <c r="C23" s="822" t="s">
        <v>571</v>
      </c>
      <c r="D23" s="823"/>
      <c r="E23" s="821">
        <v>1</v>
      </c>
      <c r="F23" s="824" t="s">
        <v>572</v>
      </c>
      <c r="G23" s="825"/>
      <c r="H23" s="817"/>
      <c r="I23" s="817"/>
    </row>
    <row r="24" spans="1:9" s="826" customFormat="1" ht="19.5" customHeight="1">
      <c r="A24" s="3534"/>
      <c r="B24" s="3534" t="s">
        <v>563</v>
      </c>
      <c r="C24" s="822" t="s">
        <v>573</v>
      </c>
      <c r="D24" s="823"/>
      <c r="E24" s="821">
        <v>0.5</v>
      </c>
      <c r="F24" s="824"/>
      <c r="G24" s="825"/>
      <c r="H24" s="817"/>
      <c r="I24" s="817"/>
    </row>
    <row r="25" spans="1:9" s="826" customFormat="1" ht="19.5" customHeight="1">
      <c r="A25" s="3534"/>
      <c r="B25" s="3534"/>
      <c r="C25" s="822" t="s">
        <v>574</v>
      </c>
      <c r="D25" s="823"/>
      <c r="E25" s="821">
        <v>1.1000000000000001</v>
      </c>
      <c r="F25" s="824"/>
      <c r="G25" s="825"/>
      <c r="H25" s="817"/>
      <c r="I25" s="817"/>
    </row>
    <row r="26" spans="1:9" s="826" customFormat="1" ht="19.5" customHeight="1">
      <c r="A26" s="3534"/>
      <c r="B26" s="3534"/>
      <c r="C26" s="822" t="s">
        <v>575</v>
      </c>
      <c r="D26" s="823"/>
      <c r="E26" s="821">
        <v>1.1000000000000001</v>
      </c>
      <c r="F26" s="824"/>
      <c r="G26" s="825"/>
      <c r="H26" s="817"/>
      <c r="I26" s="817"/>
    </row>
    <row r="27" spans="1:9" s="826" customFormat="1" ht="19.5" customHeight="1">
      <c r="A27" s="3534"/>
      <c r="B27" s="3534"/>
      <c r="C27" s="822" t="s">
        <v>576</v>
      </c>
      <c r="D27" s="823"/>
      <c r="E27" s="821">
        <v>0.9</v>
      </c>
      <c r="F27" s="824" t="s">
        <v>577</v>
      </c>
      <c r="G27" s="825"/>
      <c r="H27" s="817"/>
      <c r="I27" s="817"/>
    </row>
    <row r="28" spans="1:9" s="826" customFormat="1" ht="19.5" customHeight="1">
      <c r="A28" s="3534"/>
      <c r="B28" s="3534"/>
      <c r="C28" s="822" t="s">
        <v>578</v>
      </c>
      <c r="D28" s="823"/>
      <c r="E28" s="821">
        <v>0.9</v>
      </c>
      <c r="F28" s="824" t="s">
        <v>579</v>
      </c>
      <c r="G28" s="825"/>
      <c r="H28" s="817"/>
      <c r="I28" s="817"/>
    </row>
    <row r="29" spans="1:9" s="826" customFormat="1" ht="19.5" customHeight="1">
      <c r="A29" s="3534"/>
      <c r="B29" s="3534"/>
      <c r="C29" s="822" t="s">
        <v>580</v>
      </c>
      <c r="D29" s="823"/>
      <c r="E29" s="821">
        <v>0.9</v>
      </c>
      <c r="F29" s="824" t="s">
        <v>581</v>
      </c>
      <c r="G29" s="825"/>
      <c r="H29" s="817"/>
      <c r="I29" s="817"/>
    </row>
    <row r="30" spans="1:9" s="826" customFormat="1" ht="19.5" customHeight="1">
      <c r="A30" s="3534"/>
      <c r="B30" s="3534"/>
      <c r="C30" s="822" t="s">
        <v>582</v>
      </c>
      <c r="D30" s="823"/>
      <c r="E30" s="821">
        <v>0.9</v>
      </c>
      <c r="F30" s="824" t="s">
        <v>583</v>
      </c>
      <c r="G30" s="825"/>
      <c r="H30" s="817"/>
      <c r="I30" s="817"/>
    </row>
    <row r="31" spans="1:9" s="826" customFormat="1" ht="19.5" customHeight="1">
      <c r="A31" s="3534"/>
      <c r="B31" s="3534"/>
      <c r="C31" s="822" t="s">
        <v>584</v>
      </c>
      <c r="D31" s="823"/>
      <c r="E31" s="821">
        <v>0.8</v>
      </c>
      <c r="F31" s="824" t="s">
        <v>585</v>
      </c>
      <c r="G31" s="825"/>
      <c r="H31" s="817"/>
      <c r="I31" s="817"/>
    </row>
    <row r="32" spans="1:9" s="826" customFormat="1" ht="19.5" customHeight="1">
      <c r="A32" s="3534"/>
      <c r="B32" s="3534"/>
      <c r="C32" s="822" t="s">
        <v>586</v>
      </c>
      <c r="D32" s="823"/>
      <c r="E32" s="821">
        <v>0.8</v>
      </c>
      <c r="F32" s="824" t="s">
        <v>587</v>
      </c>
      <c r="G32" s="825"/>
      <c r="H32" s="817"/>
      <c r="I32" s="817"/>
    </row>
    <row r="33" spans="1:9" s="826" customFormat="1" ht="19.5" customHeight="1">
      <c r="A33" s="3534" t="s">
        <v>185</v>
      </c>
      <c r="B33" s="821" t="s">
        <v>560</v>
      </c>
      <c r="C33" s="822" t="s">
        <v>588</v>
      </c>
      <c r="D33" s="823"/>
      <c r="E33" s="821">
        <v>1</v>
      </c>
      <c r="F33" s="824" t="s">
        <v>589</v>
      </c>
      <c r="G33" s="825"/>
      <c r="H33" s="817"/>
      <c r="I33" s="817"/>
    </row>
    <row r="34" spans="1:9" s="826" customFormat="1" ht="19.5" customHeight="1">
      <c r="A34" s="3534"/>
      <c r="B34" s="821" t="s">
        <v>563</v>
      </c>
      <c r="C34" s="822" t="s">
        <v>590</v>
      </c>
      <c r="D34" s="823"/>
      <c r="E34" s="821">
        <v>1.5</v>
      </c>
      <c r="F34" s="824" t="s">
        <v>591</v>
      </c>
      <c r="G34" s="825"/>
      <c r="H34" s="817"/>
      <c r="I34" s="817"/>
    </row>
    <row r="35" spans="1:9" s="826" customFormat="1" ht="19.5" customHeight="1">
      <c r="A35" s="3534" t="s">
        <v>186</v>
      </c>
      <c r="B35" s="821" t="s">
        <v>560</v>
      </c>
      <c r="C35" s="822" t="s">
        <v>592</v>
      </c>
      <c r="D35" s="823"/>
      <c r="E35" s="821">
        <v>1</v>
      </c>
      <c r="F35" s="824" t="s">
        <v>593</v>
      </c>
      <c r="G35" s="825"/>
      <c r="H35" s="817"/>
      <c r="I35" s="817"/>
    </row>
    <row r="36" spans="1:9" s="826" customFormat="1" ht="19.5" customHeight="1">
      <c r="A36" s="3534"/>
      <c r="B36" s="3534" t="s">
        <v>563</v>
      </c>
      <c r="C36" s="822" t="s">
        <v>594</v>
      </c>
      <c r="D36" s="823"/>
      <c r="E36" s="821">
        <v>1</v>
      </c>
      <c r="F36" s="824" t="s">
        <v>595</v>
      </c>
      <c r="G36" s="825"/>
      <c r="H36" s="817"/>
      <c r="I36" s="817"/>
    </row>
    <row r="37" spans="1:9" s="826" customFormat="1" ht="19.5" customHeight="1">
      <c r="A37" s="3534"/>
      <c r="B37" s="3534"/>
      <c r="C37" s="822" t="s">
        <v>596</v>
      </c>
      <c r="D37" s="823"/>
      <c r="E37" s="821">
        <v>1.5</v>
      </c>
      <c r="F37" s="824" t="s">
        <v>597</v>
      </c>
      <c r="G37" s="825"/>
      <c r="H37" s="817"/>
      <c r="I37" s="817"/>
    </row>
    <row r="38" spans="1:9" s="826" customFormat="1" ht="19.5" customHeight="1">
      <c r="A38" s="3534"/>
      <c r="B38" s="3534"/>
      <c r="C38" s="822" t="s">
        <v>598</v>
      </c>
      <c r="D38" s="823"/>
      <c r="E38" s="821">
        <v>1</v>
      </c>
      <c r="F38" s="824" t="s">
        <v>599</v>
      </c>
      <c r="G38" s="825"/>
      <c r="H38" s="817"/>
      <c r="I38" s="817"/>
    </row>
    <row r="39" spans="1:9" s="826" customFormat="1" ht="19.5" customHeight="1">
      <c r="A39" s="3534"/>
      <c r="B39" s="353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4" t="s">
        <v>614</v>
      </c>
      <c r="C61" s="757" t="s">
        <v>615</v>
      </c>
      <c r="D61" s="757" t="s">
        <v>616</v>
      </c>
      <c r="E61" s="834">
        <v>0.5</v>
      </c>
      <c r="F61" s="821">
        <v>80</v>
      </c>
    </row>
    <row r="62" spans="1:8" s="817" customFormat="1" ht="24">
      <c r="A62" s="821">
        <v>2</v>
      </c>
      <c r="B62" s="3534"/>
      <c r="C62" s="757" t="s">
        <v>617</v>
      </c>
      <c r="D62" s="757" t="s">
        <v>618</v>
      </c>
      <c r="E62" s="834">
        <v>0.5</v>
      </c>
      <c r="F62" s="821">
        <v>80</v>
      </c>
    </row>
    <row r="63" spans="1:8" s="817" customFormat="1" ht="36">
      <c r="A63" s="821">
        <v>3</v>
      </c>
      <c r="B63" s="3534"/>
      <c r="C63" s="757" t="s">
        <v>619</v>
      </c>
      <c r="D63" s="757" t="s">
        <v>620</v>
      </c>
      <c r="E63" s="834">
        <v>0.5</v>
      </c>
      <c r="F63" s="821">
        <v>80</v>
      </c>
    </row>
    <row r="64" spans="1:8" s="817" customFormat="1" ht="36">
      <c r="A64" s="821">
        <v>4</v>
      </c>
      <c r="B64" s="3534"/>
      <c r="C64" s="757" t="s">
        <v>621</v>
      </c>
      <c r="D64" s="757" t="s">
        <v>622</v>
      </c>
      <c r="E64" s="834">
        <v>0.4</v>
      </c>
      <c r="F64" s="821">
        <v>60</v>
      </c>
    </row>
    <row r="65" spans="1:6" s="817" customFormat="1" ht="36">
      <c r="A65" s="821">
        <v>5</v>
      </c>
      <c r="B65" s="3534"/>
      <c r="C65" s="757" t="s">
        <v>623</v>
      </c>
      <c r="D65" s="757" t="s">
        <v>624</v>
      </c>
      <c r="E65" s="834">
        <v>0.2</v>
      </c>
      <c r="F65" s="821">
        <v>30</v>
      </c>
    </row>
    <row r="66" spans="1:6" s="817" customFormat="1" ht="36">
      <c r="A66" s="821">
        <v>6</v>
      </c>
      <c r="B66" s="3534"/>
      <c r="C66" s="757" t="s">
        <v>625</v>
      </c>
      <c r="D66" s="757" t="s">
        <v>626</v>
      </c>
      <c r="E66" s="834">
        <v>0.3</v>
      </c>
      <c r="F66" s="821">
        <v>50</v>
      </c>
    </row>
    <row r="67" spans="1:6" s="817" customFormat="1" ht="36">
      <c r="A67" s="821">
        <v>7</v>
      </c>
      <c r="B67" s="3534"/>
      <c r="C67" s="757" t="s">
        <v>627</v>
      </c>
      <c r="D67" s="757" t="s">
        <v>628</v>
      </c>
      <c r="E67" s="834">
        <v>0.2</v>
      </c>
      <c r="F67" s="821">
        <v>30</v>
      </c>
    </row>
    <row r="68" spans="1:6" s="817" customFormat="1" ht="36">
      <c r="A68" s="821">
        <v>8</v>
      </c>
      <c r="B68" s="3534"/>
      <c r="C68" s="757" t="s">
        <v>629</v>
      </c>
      <c r="D68" s="757" t="s">
        <v>630</v>
      </c>
      <c r="E68" s="834">
        <v>0.2</v>
      </c>
      <c r="F68" s="821">
        <v>30</v>
      </c>
    </row>
    <row r="69" spans="1:6" s="817" customFormat="1" ht="36">
      <c r="A69" s="821">
        <v>9</v>
      </c>
      <c r="B69" s="3534"/>
      <c r="C69" s="757" t="s">
        <v>631</v>
      </c>
      <c r="D69" s="757" t="s">
        <v>632</v>
      </c>
      <c r="E69" s="834">
        <v>0.2</v>
      </c>
      <c r="F69" s="821">
        <v>30</v>
      </c>
    </row>
    <row r="70" spans="1:6" s="817" customFormat="1" ht="48">
      <c r="A70" s="821">
        <v>10</v>
      </c>
      <c r="B70" s="3534"/>
      <c r="C70" s="757" t="s">
        <v>633</v>
      </c>
      <c r="D70" s="757" t="s">
        <v>634</v>
      </c>
      <c r="E70" s="834">
        <v>0.2</v>
      </c>
      <c r="F70" s="821">
        <v>30</v>
      </c>
    </row>
    <row r="71" spans="1:6" s="817" customFormat="1" ht="48">
      <c r="A71" s="821">
        <v>11</v>
      </c>
      <c r="B71" s="3534"/>
      <c r="C71" s="757" t="s">
        <v>635</v>
      </c>
      <c r="D71" s="757" t="s">
        <v>636</v>
      </c>
      <c r="E71" s="834">
        <v>0.2</v>
      </c>
      <c r="F71" s="821">
        <v>30</v>
      </c>
    </row>
    <row r="72" spans="1:6" s="817" customFormat="1" ht="36">
      <c r="A72" s="821">
        <v>12</v>
      </c>
      <c r="B72" s="3534"/>
      <c r="C72" s="757" t="s">
        <v>637</v>
      </c>
      <c r="D72" s="757" t="s">
        <v>638</v>
      </c>
      <c r="E72" s="834">
        <v>0.5</v>
      </c>
      <c r="F72" s="821">
        <v>80</v>
      </c>
    </row>
    <row r="73" spans="1:6" s="817" customFormat="1" ht="24">
      <c r="A73" s="821">
        <v>13</v>
      </c>
      <c r="B73" s="3534"/>
      <c r="C73" s="757" t="s">
        <v>639</v>
      </c>
      <c r="D73" s="757" t="s">
        <v>640</v>
      </c>
      <c r="E73" s="834">
        <v>0.4</v>
      </c>
      <c r="F73" s="821">
        <v>60</v>
      </c>
    </row>
    <row r="74" spans="1:6" s="817" customFormat="1" ht="24">
      <c r="A74" s="821">
        <v>14</v>
      </c>
      <c r="B74" s="3534"/>
      <c r="C74" s="757" t="s">
        <v>641</v>
      </c>
      <c r="D74" s="757" t="s">
        <v>642</v>
      </c>
      <c r="E74" s="834">
        <v>0.2</v>
      </c>
      <c r="F74" s="821">
        <v>30</v>
      </c>
    </row>
    <row r="75" spans="1:6" s="817" customFormat="1" ht="24">
      <c r="A75" s="821">
        <v>15</v>
      </c>
      <c r="B75" s="3534"/>
      <c r="C75" s="757" t="s">
        <v>643</v>
      </c>
      <c r="D75" s="757" t="s">
        <v>644</v>
      </c>
      <c r="E75" s="834">
        <v>0.2</v>
      </c>
      <c r="F75" s="821">
        <v>30</v>
      </c>
    </row>
    <row r="76" spans="1:6" s="817" customFormat="1" ht="24">
      <c r="A76" s="821">
        <v>16</v>
      </c>
      <c r="B76" s="3534" t="s">
        <v>645</v>
      </c>
      <c r="C76" s="757" t="s">
        <v>646</v>
      </c>
      <c r="D76" s="757" t="s">
        <v>647</v>
      </c>
      <c r="E76" s="834">
        <v>0.5</v>
      </c>
      <c r="F76" s="821">
        <v>80</v>
      </c>
    </row>
    <row r="77" spans="1:6" s="817" customFormat="1" ht="24">
      <c r="A77" s="821">
        <v>17</v>
      </c>
      <c r="B77" s="3534"/>
      <c r="C77" s="757" t="s">
        <v>648</v>
      </c>
      <c r="D77" s="757" t="s">
        <v>649</v>
      </c>
      <c r="E77" s="834">
        <v>0.5</v>
      </c>
      <c r="F77" s="821">
        <v>80</v>
      </c>
    </row>
    <row r="78" spans="1:6" s="817" customFormat="1" ht="24">
      <c r="A78" s="821">
        <v>18</v>
      </c>
      <c r="B78" s="3534"/>
      <c r="C78" s="757" t="s">
        <v>650</v>
      </c>
      <c r="D78" s="757" t="s">
        <v>651</v>
      </c>
      <c r="E78" s="834">
        <v>0.2</v>
      </c>
      <c r="F78" s="821">
        <v>30</v>
      </c>
    </row>
    <row r="79" spans="1:6" s="817" customFormat="1" ht="24">
      <c r="A79" s="821">
        <v>19</v>
      </c>
      <c r="B79" s="3534"/>
      <c r="C79" s="757" t="s">
        <v>652</v>
      </c>
      <c r="D79" s="757" t="s">
        <v>653</v>
      </c>
      <c r="E79" s="834">
        <v>0.5</v>
      </c>
      <c r="F79" s="821">
        <v>80</v>
      </c>
    </row>
    <row r="80" spans="1:6" s="817" customFormat="1" ht="36">
      <c r="A80" s="821">
        <v>20</v>
      </c>
      <c r="B80" s="3534"/>
      <c r="C80" s="757" t="s">
        <v>654</v>
      </c>
      <c r="D80" s="757" t="s">
        <v>655</v>
      </c>
      <c r="E80" s="834">
        <v>0.2</v>
      </c>
      <c r="F80" s="821">
        <v>30</v>
      </c>
    </row>
    <row r="81" spans="1:6" s="817" customFormat="1" ht="36">
      <c r="A81" s="821">
        <v>21</v>
      </c>
      <c r="B81" s="3534"/>
      <c r="C81" s="757" t="s">
        <v>656</v>
      </c>
      <c r="D81" s="757" t="s">
        <v>657</v>
      </c>
      <c r="E81" s="834">
        <v>0.2</v>
      </c>
      <c r="F81" s="821">
        <v>30</v>
      </c>
    </row>
    <row r="82" spans="1:6" s="817" customFormat="1" ht="48">
      <c r="A82" s="821">
        <v>22</v>
      </c>
      <c r="B82" s="3534"/>
      <c r="C82" s="757" t="s">
        <v>658</v>
      </c>
      <c r="D82" s="757" t="s">
        <v>659</v>
      </c>
      <c r="E82" s="834">
        <v>0.2</v>
      </c>
      <c r="F82" s="821">
        <v>30</v>
      </c>
    </row>
    <row r="83" spans="1:6" s="817" customFormat="1" ht="48">
      <c r="A83" s="821">
        <v>23</v>
      </c>
      <c r="B83" s="3534"/>
      <c r="C83" s="757" t="s">
        <v>660</v>
      </c>
      <c r="D83" s="757" t="s">
        <v>661</v>
      </c>
      <c r="E83" s="834">
        <v>0.2</v>
      </c>
      <c r="F83" s="821">
        <v>30</v>
      </c>
    </row>
    <row r="84" spans="1:6" s="817" customFormat="1" ht="36">
      <c r="A84" s="821">
        <v>24</v>
      </c>
      <c r="B84" s="3534"/>
      <c r="C84" s="757" t="s">
        <v>662</v>
      </c>
      <c r="D84" s="757" t="s">
        <v>663</v>
      </c>
      <c r="E84" s="834">
        <v>0.2</v>
      </c>
      <c r="F84" s="821">
        <v>30</v>
      </c>
    </row>
    <row r="85" spans="1:6" s="817" customFormat="1" ht="36">
      <c r="A85" s="821">
        <v>25</v>
      </c>
      <c r="B85" s="3534"/>
      <c r="C85" s="757" t="s">
        <v>664</v>
      </c>
      <c r="D85" s="757" t="s">
        <v>665</v>
      </c>
      <c r="E85" s="834">
        <v>0.5</v>
      </c>
      <c r="F85" s="821">
        <v>80</v>
      </c>
    </row>
    <row r="86" spans="1:6" s="817" customFormat="1" ht="36">
      <c r="A86" s="821">
        <v>26</v>
      </c>
      <c r="B86" s="3534"/>
      <c r="C86" s="757" t="s">
        <v>666</v>
      </c>
      <c r="D86" s="757" t="s">
        <v>667</v>
      </c>
      <c r="E86" s="834">
        <v>0.2</v>
      </c>
      <c r="F86" s="821">
        <v>30</v>
      </c>
    </row>
    <row r="87" spans="1:6" s="817" customFormat="1" ht="36">
      <c r="A87" s="821">
        <v>27</v>
      </c>
      <c r="B87" s="3534"/>
      <c r="C87" s="757" t="s">
        <v>668</v>
      </c>
      <c r="D87" s="757" t="s">
        <v>669</v>
      </c>
      <c r="E87" s="834">
        <v>0.2</v>
      </c>
      <c r="F87" s="821">
        <v>30</v>
      </c>
    </row>
    <row r="88" spans="1:6" s="817" customFormat="1" ht="36">
      <c r="A88" s="821">
        <v>28</v>
      </c>
      <c r="B88" s="3534"/>
      <c r="C88" s="757" t="s">
        <v>670</v>
      </c>
      <c r="D88" s="757" t="s">
        <v>671</v>
      </c>
      <c r="E88" s="834">
        <v>0.2</v>
      </c>
      <c r="F88" s="821">
        <v>30</v>
      </c>
    </row>
    <row r="89" spans="1:6" s="817" customFormat="1" ht="24">
      <c r="A89" s="821">
        <v>29</v>
      </c>
      <c r="B89" s="3534"/>
      <c r="C89" s="757" t="s">
        <v>672</v>
      </c>
      <c r="D89" s="757" t="s">
        <v>673</v>
      </c>
      <c r="E89" s="834">
        <v>0.2</v>
      </c>
      <c r="F89" s="821">
        <v>30</v>
      </c>
    </row>
    <row r="90" spans="1:6" s="817" customFormat="1" ht="24">
      <c r="A90" s="821">
        <v>30</v>
      </c>
      <c r="B90" s="3534"/>
      <c r="C90" s="757" t="s">
        <v>674</v>
      </c>
      <c r="D90" s="757" t="s">
        <v>675</v>
      </c>
      <c r="E90" s="834">
        <v>0.2</v>
      </c>
      <c r="F90" s="821">
        <v>30</v>
      </c>
    </row>
    <row r="91" spans="1:6" s="817" customFormat="1" ht="36">
      <c r="A91" s="821">
        <v>31</v>
      </c>
      <c r="B91" s="3534"/>
      <c r="C91" s="757" t="s">
        <v>676</v>
      </c>
      <c r="D91" s="757" t="s">
        <v>677</v>
      </c>
      <c r="E91" s="834">
        <v>0.2</v>
      </c>
      <c r="F91" s="821">
        <v>30</v>
      </c>
    </row>
    <row r="92" spans="1:6" s="817" customFormat="1" ht="24">
      <c r="A92" s="821">
        <v>32</v>
      </c>
      <c r="B92" s="3534" t="s">
        <v>678</v>
      </c>
      <c r="C92" s="821" t="s">
        <v>679</v>
      </c>
      <c r="D92" s="757" t="s">
        <v>680</v>
      </c>
      <c r="E92" s="834">
        <v>0.2</v>
      </c>
      <c r="F92" s="821">
        <v>30</v>
      </c>
    </row>
    <row r="93" spans="1:6" s="817" customFormat="1" ht="36">
      <c r="A93" s="821">
        <v>33</v>
      </c>
      <c r="B93" s="3534"/>
      <c r="C93" s="821" t="s">
        <v>681</v>
      </c>
      <c r="D93" s="757" t="s">
        <v>682</v>
      </c>
      <c r="E93" s="834">
        <v>0.2</v>
      </c>
      <c r="F93" s="821">
        <v>30</v>
      </c>
    </row>
    <row r="94" spans="1:6" s="817" customFormat="1" ht="48">
      <c r="A94" s="821">
        <v>34</v>
      </c>
      <c r="B94" s="3534"/>
      <c r="C94" s="821" t="s">
        <v>683</v>
      </c>
      <c r="D94" s="757" t="s">
        <v>684</v>
      </c>
      <c r="E94" s="834">
        <v>0.2</v>
      </c>
      <c r="F94" s="821">
        <v>30</v>
      </c>
    </row>
    <row r="95" spans="1:6" s="817" customFormat="1" ht="36">
      <c r="A95" s="821">
        <v>35</v>
      </c>
      <c r="B95" s="3534"/>
      <c r="C95" s="821" t="s">
        <v>685</v>
      </c>
      <c r="D95" s="757" t="s">
        <v>686</v>
      </c>
      <c r="E95" s="834">
        <v>0.2</v>
      </c>
      <c r="F95" s="821">
        <v>30</v>
      </c>
    </row>
    <row r="96" spans="1:6" s="817" customFormat="1" ht="48">
      <c r="A96" s="821">
        <v>36</v>
      </c>
      <c r="B96" s="3534"/>
      <c r="C96" s="757" t="s">
        <v>687</v>
      </c>
      <c r="D96" s="757" t="s">
        <v>688</v>
      </c>
      <c r="E96" s="834">
        <v>0.2</v>
      </c>
      <c r="F96" s="821">
        <v>30</v>
      </c>
    </row>
    <row r="97" spans="1:6" s="817" customFormat="1" ht="36">
      <c r="A97" s="821">
        <v>37</v>
      </c>
      <c r="B97" s="3534"/>
      <c r="C97" s="821" t="s">
        <v>689</v>
      </c>
      <c r="D97" s="757" t="s">
        <v>690</v>
      </c>
      <c r="E97" s="834">
        <v>0.2</v>
      </c>
      <c r="F97" s="821">
        <v>30</v>
      </c>
    </row>
    <row r="98" spans="1:6" s="817" customFormat="1" ht="36">
      <c r="A98" s="821">
        <v>38</v>
      </c>
      <c r="B98" s="3534"/>
      <c r="C98" s="821" t="s">
        <v>691</v>
      </c>
      <c r="D98" s="757" t="s">
        <v>692</v>
      </c>
      <c r="E98" s="834">
        <v>0.2</v>
      </c>
      <c r="F98" s="821">
        <v>30</v>
      </c>
    </row>
    <row r="99" spans="1:6" s="817" customFormat="1" ht="36">
      <c r="A99" s="821">
        <v>39</v>
      </c>
      <c r="B99" s="3534" t="s">
        <v>693</v>
      </c>
      <c r="C99" s="821" t="s">
        <v>694</v>
      </c>
      <c r="D99" s="757" t="s">
        <v>695</v>
      </c>
      <c r="E99" s="834">
        <v>0.3</v>
      </c>
      <c r="F99" s="821">
        <v>50</v>
      </c>
    </row>
    <row r="100" spans="1:6" s="817" customFormat="1" ht="24">
      <c r="A100" s="821">
        <v>40</v>
      </c>
      <c r="B100" s="3534"/>
      <c r="C100" s="821" t="s">
        <v>696</v>
      </c>
      <c r="D100" s="757" t="s">
        <v>697</v>
      </c>
      <c r="E100" s="834">
        <v>0.2</v>
      </c>
      <c r="F100" s="821">
        <v>30</v>
      </c>
    </row>
    <row r="101" spans="1:6" s="817" customFormat="1" ht="36">
      <c r="A101" s="821">
        <v>41</v>
      </c>
      <c r="B101" s="353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4" t="s">
        <v>708</v>
      </c>
      <c r="C105" s="821" t="s">
        <v>709</v>
      </c>
      <c r="D105" s="757" t="s">
        <v>710</v>
      </c>
      <c r="E105" s="834">
        <v>0.2</v>
      </c>
      <c r="F105" s="821">
        <v>30</v>
      </c>
    </row>
    <row r="106" spans="1:6" s="817" customFormat="1" ht="36">
      <c r="A106" s="821">
        <v>46</v>
      </c>
      <c r="B106" s="3534"/>
      <c r="C106" s="821" t="s">
        <v>711</v>
      </c>
      <c r="D106" s="757" t="s">
        <v>712</v>
      </c>
      <c r="E106" s="834">
        <v>0.2</v>
      </c>
      <c r="F106" s="821">
        <v>30</v>
      </c>
    </row>
    <row r="107" spans="1:6" s="817" customFormat="1" ht="36">
      <c r="A107" s="821">
        <v>47</v>
      </c>
      <c r="B107" s="3534" t="s">
        <v>713</v>
      </c>
      <c r="C107" s="821" t="s">
        <v>714</v>
      </c>
      <c r="D107" s="757" t="s">
        <v>715</v>
      </c>
      <c r="E107" s="834">
        <v>0.3</v>
      </c>
      <c r="F107" s="821">
        <v>50</v>
      </c>
    </row>
    <row r="108" spans="1:6" s="817" customFormat="1" ht="36">
      <c r="A108" s="821">
        <v>48</v>
      </c>
      <c r="B108" s="353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4" t="s">
        <v>724</v>
      </c>
      <c r="C111" s="821" t="s">
        <v>725</v>
      </c>
      <c r="D111" s="757" t="s">
        <v>726</v>
      </c>
      <c r="E111" s="834">
        <v>0.2</v>
      </c>
      <c r="F111" s="821">
        <v>30</v>
      </c>
    </row>
    <row r="112" spans="1:6" s="817" customFormat="1" ht="24">
      <c r="A112" s="821">
        <v>52</v>
      </c>
      <c r="B112" s="3534"/>
      <c r="C112" s="821" t="s">
        <v>727</v>
      </c>
      <c r="D112" s="757" t="s">
        <v>728</v>
      </c>
      <c r="E112" s="834">
        <v>0.2</v>
      </c>
      <c r="F112" s="821">
        <v>30</v>
      </c>
    </row>
    <row r="113" spans="1:6" s="817" customFormat="1" ht="24">
      <c r="A113" s="821">
        <v>53</v>
      </c>
      <c r="B113" s="353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4" t="s">
        <v>737</v>
      </c>
      <c r="C116" s="821" t="s">
        <v>738</v>
      </c>
      <c r="D116" s="757" t="s">
        <v>739</v>
      </c>
      <c r="E116" s="834">
        <v>0.2</v>
      </c>
      <c r="F116" s="821">
        <v>30</v>
      </c>
    </row>
    <row r="117" spans="1:6" ht="36">
      <c r="A117" s="821">
        <v>57</v>
      </c>
      <c r="B117" s="353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1.1200000000000001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2761</v>
      </c>
      <c r="B1" s="2333"/>
      <c r="C1" s="2333"/>
      <c r="D1" s="2333"/>
      <c r="E1" s="2333"/>
      <c r="F1" s="2992"/>
      <c r="G1" s="2992"/>
      <c r="H1" s="2992"/>
      <c r="I1" s="2992"/>
      <c r="J1" s="2992"/>
      <c r="K1" s="2992"/>
      <c r="L1" s="2992"/>
      <c r="M1" s="2992"/>
      <c r="N1" s="2992"/>
      <c r="O1" s="2992"/>
      <c r="P1" s="2992"/>
    </row>
    <row r="2" spans="1:16" ht="15.75">
      <c r="A2" s="2331" t="s">
        <v>2753</v>
      </c>
      <c r="B2" s="2796">
        <f ca="1">SUMIF(B6:B13,"&lt;&gt;#ref!",B6:B13)</f>
        <v>0</v>
      </c>
      <c r="C2" s="2331" t="s">
        <v>2754</v>
      </c>
      <c r="D2" s="2331" t="s">
        <v>2755</v>
      </c>
      <c r="E2" s="2806">
        <f ca="1">SUMIF(E6:E13,"&lt;&gt;#ref!",E6:E13)</f>
        <v>1949.77</v>
      </c>
      <c r="F2" s="2992"/>
      <c r="G2" s="2992"/>
      <c r="H2" s="2992"/>
      <c r="I2" s="2992"/>
      <c r="J2" s="2992"/>
      <c r="K2" s="2992"/>
      <c r="L2" s="2992"/>
      <c r="M2" s="2992"/>
      <c r="N2" s="2992"/>
      <c r="O2" s="2992"/>
      <c r="P2" s="2992"/>
    </row>
    <row r="3" spans="1:16" ht="15.75">
      <c r="A3" s="2331" t="s">
        <v>2756</v>
      </c>
      <c r="B3" s="2796">
        <f ca="1">ROUND(B2*10000/E2,0)</f>
        <v>0</v>
      </c>
      <c r="C3" s="2331" t="s">
        <v>2762</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2757</v>
      </c>
      <c r="B5" s="2804" t="s">
        <v>2758</v>
      </c>
      <c r="C5" s="2332"/>
      <c r="D5" s="2992"/>
      <c r="E5" s="2805" t="s">
        <v>2759</v>
      </c>
      <c r="F5" s="2992"/>
      <c r="G5" s="2992"/>
      <c r="H5" s="2992"/>
      <c r="I5" s="2992"/>
      <c r="J5" s="2992"/>
      <c r="K5" s="2992"/>
      <c r="L5" s="2992"/>
      <c r="M5" s="2992"/>
      <c r="N5" s="2992"/>
      <c r="O5" s="2992"/>
      <c r="P5" s="2992"/>
    </row>
    <row r="6" spans="1:16" ht="15.75">
      <c r="A6" s="2803" t="s">
        <v>2760</v>
      </c>
      <c r="B6" s="2796">
        <f ca="1">SUMIF(INDIRECT("'"&amp;A6&amp;"'"&amp;"!A:A"),"总价",INDIRECT("'"&amp;A6&amp;"'"&amp;"!B:B"))</f>
        <v>0</v>
      </c>
      <c r="C6" s="2331" t="s">
        <v>2754</v>
      </c>
      <c r="D6" s="2992"/>
      <c r="E6" s="2806">
        <f ca="1">SUMIF(INDIRECT("'"&amp;A6&amp;"'"&amp;"!C:C"),"建筑面积",INDIRECT("'"&amp;A6&amp;"'"&amp;"!D:D"))</f>
        <v>1949.77</v>
      </c>
      <c r="F6" s="2992"/>
      <c r="G6" s="2992"/>
      <c r="H6" s="2992"/>
      <c r="I6" s="2992"/>
      <c r="J6" s="2992"/>
      <c r="K6" s="2992"/>
      <c r="L6" s="2992"/>
      <c r="M6" s="2992"/>
      <c r="N6" s="2992"/>
      <c r="O6" s="2992"/>
      <c r="P6" s="2992"/>
    </row>
    <row r="7" spans="1:16" ht="15.75">
      <c r="A7" s="2803"/>
      <c r="B7" s="2796" t="e">
        <f ca="1">SUMIF(INDIRECT("'"&amp;A7&amp;"'"&amp;"!A:A"),"总价",INDIRECT("'"&amp;A7&amp;"'"&amp;"!B:B"))</f>
        <v>#REF!</v>
      </c>
      <c r="C7" s="2331" t="s">
        <v>2754</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2754</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2754</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2754</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2754</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2754</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2754</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0" t="s">
        <v>1058</v>
      </c>
      <c r="C1" s="3540"/>
      <c r="D1" s="3540"/>
      <c r="E1" s="3540"/>
      <c r="F1" s="3540"/>
      <c r="G1" s="3536" t="s">
        <v>1059</v>
      </c>
      <c r="H1" s="3536"/>
      <c r="I1" s="3536"/>
      <c r="J1" s="3536"/>
      <c r="K1" s="3536"/>
      <c r="L1" s="3536"/>
      <c r="N1" s="3536" t="s">
        <v>1060</v>
      </c>
      <c r="O1" s="3536"/>
      <c r="P1" s="3536"/>
      <c r="Q1" s="3536"/>
      <c r="S1" s="3536" t="s">
        <v>1061</v>
      </c>
      <c r="T1" s="3536"/>
      <c r="U1" s="3536"/>
      <c r="V1" s="3536"/>
      <c r="X1" s="3535" t="s">
        <v>1062</v>
      </c>
      <c r="Y1" s="3536"/>
      <c r="Z1" s="3536"/>
      <c r="AA1" s="3536"/>
      <c r="AB1" s="3536"/>
      <c r="AD1" s="3535" t="s">
        <v>1063</v>
      </c>
      <c r="AE1" s="3536"/>
      <c r="AF1" s="3536"/>
      <c r="AG1" s="3536"/>
      <c r="AH1" s="3536"/>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2794</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3114</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2795</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3113</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4">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2990</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2989</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2988</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2986</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2985</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2811</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2809</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2808</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2807</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2805</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2803</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2806</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8">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2801</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8"/>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2800</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8"/>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2793</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5"/>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2791</v>
      </c>
      <c r="B22" s="2408">
        <v>439</v>
      </c>
      <c r="C22" s="2408">
        <v>327</v>
      </c>
      <c r="D22" s="2408">
        <f>C22</f>
        <v>327</v>
      </c>
      <c r="E22" s="2408">
        <v>627</v>
      </c>
      <c r="F22" s="2409">
        <v>283</v>
      </c>
      <c r="G22" s="3541">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2792</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8"/>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8"/>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5"/>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41">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8"/>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8"/>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9"/>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7">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8"/>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8"/>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9"/>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7">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8"/>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8"/>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9"/>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2">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3"/>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3"/>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4"/>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7">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8"/>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8"/>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9"/>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7">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8">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8">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9">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7">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8">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8">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9">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7">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8">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8">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9">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7">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8">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8">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9">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7">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8">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8">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9">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7">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8">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8">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9">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7">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8">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8">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9">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7">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8">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8">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9">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7">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8">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8">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9">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7">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8">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8">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9">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8">
      <c r="A3" s="3223" t="str">
        <f>IF(项目基本情况!B9="房地产市场价值","估价结果一览表（市场价值不需“结果表-1”）","估价结果一览表")</f>
        <v>估价结果一览表</v>
      </c>
      <c r="B3" s="3223"/>
      <c r="C3" s="3223"/>
      <c r="D3" s="3223"/>
      <c r="E3" s="3223"/>
    </row>
    <row r="4" spans="1:5" ht="19.5" thickBot="1">
      <c r="A4" s="1648"/>
      <c r="B4" s="3221" t="s">
        <v>1535</v>
      </c>
      <c r="C4" s="3221"/>
      <c r="D4" s="3221"/>
      <c r="E4" s="1648"/>
    </row>
    <row r="5" spans="1:5" ht="16.5" thickTop="1">
      <c r="A5" s="1646"/>
      <c r="B5" s="3219" t="s">
        <v>1527</v>
      </c>
      <c r="C5" s="1649" t="s">
        <v>1528</v>
      </c>
      <c r="D5" s="959">
        <f ca="1">结果表!H101</f>
        <v>1054</v>
      </c>
      <c r="E5" s="1646"/>
    </row>
    <row r="6" spans="1:5" ht="15.75">
      <c r="A6" s="1646"/>
      <c r="B6" s="3219"/>
      <c r="C6" s="1649" t="s">
        <v>1529</v>
      </c>
      <c r="D6" s="959" t="str">
        <f ca="1">NUMBERSTRING(INT(D5*10000),2)&amp;"元整"</f>
        <v>壹仟零伍拾肆万元整</v>
      </c>
      <c r="E6" s="1646"/>
    </row>
    <row r="7" spans="1:5" ht="15.75">
      <c r="A7" s="1646"/>
      <c r="B7" s="3224"/>
      <c r="C7" s="1650" t="s">
        <v>1530</v>
      </c>
      <c r="D7" s="960">
        <f ca="1">结果表!H102</f>
        <v>5406</v>
      </c>
      <c r="E7" s="1646"/>
    </row>
    <row r="8" spans="1:5" ht="15.75">
      <c r="A8" s="1646"/>
      <c r="B8" s="3225" t="str">
        <f>结果表!E103</f>
        <v>2.估价师知悉的法定优先受偿款</v>
      </c>
      <c r="C8" s="1651" t="s">
        <v>1531</v>
      </c>
      <c r="D8" s="960">
        <f>结果表!H103</f>
        <v>0</v>
      </c>
      <c r="E8" s="1646"/>
    </row>
    <row r="9" spans="1:5" ht="15.75">
      <c r="A9" s="1646"/>
      <c r="B9" s="3227"/>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8" t="str">
        <f>结果表!E107</f>
        <v>3.房地产抵押价值</v>
      </c>
      <c r="C13" s="1654" t="s">
        <v>1528</v>
      </c>
      <c r="D13" s="962">
        <f ca="1">结果表!H107</f>
        <v>1054</v>
      </c>
      <c r="E13" s="1646"/>
    </row>
    <row r="14" spans="1:5" ht="15.75">
      <c r="A14" s="1646"/>
      <c r="B14" s="3219"/>
      <c r="C14" s="1649" t="s">
        <v>1529</v>
      </c>
      <c r="D14" s="959" t="str">
        <f ca="1">NUMBERSTRING(INT(D13*10000),2)&amp;"元整"</f>
        <v>壹仟零伍拾肆万元整</v>
      </c>
      <c r="E14" s="1646"/>
    </row>
    <row r="15" spans="1:5" ht="15">
      <c r="A15" s="1646"/>
      <c r="B15" s="3224"/>
      <c r="C15" s="1650" t="s">
        <v>1539</v>
      </c>
      <c r="D15" s="968">
        <f ca="1">结果表!H108</f>
        <v>5406</v>
      </c>
      <c r="E15" s="1646"/>
    </row>
    <row r="16" spans="1:5" ht="15">
      <c r="A16" s="1646"/>
      <c r="B16" s="3225" t="str">
        <f>结果表!E109</f>
        <v>——</v>
      </c>
      <c r="C16" s="1654" t="s">
        <v>1540</v>
      </c>
      <c r="D16" s="1655" t="str">
        <f>结果表!H109</f>
        <v>——</v>
      </c>
      <c r="E16" s="1646"/>
    </row>
    <row r="17" spans="1:5" ht="15.75">
      <c r="A17" s="1646"/>
      <c r="B17" s="3226"/>
      <c r="C17" s="1649" t="s">
        <v>1541</v>
      </c>
      <c r="D17" s="959" t="e">
        <f>NUMBERSTRING(INT(D16*10000),2)&amp;"元整"</f>
        <v>#VALUE!</v>
      </c>
      <c r="E17" s="1646"/>
    </row>
    <row r="18" spans="1:5" ht="15">
      <c r="A18" s="1646"/>
      <c r="B18" s="3227"/>
      <c r="C18" s="1650" t="s">
        <v>1530</v>
      </c>
      <c r="D18" s="968" t="str">
        <f>结果表!H110</f>
        <v>——</v>
      </c>
      <c r="E18" s="1646"/>
    </row>
    <row r="19" spans="1:5" ht="15.75">
      <c r="A19" s="1646"/>
      <c r="B19" s="3218" t="str">
        <f>结果表!E111</f>
        <v>——</v>
      </c>
      <c r="C19" s="1654" t="s">
        <v>1528</v>
      </c>
      <c r="D19" s="960" t="str">
        <f>结果表!H111</f>
        <v>——</v>
      </c>
      <c r="E19" s="1646"/>
    </row>
    <row r="20" spans="1:5" ht="15.75">
      <c r="A20" s="1646"/>
      <c r="B20" s="3219"/>
      <c r="C20" s="1649" t="s">
        <v>1541</v>
      </c>
      <c r="D20" s="959" t="e">
        <f>NUMBERSTRING(INT(D19*10000),2)&amp;"元整"</f>
        <v>#VALUE!</v>
      </c>
      <c r="E20" s="1646"/>
    </row>
    <row r="21" spans="1:5" ht="15.75" thickBot="1">
      <c r="A21" s="1646"/>
      <c r="B21" s="3220"/>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49" t="s">
        <v>2764</v>
      </c>
      <c r="D1" s="3550"/>
      <c r="E1" s="3550"/>
      <c r="F1" s="3550"/>
      <c r="G1" s="3550"/>
      <c r="H1" s="3550"/>
      <c r="I1" s="3550"/>
      <c r="J1" s="3550"/>
      <c r="K1" s="3550"/>
      <c r="L1" s="3550"/>
      <c r="M1" s="3550"/>
      <c r="N1" s="3550"/>
      <c r="O1" s="3550"/>
      <c r="P1" s="3550"/>
      <c r="Q1" s="3550"/>
      <c r="R1" s="3550"/>
      <c r="S1" s="3551"/>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2773</v>
      </c>
      <c r="B17" s="2335"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7"/>
      <c r="E20" s="1495"/>
      <c r="F20" s="1114" t="e">
        <f ca="1">SUMIF(INDIRECT("'"&amp;H20&amp;"'"&amp;"!A:A"),"承租人权益价值",INDIRECT("'"&amp;H20&amp;"'"&amp;"!c:c"))</f>
        <v>#REF!</v>
      </c>
      <c r="G20" s="1114" t="s">
        <v>2777</v>
      </c>
      <c r="H20" s="2338"/>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46" t="s">
        <v>33</v>
      </c>
      <c r="D22" s="3547"/>
      <c r="E22" s="3547"/>
      <c r="F22" s="3547"/>
      <c r="G22" s="3547"/>
      <c r="H22" s="3547"/>
      <c r="I22" s="3547"/>
      <c r="J22" s="3547"/>
      <c r="K22" s="3547"/>
      <c r="L22" s="3547"/>
      <c r="M22" s="3547"/>
      <c r="N22" s="3547"/>
      <c r="O22" s="3547"/>
      <c r="P22" s="3547"/>
      <c r="Q22" s="3548"/>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27338</v>
      </c>
      <c r="C2" s="2" t="s">
        <v>133</v>
      </c>
      <c r="D2" s="205"/>
      <c r="E2" s="205"/>
      <c r="F2" s="205"/>
      <c r="G2" s="205"/>
    </row>
    <row r="3" spans="1:7" s="206" customFormat="1" ht="18" customHeight="1" thickBot="1">
      <c r="A3" s="209" t="s">
        <v>85</v>
      </c>
      <c r="B3" s="210">
        <f ca="1">ROUND(B2*10000/'数据-汇总表'!E3,0)</f>
        <v>140211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140</v>
      </c>
      <c r="F9" s="227"/>
      <c r="G9" s="232"/>
    </row>
    <row r="10" spans="1:7" s="220" customFormat="1" ht="13.5" customHeight="1">
      <c r="A10" s="887" t="s">
        <v>801</v>
      </c>
      <c r="B10" s="230" t="s">
        <v>94</v>
      </c>
      <c r="C10" s="231">
        <f>ROUND(D10*E10/10000,0)</f>
        <v>33</v>
      </c>
      <c r="D10" s="954">
        <f>'数据-汇总表'!E6</f>
        <v>1949.77</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39</v>
      </c>
      <c r="D19" s="958">
        <f>'数据-汇总表'!E3</f>
        <v>1949.77</v>
      </c>
      <c r="E19" s="217">
        <f>'数据-取费表'!B31</f>
        <v>200</v>
      </c>
      <c r="F19" s="237"/>
      <c r="G19" s="1" t="s">
        <v>1042</v>
      </c>
    </row>
    <row r="20" spans="1:7" s="220" customFormat="1" ht="13.5" customHeight="1">
      <c r="A20" s="885" t="s">
        <v>1025</v>
      </c>
      <c r="B20" s="216" t="s">
        <v>104</v>
      </c>
      <c r="C20" s="238">
        <f>ROUND((C5+C19)*F20,0)</f>
        <v>619</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36">
        <f ca="1">ROUND(SUM(C23:C25),0)</f>
        <v>881</v>
      </c>
      <c r="D22" s="241">
        <f ca="1">C26</f>
        <v>5.9999999999999995E-4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37">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2127</v>
      </c>
      <c r="D27" s="241">
        <f>C29</f>
        <v>3.0000000000000001E-3</v>
      </c>
      <c r="E27" s="242" t="s">
        <v>126</v>
      </c>
      <c r="F27" s="252">
        <f>'数据-取费表'!Q16</f>
        <v>0.1</v>
      </c>
      <c r="G27" s="253" t="s">
        <v>1037</v>
      </c>
    </row>
    <row r="28" spans="1:7" s="220" customFormat="1" ht="13.5" customHeight="1">
      <c r="A28" s="888" t="s">
        <v>794</v>
      </c>
      <c r="B28" s="254" t="s">
        <v>1030</v>
      </c>
      <c r="C28" s="255">
        <f>ROUND((C5+C19+C20)*F27*'数据-取费表'!B21/'数据-取费表'!B20,0)</f>
        <v>2127</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26560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751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682</v>
      </c>
      <c r="D34" s="223"/>
      <c r="E34" s="226"/>
      <c r="F34" s="263">
        <f>IF('数据-取费表'!B24=0,1,'数据-取费表'!N16)</f>
        <v>1</v>
      </c>
      <c r="G34" s="225" t="s">
        <v>116</v>
      </c>
    </row>
    <row r="35" spans="1:7" ht="13.5" customHeight="1">
      <c r="A35" s="888" t="s">
        <v>796</v>
      </c>
      <c r="B35" s="221" t="s">
        <v>60</v>
      </c>
      <c r="C35" s="226">
        <f>ROUND(C34*F35,0)</f>
        <v>20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39</v>
      </c>
      <c r="D37" s="223">
        <f>'数据-汇总表'!E3</f>
        <v>1949.77</v>
      </c>
      <c r="E37" s="255">
        <f>'数据-取费表'!B35</f>
        <v>200</v>
      </c>
      <c r="F37" s="265"/>
      <c r="G37" s="267" t="s">
        <v>119</v>
      </c>
    </row>
    <row r="38" spans="1:7" ht="13.5" customHeight="1">
      <c r="A38" s="888" t="s">
        <v>799</v>
      </c>
      <c r="B38" s="221" t="s">
        <v>63</v>
      </c>
      <c r="C38" s="226">
        <f>ROUND(C34*F38,0)</f>
        <v>10</v>
      </c>
      <c r="D38" s="226"/>
      <c r="E38" s="226"/>
      <c r="F38" s="265">
        <f>'数据-取费表'!B36</f>
        <v>1.4999999999999999E-2</v>
      </c>
      <c r="G38" s="225" t="s">
        <v>117</v>
      </c>
    </row>
    <row r="39" spans="1:7" s="220" customFormat="1" ht="13.5" customHeight="1">
      <c r="A39" s="885" t="s">
        <v>783</v>
      </c>
      <c r="B39" s="216" t="s">
        <v>104</v>
      </c>
      <c r="C39" s="238">
        <f>ROUND(C33*F20,0)</f>
        <v>23</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16</v>
      </c>
      <c r="D41" s="241">
        <f ca="1">C44</f>
        <v>5.9999999999999995E-4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16</v>
      </c>
      <c r="D42" s="244"/>
      <c r="E42" s="244"/>
      <c r="F42" s="245"/>
      <c r="G42" s="3448" t="s">
        <v>121</v>
      </c>
    </row>
    <row r="43" spans="1:7" ht="13.5" customHeight="1">
      <c r="A43" s="888" t="s">
        <v>792</v>
      </c>
      <c r="B43" s="221" t="s">
        <v>1032</v>
      </c>
      <c r="C43" s="244">
        <f ca="1">ROUND(IF('数据-取费表'!B22&lt;=1,C39*F22*'数据-取费表'!B21/2,C39*(POWER((1+F22),'数据-取费表'!B21/2)-1)),0)</f>
        <v>0</v>
      </c>
      <c r="D43" s="244"/>
      <c r="E43" s="244"/>
      <c r="F43" s="245"/>
      <c r="G43" s="3449"/>
    </row>
    <row r="44" spans="1:7" ht="13.5" customHeight="1">
      <c r="A44" s="888" t="s">
        <v>793</v>
      </c>
      <c r="B44" s="221" t="s">
        <v>1034</v>
      </c>
      <c r="C44" s="244">
        <f ca="1">ROUND(IF('数据-取费表'!B22&lt;=1,C40*F22*'数据-取费表'!B21/2,C40*(POWER((1+F22),'数据-取费表'!B21/2)-1)),4)</f>
        <v>5.9999999999999995E-4</v>
      </c>
      <c r="D44" s="244"/>
      <c r="E44" s="244"/>
      <c r="F44" s="245"/>
      <c r="G44" s="3450"/>
    </row>
    <row r="45" spans="1:7" s="220" customFormat="1" ht="13.5" customHeight="1">
      <c r="A45" s="885" t="s">
        <v>786</v>
      </c>
      <c r="B45" s="250" t="s">
        <v>112</v>
      </c>
      <c r="C45" s="251">
        <f>C46</f>
        <v>77</v>
      </c>
      <c r="D45" s="241">
        <f>C47</f>
        <v>3.0000000000000001E-3</v>
      </c>
      <c r="E45" s="242" t="s">
        <v>129</v>
      </c>
      <c r="F45" s="252"/>
      <c r="G45" s="253" t="s">
        <v>1040</v>
      </c>
    </row>
    <row r="46" spans="1:7" s="220" customFormat="1" ht="13.5" customHeight="1">
      <c r="A46" s="888" t="s">
        <v>794</v>
      </c>
      <c r="B46" s="254" t="s">
        <v>1033</v>
      </c>
      <c r="C46" s="255">
        <f>ROUND((C33+C39)*F27,0)</f>
        <v>77</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949</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778</v>
      </c>
      <c r="D51" s="238"/>
      <c r="E51" s="238"/>
      <c r="F51" s="270"/>
      <c r="G51" s="240" t="s">
        <v>64</v>
      </c>
    </row>
    <row r="52" spans="1:7" s="214" customFormat="1" ht="16.5" thickBot="1">
      <c r="A52" s="271" t="s">
        <v>65</v>
      </c>
      <c r="B52" s="272"/>
      <c r="C52" s="273">
        <f ca="1">C31+C51</f>
        <v>27338</v>
      </c>
      <c r="D52" s="272"/>
      <c r="E52" s="272"/>
      <c r="F52" s="272"/>
      <c r="G52" s="274"/>
    </row>
    <row r="55" spans="1:7" ht="15">
      <c r="B55" s="276" t="s">
        <v>66</v>
      </c>
      <c r="C55" s="277"/>
    </row>
    <row r="56" spans="1:7">
      <c r="B56" s="279" t="s">
        <v>67</v>
      </c>
      <c r="C56" s="280">
        <f ca="1">ROUND(C51/C52,3)</f>
        <v>2.8000000000000001E-2</v>
      </c>
    </row>
    <row r="57" spans="1:7">
      <c r="B57" s="279" t="s">
        <v>68</v>
      </c>
      <c r="C57" s="281">
        <f ca="1">1-C56</f>
        <v>0.97199999999999998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2" t="s">
        <v>156</v>
      </c>
      <c r="B1" s="3552"/>
      <c r="C1" s="3552"/>
      <c r="D1" s="3552"/>
      <c r="E1" s="3552"/>
      <c r="F1" s="355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3" t="s">
        <v>169</v>
      </c>
      <c r="B2" s="3553"/>
      <c r="C2" s="3553"/>
      <c r="D2" s="3553"/>
      <c r="E2" s="3553"/>
      <c r="F2" s="355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2" t="s">
        <v>839</v>
      </c>
      <c r="B1" s="355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44781</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2987</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8" t="str">
        <f>IF(项目基本情况!B9="房地产市场价值","估价结果一览表","结果表-2")</f>
        <v>结果表-2</v>
      </c>
      <c r="B1" s="3228"/>
      <c r="C1" s="3228"/>
      <c r="D1" s="3228"/>
      <c r="E1" s="3228"/>
      <c r="F1" s="3228"/>
      <c r="G1" s="3228"/>
      <c r="H1" s="3228"/>
      <c r="I1" s="3228"/>
    </row>
    <row r="2" spans="1:9" ht="30" customHeight="1" thickTop="1">
      <c r="A2" s="3229" t="s">
        <v>1546</v>
      </c>
      <c r="B2" s="3229" t="s">
        <v>1547</v>
      </c>
      <c r="C2" s="3229" t="s">
        <v>1548</v>
      </c>
      <c r="D2" s="3229" t="str">
        <f>结果表!D116</f>
        <v>出让国有建设用地使用权价值</v>
      </c>
      <c r="E2" s="3229"/>
      <c r="F2" s="3229" t="str">
        <f>结果表!F116</f>
        <v>在建建筑物价值</v>
      </c>
      <c r="G2" s="3229"/>
      <c r="H2" s="3229" t="str">
        <f>IF(项目基本情况!B9="房地产市场价值","房地产市场价值","房地产价值")</f>
        <v>房地产价值</v>
      </c>
      <c r="I2" s="3229"/>
    </row>
    <row r="3" spans="1:9" ht="15">
      <c r="A3" s="3230"/>
      <c r="B3" s="3230"/>
      <c r="C3" s="3230"/>
      <c r="D3" s="963" t="s">
        <v>1543</v>
      </c>
      <c r="E3" s="963" t="s">
        <v>1549</v>
      </c>
      <c r="F3" s="963" t="s">
        <v>1543</v>
      </c>
      <c r="G3" s="963" t="s">
        <v>1544</v>
      </c>
      <c r="H3" s="963" t="s">
        <v>1543</v>
      </c>
      <c r="I3" s="963" t="s">
        <v>1544</v>
      </c>
    </row>
    <row r="4" spans="1:9" ht="15">
      <c r="A4" s="1660" t="str">
        <f>项目基本情况!S2</f>
        <v>北京市房地产</v>
      </c>
      <c r="B4" s="963">
        <f>项目基本情况!C17</f>
        <v>1949.77</v>
      </c>
      <c r="C4" s="963">
        <f>项目基本情况!C18</f>
        <v>0</v>
      </c>
      <c r="D4" s="963">
        <f ca="1">结果表!D118</f>
        <v>-247</v>
      </c>
      <c r="E4" s="963">
        <f ca="1">结果表!E118</f>
        <v>-1267</v>
      </c>
      <c r="F4" s="963">
        <f ca="1">结果表!F118</f>
        <v>1301</v>
      </c>
      <c r="G4" s="963">
        <f ca="1">结果表!G118</f>
        <v>6673</v>
      </c>
      <c r="H4" s="963">
        <f ca="1">结果表!H118</f>
        <v>1054</v>
      </c>
      <c r="I4" s="963">
        <f ca="1">结果表!I118</f>
        <v>5406</v>
      </c>
    </row>
    <row r="5" spans="1:9" ht="30" customHeight="1">
      <c r="A5" s="3230" t="s">
        <v>1545</v>
      </c>
      <c r="B5" s="3230"/>
      <c r="C5" s="3230"/>
      <c r="D5" s="3231" t="e">
        <f ca="1">结果表!D119</f>
        <v>#NUM!</v>
      </c>
      <c r="E5" s="3231"/>
      <c r="F5" s="3231" t="str">
        <f ca="1">结果表!F119</f>
        <v>壹仟叁佰零壹万元整</v>
      </c>
      <c r="G5" s="3231"/>
      <c r="H5" s="3231" t="str">
        <f ca="1">结果表!H119</f>
        <v>壹仟零伍拾肆万元整</v>
      </c>
      <c r="I5" s="3231"/>
    </row>
    <row r="6" spans="1:9" ht="15.75">
      <c r="A6" s="3232" t="str">
        <f>结果表!A120</f>
        <v>估价师知悉的法定优先受偿款</v>
      </c>
      <c r="B6" s="3232"/>
      <c r="C6" s="3232"/>
      <c r="D6" s="3232">
        <f>结果表!D120</f>
        <v>0</v>
      </c>
      <c r="E6" s="3232"/>
      <c r="F6" s="3232"/>
      <c r="G6" s="3232"/>
      <c r="H6" s="3232"/>
      <c r="I6" s="3232"/>
    </row>
    <row r="7" spans="1:9" ht="15">
      <c r="A7" s="3230" t="s">
        <v>1545</v>
      </c>
      <c r="B7" s="3230"/>
      <c r="C7" s="3230"/>
      <c r="D7" s="3233" t="str">
        <f>结果表!D121</f>
        <v>零元整</v>
      </c>
      <c r="E7" s="3234"/>
      <c r="F7" s="3234"/>
      <c r="G7" s="3234"/>
      <c r="H7" s="3234"/>
      <c r="I7" s="3235"/>
    </row>
    <row r="8" spans="1:9" ht="15.75">
      <c r="A8" s="3232" t="str">
        <f>结果表!A122</f>
        <v>房地产抵押价值</v>
      </c>
      <c r="B8" s="3232"/>
      <c r="C8" s="3232"/>
      <c r="D8" s="3232">
        <f ca="1">结果表!D122</f>
        <v>1054</v>
      </c>
      <c r="E8" s="3232"/>
      <c r="F8" s="3232"/>
      <c r="G8" s="3232"/>
      <c r="H8" s="3232"/>
      <c r="I8" s="3232"/>
    </row>
    <row r="9" spans="1:9" ht="15">
      <c r="A9" s="3230" t="s">
        <v>1545</v>
      </c>
      <c r="B9" s="3230"/>
      <c r="C9" s="3230"/>
      <c r="D9" s="3231" t="str">
        <f ca="1">结果表!D123</f>
        <v>壹仟零伍拾肆万元整</v>
      </c>
      <c r="E9" s="3231"/>
      <c r="F9" s="3231"/>
      <c r="G9" s="3231"/>
      <c r="H9" s="3231"/>
      <c r="I9" s="3231"/>
    </row>
    <row r="10" spans="1:9" ht="15.75">
      <c r="A10" s="3232" t="str">
        <f>结果表!A124</f>
        <v/>
      </c>
      <c r="B10" s="3232"/>
      <c r="C10" s="3232"/>
      <c r="D10" s="3232" t="str">
        <f>结果表!D124</f>
        <v>——</v>
      </c>
      <c r="E10" s="3232"/>
      <c r="F10" s="3232"/>
      <c r="G10" s="3232"/>
      <c r="H10" s="3232"/>
      <c r="I10" s="3232"/>
    </row>
    <row r="11" spans="1:9" ht="15">
      <c r="A11" s="3230" t="s">
        <v>1545</v>
      </c>
      <c r="B11" s="3230"/>
      <c r="C11" s="3230"/>
      <c r="D11" s="3231" t="e">
        <f>结果表!D125</f>
        <v>#VALUE!</v>
      </c>
      <c r="E11" s="3231"/>
      <c r="F11" s="3231"/>
      <c r="G11" s="3231"/>
      <c r="H11" s="3231"/>
      <c r="I11" s="3231"/>
    </row>
    <row r="12" spans="1:9" ht="15.75">
      <c r="A12" s="3232" t="str">
        <f>结果表!A126</f>
        <v/>
      </c>
      <c r="B12" s="3232"/>
      <c r="C12" s="3232"/>
      <c r="D12" s="3232" t="str">
        <f>结果表!D126</f>
        <v>——</v>
      </c>
      <c r="E12" s="3232"/>
      <c r="F12" s="3232"/>
      <c r="G12" s="3232"/>
      <c r="H12" s="3232"/>
      <c r="I12" s="3232"/>
    </row>
    <row r="13" spans="1:9" ht="15.75" thickBot="1">
      <c r="A13" s="3236" t="s">
        <v>1545</v>
      </c>
      <c r="B13" s="3236"/>
      <c r="C13" s="3236"/>
      <c r="D13" s="3237" t="e">
        <f>结果表!D127</f>
        <v>#VALUE!</v>
      </c>
      <c r="E13" s="3237"/>
      <c r="F13" s="3237"/>
      <c r="G13" s="3237"/>
      <c r="H13" s="3237"/>
      <c r="I13" s="3237"/>
    </row>
    <row r="14" spans="1:9" ht="15" thickTop="1">
      <c r="A14" s="3238" t="s">
        <v>1550</v>
      </c>
      <c r="B14" s="3238"/>
      <c r="C14" s="3238"/>
      <c r="D14" s="3238"/>
      <c r="E14" s="3238"/>
      <c r="F14" s="3238"/>
      <c r="G14" s="3238"/>
      <c r="H14" s="3238"/>
      <c r="I14" s="3238"/>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9" t="s">
        <v>1567</v>
      </c>
      <c r="B1" s="3239"/>
      <c r="C1" s="3239"/>
      <c r="D1" s="3239"/>
    </row>
    <row r="2" spans="1:4" ht="18">
      <c r="A2" s="3240" t="s">
        <v>1551</v>
      </c>
      <c r="B2" s="3240"/>
      <c r="C2" s="3240"/>
      <c r="D2" s="3240"/>
    </row>
    <row r="3" spans="1:4" ht="18.75">
      <c r="A3" s="1664" t="s">
        <v>1552</v>
      </c>
      <c r="B3" s="1664" t="s">
        <v>1553</v>
      </c>
      <c r="C3" s="1664" t="s">
        <v>1554</v>
      </c>
      <c r="D3" s="1664" t="s">
        <v>1555</v>
      </c>
    </row>
    <row r="4" spans="1:4" ht="56.25" customHeight="1">
      <c r="A4" s="1665" t="str">
        <f>项目基本情况!B4</f>
        <v>吴薇</v>
      </c>
      <c r="B4" s="1666">
        <f ca="1">项目基本情况!C4</f>
        <v>1419970001</v>
      </c>
      <c r="C4" s="1667"/>
      <c r="D4" s="1668" t="s">
        <v>1556</v>
      </c>
    </row>
    <row r="5" spans="1:4" ht="56.25" customHeight="1">
      <c r="A5" s="1665" t="str">
        <f>项目基本情况!D4</f>
        <v>郑燚</v>
      </c>
      <c r="B5" s="1666">
        <f ca="1">项目基本情况!E4</f>
        <v>1120070131</v>
      </c>
      <c r="C5" s="1669"/>
      <c r="D5" s="1668" t="s">
        <v>1556</v>
      </c>
    </row>
    <row r="6" spans="1:4" ht="18">
      <c r="A6" s="3240" t="s">
        <v>1557</v>
      </c>
      <c r="B6" s="3240"/>
      <c r="C6" s="3240"/>
      <c r="D6" s="3240"/>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1" t="s">
        <v>1560</v>
      </c>
      <c r="B11" s="3242"/>
      <c r="C11" s="3242"/>
      <c r="D11" s="3242"/>
    </row>
    <row r="12" spans="1:4" ht="15.7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3"/>
      <c r="C12" s="3243"/>
      <c r="D12" s="3243"/>
    </row>
    <row r="13" spans="1:4" ht="30" customHeight="1">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3"/>
      <c r="C13" s="3243"/>
      <c r="D13" s="3243"/>
    </row>
    <row r="14" spans="1:4" ht="15.75" customHeight="1">
      <c r="A14" s="3242" t="str">
        <f>IF(项目基本情况!B8="抵押","4.本次评估估价师所知悉的法定优先受偿款情况说明如下：","——")</f>
        <v>4.本次评估估价师所知悉的法定优先受偿款情况说明如下：</v>
      </c>
      <c r="B14" s="3243"/>
      <c r="C14" s="3243"/>
      <c r="D14" s="3243"/>
    </row>
    <row r="15" spans="1:4" ht="42" customHeight="1">
      <c r="A15" s="32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spans="1:4" ht="30" customHeight="1">
      <c r="A16" s="3245" t="s">
        <v>1561</v>
      </c>
      <c r="B16" s="3245"/>
      <c r="C16" s="3245"/>
      <c r="D16" s="3245"/>
    </row>
    <row r="17" spans="1:4" ht="144" customHeight="1">
      <c r="A17" s="3245" t="s">
        <v>1562</v>
      </c>
      <c r="B17" s="3245"/>
      <c r="C17" s="3245"/>
      <c r="D17" s="3245"/>
    </row>
    <row r="18" spans="1:4" ht="15.75" customHeight="1">
      <c r="A18" s="3242" t="str">
        <f>IF(项目基本情况!B8="抵押",结果表!K120,"——")</f>
        <v>故，本次评估不存在估价师知悉的法定优先受偿款</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2"/>
      <c r="C20" s="3242"/>
      <c r="D20" s="3242"/>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6"/>
      <c r="C21" s="3246"/>
      <c r="D21" s="3246"/>
    </row>
    <row r="22" spans="1:4" ht="18.75" customHeight="1">
      <c r="A22" s="3247" t="s">
        <v>1563</v>
      </c>
      <c r="B22" s="3247"/>
      <c r="C22" s="3247"/>
      <c r="D22" s="3247"/>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4">
        <v>42551</v>
      </c>
      <c r="D31" s="32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3" t="s">
        <v>1574</v>
      </c>
      <c r="B15" s="3248" t="s">
        <v>136</v>
      </c>
      <c r="C15" s="3249"/>
    </row>
    <row r="16" spans="1:7" ht="13.5">
      <c r="A16" s="3254"/>
      <c r="B16" s="3248" t="s">
        <v>69</v>
      </c>
      <c r="C16" s="3249"/>
    </row>
    <row r="17" spans="1:3" ht="13.5">
      <c r="A17" s="3254"/>
      <c r="B17" s="3251" t="s">
        <v>1575</v>
      </c>
      <c r="C17" s="1687" t="s">
        <v>1574</v>
      </c>
    </row>
    <row r="18" spans="1:3" ht="13.5">
      <c r="A18" s="3254"/>
      <c r="B18" s="3251"/>
      <c r="C18" s="1687" t="s">
        <v>1576</v>
      </c>
    </row>
    <row r="19" spans="1:3" ht="13.5">
      <c r="A19" s="3254"/>
      <c r="B19" s="3251"/>
      <c r="C19" s="1687" t="s">
        <v>1577</v>
      </c>
    </row>
    <row r="20" spans="1:3" ht="13.5">
      <c r="A20" s="3255"/>
      <c r="B20" s="3250" t="s">
        <v>1578</v>
      </c>
      <c r="C20" s="3249"/>
    </row>
    <row r="21" spans="1:3" ht="13.5">
      <c r="A21" s="1688" t="s">
        <v>1579</v>
      </c>
      <c r="B21" s="1689"/>
      <c r="C21" s="1690"/>
    </row>
    <row r="22" spans="1:3" ht="13.5">
      <c r="A22" s="3252" t="s">
        <v>1580</v>
      </c>
      <c r="B22" s="3250" t="s">
        <v>1581</v>
      </c>
      <c r="C22" s="3249"/>
    </row>
    <row r="23" spans="1:3" ht="13.5">
      <c r="A23" s="3252"/>
      <c r="B23" s="3250" t="s">
        <v>1582</v>
      </c>
      <c r="C23" s="3249"/>
    </row>
    <row r="24" spans="1:3" ht="13.5">
      <c r="A24" s="3252"/>
      <c r="B24" s="3250" t="s">
        <v>1583</v>
      </c>
      <c r="C24" s="3249"/>
    </row>
    <row r="25" spans="1:3" ht="13.5">
      <c r="A25" s="3252"/>
      <c r="B25" s="3251" t="s">
        <v>1584</v>
      </c>
      <c r="C25" s="1687" t="s">
        <v>1585</v>
      </c>
    </row>
    <row r="26" spans="1:3" ht="13.5">
      <c r="A26" s="3252"/>
      <c r="B26" s="3251"/>
      <c r="C26" s="1687" t="s">
        <v>1586</v>
      </c>
    </row>
    <row r="27" spans="1:3" ht="13.5">
      <c r="A27" s="3252"/>
      <c r="B27" s="3251"/>
      <c r="C27" s="1687" t="s">
        <v>1587</v>
      </c>
    </row>
    <row r="28" spans="1:3" ht="13.5">
      <c r="A28" s="3252"/>
      <c r="B28" s="3251"/>
      <c r="C28" s="1687" t="s">
        <v>1588</v>
      </c>
    </row>
    <row r="29" spans="1:3" ht="13.5">
      <c r="A29" s="3252"/>
      <c r="B29" s="3251"/>
      <c r="C29" s="1687" t="s">
        <v>1589</v>
      </c>
    </row>
    <row r="30" spans="1:3" ht="13.5">
      <c r="A30" s="3252"/>
      <c r="B30" s="3251"/>
      <c r="C30" s="1687" t="s">
        <v>1590</v>
      </c>
    </row>
    <row r="31" spans="1:3" ht="13.5">
      <c r="A31" s="3252"/>
      <c r="B31" s="3251"/>
      <c r="C31" s="1687" t="s">
        <v>1591</v>
      </c>
    </row>
    <row r="32" spans="1:3" ht="13.5">
      <c r="A32" s="3252"/>
      <c r="B32" s="3251"/>
      <c r="C32" s="1687" t="s">
        <v>1592</v>
      </c>
    </row>
    <row r="33" spans="1:3" ht="13.5">
      <c r="A33" s="3252"/>
      <c r="B33" s="3251"/>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2820</v>
      </c>
      <c r="B2" s="2532">
        <f ca="1">TODAY()</f>
        <v>44790</v>
      </c>
      <c r="C2" s="2533" t="s">
        <v>2821</v>
      </c>
      <c r="D2" s="2533"/>
      <c r="E2" s="2533"/>
      <c r="F2" s="2529"/>
      <c r="G2" s="2529"/>
      <c r="H2" s="2529"/>
    </row>
    <row r="3" spans="1:8" ht="24" customHeight="1">
      <c r="A3" s="2534" t="s">
        <v>2822</v>
      </c>
      <c r="B3" s="2535" t="s">
        <v>2823</v>
      </c>
      <c r="C3" s="2535" t="s">
        <v>2824</v>
      </c>
      <c r="D3" s="2536" t="s">
        <v>2825</v>
      </c>
      <c r="E3" s="2537" t="s">
        <v>2826</v>
      </c>
      <c r="F3" s="1444" t="s">
        <v>2827</v>
      </c>
      <c r="G3" s="2535" t="s">
        <v>2824</v>
      </c>
      <c r="H3" s="2536" t="s">
        <v>2828</v>
      </c>
    </row>
    <row r="4" spans="1:8" ht="24" customHeight="1">
      <c r="A4" s="1444" t="s">
        <v>2829</v>
      </c>
      <c r="B4" s="1444">
        <f ca="1">IF(C4&lt;B2,"已过期",1119970066)</f>
        <v>1119970066</v>
      </c>
      <c r="C4" s="2538">
        <v>44876</v>
      </c>
      <c r="D4" s="2539" t="str">
        <f ca="1">A4&amp;"（注册号："&amp;B4&amp;"）"</f>
        <v>梁津（注册号：1119970066）</v>
      </c>
      <c r="E4" s="2540" t="s">
        <v>2829</v>
      </c>
      <c r="F4" s="1444">
        <f ca="1">IF(G4&lt;B2,"已过期",96010014)</f>
        <v>96010014</v>
      </c>
      <c r="G4" s="2541">
        <v>47118</v>
      </c>
      <c r="H4" s="2542" t="str">
        <f ca="1">E4&amp;"（注册号："&amp;F4&amp;"）"</f>
        <v>梁津（注册号：96010014）</v>
      </c>
    </row>
    <row r="5" spans="1:8" ht="24" customHeight="1">
      <c r="A5" s="1444" t="s">
        <v>2830</v>
      </c>
      <c r="B5" s="1444">
        <f ca="1">IF(C5&lt;B2,"已过期",1119970111)</f>
        <v>1119970111</v>
      </c>
      <c r="C5" s="2538">
        <v>44876</v>
      </c>
      <c r="D5" s="2539" t="str">
        <f t="shared" ref="D5:D15" ca="1" si="0">A5&amp;"（注册号："&amp;B5&amp;"）"</f>
        <v>叶凌（注册号：1119970111）</v>
      </c>
      <c r="E5" s="2540" t="s">
        <v>2830</v>
      </c>
      <c r="F5" s="1444">
        <f ca="1">IF(G5&lt;B2,"已过期",94010078)</f>
        <v>94010078</v>
      </c>
      <c r="G5" s="2541">
        <v>46387</v>
      </c>
      <c r="H5" s="2542" t="str">
        <f t="shared" ref="H5:H16" ca="1" si="1">E5&amp;"（注册号："&amp;F5&amp;"）"</f>
        <v>叶凌（注册号：94010078）</v>
      </c>
    </row>
    <row r="6" spans="1:8" ht="24" customHeight="1">
      <c r="A6" s="1444" t="s">
        <v>2831</v>
      </c>
      <c r="B6" s="1444" t="str">
        <f ca="1">IF(C6&lt;B2,"已过期",1120050019)</f>
        <v>已过期</v>
      </c>
      <c r="C6" s="2538">
        <v>44395</v>
      </c>
      <c r="D6" s="2539" t="str">
        <f t="shared" ca="1" si="0"/>
        <v>王鹏（注册号：已过期）</v>
      </c>
      <c r="E6" s="2540" t="s">
        <v>2831</v>
      </c>
      <c r="F6" s="1444">
        <f ca="1">IF(G6&lt;B2,"已过期",2002110030)</f>
        <v>2002110030</v>
      </c>
      <c r="G6" s="2541">
        <v>46387</v>
      </c>
      <c r="H6" s="2542" t="str">
        <f t="shared" ca="1" si="1"/>
        <v>王鹏（注册号：2002110030）</v>
      </c>
    </row>
    <row r="7" spans="1:8" ht="24" customHeight="1">
      <c r="A7" s="1444" t="s">
        <v>2832</v>
      </c>
      <c r="B7" s="1444">
        <f ca="1">IF(C7&lt;B2,"已过期",1120000080)</f>
        <v>1120000080</v>
      </c>
      <c r="C7" s="2538">
        <v>44876</v>
      </c>
      <c r="D7" s="2539" t="str">
        <f t="shared" ca="1" si="0"/>
        <v>欧红伟（注册号：1120000080）</v>
      </c>
      <c r="E7" s="2540" t="s">
        <v>2832</v>
      </c>
      <c r="F7" s="1444">
        <f ca="1">IF(G7&lt;B2,"已过期",2000110082)</f>
        <v>2000110082</v>
      </c>
      <c r="G7" s="2541">
        <v>46387</v>
      </c>
      <c r="H7" s="2542" t="str">
        <f t="shared" ca="1" si="1"/>
        <v>欧红伟（注册号：2000110082）</v>
      </c>
    </row>
    <row r="8" spans="1:8" ht="24" customHeight="1">
      <c r="A8" s="1444" t="s">
        <v>2833</v>
      </c>
      <c r="B8" s="1444">
        <f ca="1">IF(C8&lt;B2,"已过期",1419970001)</f>
        <v>1419970001</v>
      </c>
      <c r="C8" s="2538">
        <v>44899</v>
      </c>
      <c r="D8" s="2539" t="str">
        <f t="shared" ca="1" si="0"/>
        <v>吴薇（注册号：1419970001）</v>
      </c>
      <c r="E8" s="2540" t="s">
        <v>2833</v>
      </c>
      <c r="F8" s="1444">
        <f ca="1">IF(G8&lt;B2,"已过期",2002110125)</f>
        <v>2002110125</v>
      </c>
      <c r="G8" s="2541">
        <v>47118</v>
      </c>
      <c r="H8" s="2542" t="str">
        <f t="shared" ca="1" si="1"/>
        <v>吴薇（注册号：2002110125）</v>
      </c>
    </row>
    <row r="9" spans="1:8" ht="24" customHeight="1">
      <c r="A9" s="1444" t="s">
        <v>2834</v>
      </c>
      <c r="B9" s="1444" t="str">
        <f ca="1">IF(C9&lt;B2,"已过期",1120060040)</f>
        <v>已过期</v>
      </c>
      <c r="C9" s="2543">
        <v>44554</v>
      </c>
      <c r="D9" s="2539" t="str">
        <f t="shared" ca="1" si="0"/>
        <v>陈颖（注册号：已过期）</v>
      </c>
      <c r="E9" s="2540" t="s">
        <v>2834</v>
      </c>
      <c r="F9" s="1444">
        <f ca="1">IF(G9&lt;B2,"已过期",2004110096)</f>
        <v>2004110096</v>
      </c>
      <c r="G9" s="2541">
        <v>47118</v>
      </c>
      <c r="H9" s="2542" t="str">
        <f t="shared" ca="1" si="1"/>
        <v>陈颖（注册号：2004110096）</v>
      </c>
    </row>
    <row r="10" spans="1:8" ht="24" customHeight="1">
      <c r="A10" s="1444" t="s">
        <v>2835</v>
      </c>
      <c r="B10" s="1444" t="str">
        <f ca="1">IF(C10&lt;B2,"已过期",1120100036)</f>
        <v>已过期</v>
      </c>
      <c r="C10" s="2543">
        <v>44675</v>
      </c>
      <c r="D10" s="2539" t="str">
        <f t="shared" ca="1" si="0"/>
        <v>崔锴（注册号：已过期）</v>
      </c>
      <c r="E10" s="2540" t="s">
        <v>2835</v>
      </c>
      <c r="F10" s="1444">
        <f ca="1">IF(G10&lt;B2,"已过期",2010110070)</f>
        <v>2010110070</v>
      </c>
      <c r="G10" s="2541">
        <v>47907</v>
      </c>
      <c r="H10" s="2542" t="str">
        <f t="shared" ca="1" si="1"/>
        <v>崔锴（注册号：2010110070）</v>
      </c>
    </row>
    <row r="11" spans="1:8" ht="24" customHeight="1">
      <c r="A11" s="1444" t="s">
        <v>2836</v>
      </c>
      <c r="B11" s="1444">
        <f ca="1">IF(C11&lt;B2,"已过期",1120070131)</f>
        <v>1120070131</v>
      </c>
      <c r="C11" s="2538">
        <v>44849</v>
      </c>
      <c r="D11" s="2539" t="str">
        <f t="shared" ca="1" si="0"/>
        <v>郑燚（注册号：1120070131）</v>
      </c>
      <c r="E11" s="2540" t="s">
        <v>2836</v>
      </c>
      <c r="F11" s="1444">
        <f ca="1">IF(G11&lt;B2,"已过期",2014110011)</f>
        <v>2014110011</v>
      </c>
      <c r="G11" s="2541">
        <v>49302</v>
      </c>
      <c r="H11" s="2542" t="str">
        <f t="shared" ca="1" si="1"/>
        <v>郑燚（注册号：2014110011）</v>
      </c>
    </row>
    <row r="12" spans="1:8" ht="24" customHeight="1">
      <c r="A12" s="1444" t="s">
        <v>2837</v>
      </c>
      <c r="B12" s="1444">
        <f ca="1">IF(C12&lt;B2,"已过期",1120040230)</f>
        <v>1120040230</v>
      </c>
      <c r="C12" s="2543">
        <v>44864</v>
      </c>
      <c r="D12" s="2539" t="str">
        <f t="shared" ca="1" si="0"/>
        <v>苏海（注册号：1120040230）</v>
      </c>
      <c r="E12" s="2540" t="s">
        <v>2837</v>
      </c>
      <c r="F12" s="1444">
        <f ca="1">IF(G12&lt;B2,"已过期",98030020)</f>
        <v>98030020</v>
      </c>
      <c r="G12" s="2541">
        <v>47118</v>
      </c>
      <c r="H12" s="2542" t="str">
        <f t="shared" ca="1" si="1"/>
        <v>苏海（注册号：98030020）</v>
      </c>
    </row>
    <row r="13" spans="1:8" ht="24" customHeight="1">
      <c r="A13" s="1444" t="s">
        <v>2838</v>
      </c>
      <c r="B13" s="1444" t="str">
        <f ca="1">IF(C13&lt;B2,"已过期",1120020033)</f>
        <v>已过期</v>
      </c>
      <c r="C13" s="2538">
        <v>44339</v>
      </c>
      <c r="D13" s="2539" t="str">
        <f t="shared" ca="1" si="0"/>
        <v>刘敬东（注册号：已过期）</v>
      </c>
      <c r="E13" s="2540" t="s">
        <v>2838</v>
      </c>
      <c r="F13" s="1444">
        <f ca="1">IF(G13&lt;B2,"已过期",2000110137)</f>
        <v>2000110137</v>
      </c>
      <c r="G13" s="2541">
        <v>46387</v>
      </c>
      <c r="H13" s="2542" t="str">
        <f t="shared" ca="1" si="1"/>
        <v>刘敬东（注册号：2000110137）</v>
      </c>
    </row>
    <row r="14" spans="1:8" ht="24" customHeight="1">
      <c r="A14" s="1444" t="s">
        <v>2839</v>
      </c>
      <c r="B14" s="1444">
        <f ca="1">IF(C14&lt;B2,"已过期",1119980106)</f>
        <v>1119980106</v>
      </c>
      <c r="C14" s="2543">
        <v>44969</v>
      </c>
      <c r="D14" s="2539" t="str">
        <f t="shared" ca="1" si="0"/>
        <v>刘俊财（注册号：1119980106）</v>
      </c>
      <c r="E14" s="2540" t="s">
        <v>2839</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2840</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6" t="s">
        <v>2841</v>
      </c>
      <c r="B17" s="3256"/>
      <c r="C17" s="3256"/>
      <c r="D17" s="3256"/>
      <c r="E17" s="3256"/>
      <c r="F17" s="3256"/>
      <c r="G17" s="3256"/>
      <c r="H17" s="3256"/>
    </row>
    <row r="18" spans="1:8" ht="24" customHeight="1">
      <c r="A18" s="3257" t="s">
        <v>2842</v>
      </c>
      <c r="B18" s="3257"/>
      <c r="C18" s="3257"/>
      <c r="D18" s="2536"/>
      <c r="E18" s="3258" t="s">
        <v>2843</v>
      </c>
      <c r="F18" s="3257"/>
      <c r="G18" s="3257"/>
    </row>
    <row r="19" spans="1:8" s="2547" customFormat="1" ht="24" customHeight="1">
      <c r="A19" s="2546" t="s">
        <v>2844</v>
      </c>
      <c r="B19" s="2535" t="s">
        <v>2845</v>
      </c>
      <c r="C19" s="2535" t="s">
        <v>2824</v>
      </c>
      <c r="D19" s="2536"/>
      <c r="E19" s="2540" t="s">
        <v>2844</v>
      </c>
      <c r="F19" s="2535" t="s">
        <v>2845</v>
      </c>
      <c r="G19" s="2535" t="s">
        <v>2824</v>
      </c>
    </row>
    <row r="20" spans="1:8" s="2547" customFormat="1" ht="24" customHeight="1">
      <c r="A20" s="2548" t="s">
        <v>2846</v>
      </c>
      <c r="B20" s="2548" t="s">
        <v>2847</v>
      </c>
      <c r="C20" s="2541">
        <v>44820</v>
      </c>
      <c r="D20" s="2549"/>
      <c r="E20" s="2550" t="s">
        <v>2848</v>
      </c>
      <c r="F20" s="2548" t="s">
        <v>2849</v>
      </c>
      <c r="G20" s="2551">
        <v>44377</v>
      </c>
    </row>
    <row r="21" spans="1:8" s="2547" customFormat="1" ht="24" customHeight="1">
      <c r="A21" s="2548"/>
      <c r="B21" s="2548"/>
      <c r="C21" s="2552"/>
      <c r="D21" s="2553"/>
      <c r="E21" s="2550" t="s">
        <v>2850</v>
      </c>
      <c r="F21" s="2554" t="s">
        <v>2851</v>
      </c>
      <c r="G21" s="2555">
        <v>44012</v>
      </c>
    </row>
    <row r="22" spans="1:8" ht="24" customHeight="1">
      <c r="C22" s="2556"/>
      <c r="D22" s="2556"/>
      <c r="E22" s="2557"/>
      <c r="F22" s="2558"/>
      <c r="G22" s="2559"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比较案例</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2022-08-17T03:11:11Z</dcterms:modified>
</cp:coreProperties>
</file>