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76" r:id="rId13"/>
    <sheet name="数据-汇总表" sheetId="6" r:id="rId14"/>
    <sheet name="数据-取费表" sheetId="1" r:id="rId15"/>
    <sheet name="估价对象房地状况" sheetId="20" state="hidden" r:id="rId16"/>
    <sheet name="系统读取表" sheetId="66" state="hidden" r:id="rId17"/>
    <sheet name="总投成本" sheetId="73" r:id="rId18"/>
    <sheet name="结果表" sheetId="9" r:id="rId19"/>
    <sheet name="比较法-住宅、综合" sheetId="39" r:id="rId20"/>
    <sheet name="土地案例" sheetId="71" r:id="rId21"/>
    <sheet name="案例位置"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r:id="rId36"/>
    <sheet name="不动产收益法（商业）" sheetId="15"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不动产收益法（地下车库）" sheetId="70" r:id="rId45"/>
    <sheet name="Sheet5" sheetId="72" r:id="rId46"/>
  </sheets>
  <externalReferences>
    <externalReference r:id="rId47"/>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D13" i="3" l="1"/>
  <c r="K13" i="3"/>
  <c r="I13" i="3"/>
  <c r="AN13" i="3"/>
  <c r="M13" i="3"/>
  <c r="C48" i="76"/>
  <c r="C52" i="76"/>
  <c r="C54" i="76"/>
  <c r="C56" i="76"/>
  <c r="C58" i="76"/>
  <c r="C67" i="76"/>
  <c r="C68" i="76"/>
  <c r="E6" i="76"/>
  <c r="C6" i="76"/>
  <c r="E7" i="76"/>
  <c r="C7" i="76"/>
  <c r="E8" i="76"/>
  <c r="C8" i="76"/>
  <c r="E9" i="76"/>
  <c r="C9" i="76"/>
  <c r="E10" i="76"/>
  <c r="C10" i="76"/>
  <c r="E11" i="76"/>
  <c r="C11" i="76"/>
  <c r="E12" i="76"/>
  <c r="C12" i="76"/>
  <c r="E13" i="76"/>
  <c r="C13" i="76"/>
  <c r="E14" i="76"/>
  <c r="C14" i="76"/>
  <c r="E15" i="76"/>
  <c r="C15" i="76"/>
  <c r="E16" i="76"/>
  <c r="C16" i="76"/>
  <c r="E17" i="76"/>
  <c r="C17" i="76"/>
  <c r="E18" i="76"/>
  <c r="C18" i="76"/>
  <c r="E19" i="76"/>
  <c r="C19" i="76"/>
  <c r="E20" i="76"/>
  <c r="C20" i="76"/>
  <c r="E21" i="76"/>
  <c r="C21" i="76"/>
  <c r="E22" i="76"/>
  <c r="C22" i="76"/>
  <c r="E23" i="76"/>
  <c r="C23" i="76"/>
  <c r="E24" i="76"/>
  <c r="C24" i="76"/>
  <c r="E25" i="76"/>
  <c r="C25" i="76"/>
  <c r="E26" i="76"/>
  <c r="C26" i="76"/>
  <c r="E27" i="76"/>
  <c r="C27" i="76"/>
  <c r="E28" i="76"/>
  <c r="C28" i="76"/>
  <c r="E29" i="76"/>
  <c r="C29" i="76"/>
  <c r="E30" i="76"/>
  <c r="C30" i="76"/>
  <c r="E31" i="76"/>
  <c r="C31" i="76"/>
  <c r="E32" i="76"/>
  <c r="C32" i="76"/>
  <c r="E33" i="76"/>
  <c r="C33" i="76"/>
  <c r="E34" i="76"/>
  <c r="C34" i="76"/>
  <c r="E35" i="76"/>
  <c r="C35" i="76"/>
  <c r="E36" i="76"/>
  <c r="C36" i="76"/>
  <c r="E37" i="76"/>
  <c r="C37" i="76"/>
  <c r="E5" i="76"/>
  <c r="C5" i="76"/>
  <c r="F38" i="76"/>
  <c r="G38" i="76"/>
  <c r="E38" i="76"/>
  <c r="D38" i="76"/>
  <c r="I40" i="39"/>
  <c r="I8" i="39"/>
  <c r="I7" i="39"/>
  <c r="F19" i="6"/>
  <c r="BB13" i="3"/>
  <c r="BB5" i="3"/>
  <c r="BC13" i="3"/>
  <c r="BC5" i="3"/>
  <c r="E8" i="6"/>
  <c r="F20" i="6"/>
  <c r="F27" i="6"/>
  <c r="BQ13" i="3"/>
  <c r="BQ5" i="3"/>
  <c r="F28" i="6"/>
  <c r="BM13" i="3"/>
  <c r="BM5" i="3"/>
  <c r="F29" i="6"/>
  <c r="F30" i="6"/>
  <c r="F31" i="6"/>
  <c r="BD13" i="3"/>
  <c r="BA13" i="3"/>
  <c r="BR13" i="3"/>
  <c r="BL13" i="3"/>
  <c r="AZ13" i="3"/>
  <c r="AZ5" i="3"/>
  <c r="H13" i="3"/>
  <c r="AC13" i="3"/>
  <c r="G13" i="3"/>
  <c r="G5" i="3"/>
  <c r="B3" i="3"/>
  <c r="AY6" i="3"/>
  <c r="D3" i="6"/>
  <c r="E19" i="6"/>
  <c r="E3" i="6"/>
  <c r="D19" i="6"/>
  <c r="E20" i="6"/>
  <c r="D20" i="6"/>
  <c r="D21" i="6"/>
  <c r="D22" i="6"/>
  <c r="D23" i="6"/>
  <c r="D24" i="6"/>
  <c r="D25" i="6"/>
  <c r="D26" i="6"/>
  <c r="D27" i="6"/>
  <c r="BR5" i="3"/>
  <c r="G28" i="6"/>
  <c r="E28" i="6"/>
  <c r="D28" i="6"/>
  <c r="E29" i="6"/>
  <c r="D29" i="6"/>
  <c r="D30" i="6"/>
  <c r="D31" i="6"/>
  <c r="I6" i="6"/>
  <c r="C13" i="39"/>
  <c r="F13" i="39"/>
  <c r="AA13" i="39"/>
  <c r="D93" i="39"/>
  <c r="E93" i="39"/>
  <c r="F19" i="39"/>
  <c r="AA19" i="39"/>
  <c r="F25" i="39"/>
  <c r="AA25" i="39"/>
  <c r="F27" i="39"/>
  <c r="AA27" i="39"/>
  <c r="F31" i="39"/>
  <c r="AA31" i="39"/>
  <c r="B112" i="39"/>
  <c r="F37" i="39"/>
  <c r="AA37" i="39"/>
  <c r="B114" i="39"/>
  <c r="F38" i="39"/>
  <c r="AA38" i="39"/>
  <c r="B116" i="39"/>
  <c r="F39" i="39"/>
  <c r="AA39" i="39"/>
  <c r="B129" i="39"/>
  <c r="F45" i="39"/>
  <c r="AA45" i="39"/>
  <c r="B131" i="39"/>
  <c r="F46" i="39"/>
  <c r="AA46" i="39"/>
  <c r="B133" i="39"/>
  <c r="F47" i="39"/>
  <c r="AA47" i="39"/>
  <c r="D83" i="39"/>
  <c r="J13" i="39"/>
  <c r="AC13" i="39"/>
  <c r="C40" i="39"/>
  <c r="J40" i="39"/>
  <c r="AC40" i="39"/>
  <c r="D91" i="39"/>
  <c r="E91" i="39"/>
  <c r="J17" i="39"/>
  <c r="AC17" i="39"/>
  <c r="J19" i="39"/>
  <c r="AC19" i="39"/>
  <c r="J21" i="39"/>
  <c r="AC21" i="39"/>
  <c r="D97" i="39"/>
  <c r="E97" i="39"/>
  <c r="J23" i="39"/>
  <c r="AC23" i="39"/>
  <c r="J25" i="39"/>
  <c r="AC25" i="39"/>
  <c r="J27" i="39"/>
  <c r="AC27" i="39"/>
  <c r="D103" i="39"/>
  <c r="E103" i="39"/>
  <c r="J29" i="39"/>
  <c r="AC29" i="39"/>
  <c r="J31" i="39"/>
  <c r="AC31" i="39"/>
  <c r="J33" i="39"/>
  <c r="AC33" i="39"/>
  <c r="J34" i="39"/>
  <c r="AC34" i="39"/>
  <c r="J36" i="39"/>
  <c r="AC36" i="39"/>
  <c r="J37" i="39"/>
  <c r="AC37" i="39"/>
  <c r="J38" i="39"/>
  <c r="AC38" i="39"/>
  <c r="J39" i="39"/>
  <c r="AC39" i="39"/>
  <c r="V48" i="39"/>
  <c r="J45" i="39"/>
  <c r="AC45" i="39"/>
  <c r="J46" i="39"/>
  <c r="AC46" i="39"/>
  <c r="J47" i="39"/>
  <c r="AC47" i="39"/>
  <c r="H19" i="39"/>
  <c r="AB19" i="39"/>
  <c r="H25" i="39"/>
  <c r="AB25" i="39"/>
  <c r="H27" i="39"/>
  <c r="AB27" i="39"/>
  <c r="H31" i="39"/>
  <c r="AB31" i="39"/>
  <c r="H37" i="39"/>
  <c r="AB37" i="39"/>
  <c r="H38" i="39"/>
  <c r="AB38" i="39"/>
  <c r="H39" i="39"/>
  <c r="AB39" i="39"/>
  <c r="H45" i="39"/>
  <c r="AB45" i="39"/>
  <c r="H46" i="39"/>
  <c r="AB46" i="39"/>
  <c r="H47" i="39"/>
  <c r="AB47" i="39"/>
  <c r="F6" i="15"/>
  <c r="F8" i="15"/>
  <c r="K7" i="1"/>
  <c r="F7" i="15"/>
  <c r="F9" i="15"/>
  <c r="C6" i="15"/>
  <c r="N4" i="65"/>
  <c r="C4" i="65"/>
  <c r="B39" i="1"/>
  <c r="F11" i="15"/>
  <c r="C10" i="15"/>
  <c r="C5" i="15"/>
  <c r="C32" i="15"/>
  <c r="C33" i="15"/>
  <c r="BA5" i="3"/>
  <c r="G21" i="6"/>
  <c r="E21" i="6"/>
  <c r="E27" i="6"/>
  <c r="K20" i="6"/>
  <c r="L20" i="6"/>
  <c r="M20" i="6"/>
  <c r="I20" i="6"/>
  <c r="H20" i="6"/>
  <c r="R20" i="6"/>
  <c r="R7" i="1"/>
  <c r="F35" i="15"/>
  <c r="C34" i="15"/>
  <c r="C31" i="15"/>
  <c r="M7" i="1"/>
  <c r="K14" i="1"/>
  <c r="M14" i="1"/>
  <c r="S7" i="1"/>
  <c r="K19" i="6"/>
  <c r="S6" i="1"/>
  <c r="K21" i="6"/>
  <c r="S8" i="1"/>
  <c r="S9" i="1"/>
  <c r="S10" i="1"/>
  <c r="S11" i="1"/>
  <c r="S12" i="1"/>
  <c r="S13" i="1"/>
  <c r="S16" i="1"/>
  <c r="T7" i="1"/>
  <c r="C14" i="15"/>
  <c r="C15" i="15"/>
  <c r="F16" i="15"/>
  <c r="C16" i="15"/>
  <c r="F43" i="15"/>
  <c r="C17" i="15"/>
  <c r="C18" i="15"/>
  <c r="C19" i="15"/>
  <c r="C20" i="15"/>
  <c r="I5" i="65"/>
  <c r="B22" i="1"/>
  <c r="C2" i="65"/>
  <c r="I1"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0"/>
  <c r="F8" i="70"/>
  <c r="F7" i="70"/>
  <c r="F9" i="70"/>
  <c r="C6" i="70"/>
  <c r="F11" i="70"/>
  <c r="C10" i="70"/>
  <c r="C5" i="70"/>
  <c r="C32" i="70"/>
  <c r="C33" i="70"/>
  <c r="L21" i="6"/>
  <c r="M21" i="6"/>
  <c r="I21" i="6"/>
  <c r="H21" i="6"/>
  <c r="R21" i="6"/>
  <c r="R8" i="1"/>
  <c r="F35" i="70"/>
  <c r="C34" i="70"/>
  <c r="C31" i="70"/>
  <c r="K8" i="1"/>
  <c r="M8" i="1"/>
  <c r="T8" i="1"/>
  <c r="C14" i="70"/>
  <c r="C15" i="70"/>
  <c r="F16" i="70"/>
  <c r="C16" i="70"/>
  <c r="F43" i="70"/>
  <c r="C17" i="70"/>
  <c r="C18" i="70"/>
  <c r="C19" i="70"/>
  <c r="C20" i="70"/>
  <c r="F24" i="70"/>
  <c r="F23" i="70"/>
  <c r="C23" i="70"/>
  <c r="F26" i="70"/>
  <c r="C26" i="70"/>
  <c r="F21" i="70"/>
  <c r="C24" i="70"/>
  <c r="C27" i="70"/>
  <c r="C29" i="70"/>
  <c r="F36" i="70"/>
  <c r="C36" i="70"/>
  <c r="F13" i="70"/>
  <c r="C13" i="70"/>
  <c r="F37" i="70"/>
  <c r="C37" i="70"/>
  <c r="F38" i="70"/>
  <c r="C38" i="70"/>
  <c r="C30" i="70"/>
  <c r="C39" i="70"/>
  <c r="F42" i="70"/>
  <c r="F40" i="70"/>
  <c r="L48" i="70"/>
  <c r="J53" i="70"/>
  <c r="F1" i="70"/>
  <c r="AE8" i="1"/>
  <c r="F41" i="70"/>
  <c r="C40" i="70"/>
  <c r="M6" i="70"/>
  <c r="M8" i="70"/>
  <c r="M7" i="70"/>
  <c r="M9" i="70"/>
  <c r="J6" i="70"/>
  <c r="M11" i="70"/>
  <c r="J10" i="70"/>
  <c r="J5" i="70"/>
  <c r="J26" i="70"/>
  <c r="J29" i="70"/>
  <c r="B2" i="70"/>
  <c r="E10" i="12"/>
  <c r="C11" i="21"/>
  <c r="D69" i="21"/>
  <c r="F11" i="21"/>
  <c r="AA11" i="21"/>
  <c r="C33" i="21"/>
  <c r="F33" i="21"/>
  <c r="AA33" i="21"/>
  <c r="D101" i="21"/>
  <c r="E101" i="21"/>
  <c r="F32" i="21"/>
  <c r="AA32" i="21"/>
  <c r="D85" i="21"/>
  <c r="E85" i="21"/>
  <c r="F23" i="21"/>
  <c r="AA23" i="21"/>
  <c r="R48" i="21"/>
  <c r="H11" i="21"/>
  <c r="AB11" i="21"/>
  <c r="H33" i="21"/>
  <c r="AB33" i="21"/>
  <c r="H32" i="21"/>
  <c r="AB32" i="21"/>
  <c r="H23" i="21"/>
  <c r="AB23" i="21"/>
  <c r="T48" i="21"/>
  <c r="J11" i="21"/>
  <c r="AC11" i="21"/>
  <c r="J33" i="21"/>
  <c r="AC33" i="21"/>
  <c r="J32" i="21"/>
  <c r="AC32" i="21"/>
  <c r="J23" i="21"/>
  <c r="AC23" i="21"/>
  <c r="V48" i="21"/>
  <c r="R49" i="21"/>
  <c r="C49" i="21"/>
  <c r="B3" i="21"/>
  <c r="D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F15" i="12"/>
  <c r="C15" i="12"/>
  <c r="D16" i="12"/>
  <c r="C16" i="12"/>
  <c r="C17" i="12"/>
  <c r="C18" i="12"/>
  <c r="D19" i="12"/>
  <c r="C19" i="12"/>
  <c r="E5" i="6"/>
  <c r="D21" i="12"/>
  <c r="C21" i="12"/>
  <c r="E6" i="6"/>
  <c r="D22" i="12"/>
  <c r="C22" i="12"/>
  <c r="C20" i="12"/>
  <c r="C23" i="12"/>
  <c r="F24" i="12"/>
  <c r="C24" i="12"/>
  <c r="F26" i="12"/>
  <c r="B24" i="1"/>
  <c r="C28" i="12"/>
  <c r="C26" i="12"/>
  <c r="C29" i="12"/>
  <c r="C31" i="12"/>
  <c r="C30" i="12"/>
  <c r="Q16" i="1"/>
  <c r="F33" i="12"/>
  <c r="C35" i="12"/>
  <c r="C33" i="12"/>
  <c r="C27" i="12"/>
  <c r="D26" i="12"/>
  <c r="C32" i="12"/>
  <c r="D30" i="12"/>
  <c r="C34" i="12"/>
  <c r="D33" i="12"/>
  <c r="C36" i="12"/>
  <c r="B2" i="12"/>
  <c r="D19" i="9"/>
  <c r="D17" i="9"/>
  <c r="C17" i="9"/>
  <c r="C18" i="9"/>
  <c r="D18" i="9"/>
  <c r="I37" i="21"/>
  <c r="I47" i="21"/>
  <c r="D14" i="73"/>
  <c r="D12" i="73"/>
  <c r="C8" i="73"/>
  <c r="C9" i="73"/>
  <c r="C7" i="73"/>
  <c r="D16" i="73"/>
  <c r="H10" i="73"/>
  <c r="C6" i="73"/>
  <c r="D17" i="73"/>
  <c r="D18" i="73"/>
  <c r="D15" i="73"/>
  <c r="D20" i="73"/>
  <c r="D21" i="73"/>
  <c r="D22" i="73"/>
  <c r="D23" i="73"/>
  <c r="D24" i="73"/>
  <c r="D25" i="73"/>
  <c r="D26" i="73"/>
  <c r="D31" i="73"/>
  <c r="D32" i="73"/>
  <c r="D33" i="73"/>
  <c r="D30" i="73"/>
  <c r="D27" i="73"/>
  <c r="D28" i="73"/>
  <c r="D29" i="73"/>
  <c r="D19" i="73"/>
  <c r="D35" i="73"/>
  <c r="D36" i="73"/>
  <c r="D37" i="73"/>
  <c r="D38" i="73"/>
  <c r="D39" i="73"/>
  <c r="D41" i="73"/>
  <c r="D42" i="73"/>
  <c r="D34" i="73"/>
  <c r="D43" i="73"/>
  <c r="D44" i="73"/>
  <c r="D45" i="73"/>
  <c r="E47" i="73"/>
  <c r="D46" i="73"/>
  <c r="E46" i="73"/>
  <c r="E45" i="73"/>
  <c r="E44" i="73"/>
  <c r="E43" i="73"/>
  <c r="E42" i="73"/>
  <c r="E41" i="73"/>
  <c r="E40" i="73"/>
  <c r="E39" i="73"/>
  <c r="E38" i="73"/>
  <c r="E37" i="73"/>
  <c r="E36" i="73"/>
  <c r="E35" i="73"/>
  <c r="E34" i="73"/>
  <c r="E33" i="73"/>
  <c r="E32" i="73"/>
  <c r="E31" i="73"/>
  <c r="E30" i="73"/>
  <c r="E29" i="73"/>
  <c r="E28" i="73"/>
  <c r="E27" i="73"/>
  <c r="E26" i="73"/>
  <c r="E25" i="73"/>
  <c r="E24" i="73"/>
  <c r="E23" i="73"/>
  <c r="H20" i="73"/>
  <c r="H19" i="73"/>
  <c r="J22" i="73"/>
  <c r="H21" i="73"/>
  <c r="H22" i="73"/>
  <c r="E22" i="73"/>
  <c r="E21" i="73"/>
  <c r="E20" i="73"/>
  <c r="J19" i="73"/>
  <c r="E19" i="73"/>
  <c r="E18" i="73"/>
  <c r="E17" i="73"/>
  <c r="E16" i="73"/>
  <c r="E15" i="73"/>
  <c r="H14" i="73"/>
  <c r="E14" i="73"/>
  <c r="E13" i="73"/>
  <c r="E12" i="73"/>
  <c r="E11" i="73"/>
  <c r="D11" i="73"/>
  <c r="E73" i="39"/>
  <c r="F73" i="39"/>
  <c r="G73" i="39"/>
  <c r="H73" i="39"/>
  <c r="I73" i="39"/>
  <c r="J73" i="39"/>
  <c r="K73" i="39"/>
  <c r="L73" i="39"/>
  <c r="M73" i="39"/>
  <c r="N73" i="39"/>
  <c r="D73" i="39"/>
  <c r="G40" i="39"/>
  <c r="E40" i="39"/>
  <c r="D77" i="39"/>
  <c r="C77" i="39"/>
  <c r="I9" i="39"/>
  <c r="G9" i="39"/>
  <c r="E9" i="39"/>
  <c r="G8" i="39"/>
  <c r="G7" i="39"/>
  <c r="E8" i="39"/>
  <c r="E7" i="39"/>
  <c r="G47" i="21"/>
  <c r="E47" i="21"/>
  <c r="BD10" i="3"/>
  <c r="I7" i="21"/>
  <c r="G7" i="21"/>
  <c r="E7" i="21"/>
  <c r="B3" i="70"/>
  <c r="E8" i="12"/>
  <c r="B3" i="15"/>
  <c r="D8" i="12"/>
  <c r="F7" i="21"/>
  <c r="AA7" i="21"/>
  <c r="F8" i="21"/>
  <c r="AA8" i="21"/>
  <c r="F9" i="21"/>
  <c r="AA9" i="21"/>
  <c r="F10" i="21"/>
  <c r="AA10" i="21"/>
  <c r="R47" i="21"/>
  <c r="D113" i="21"/>
  <c r="E113" i="21"/>
  <c r="F113" i="21"/>
  <c r="G113" i="21"/>
  <c r="F37" i="21"/>
  <c r="AA37" i="21"/>
  <c r="F36" i="21"/>
  <c r="AA36" i="21"/>
  <c r="F35" i="21"/>
  <c r="AA35" i="21"/>
  <c r="F34" i="21"/>
  <c r="AA34" i="21"/>
  <c r="D123" i="21"/>
  <c r="E123" i="21"/>
  <c r="F42" i="21"/>
  <c r="AA42" i="21"/>
  <c r="D77" i="21"/>
  <c r="E77" i="21"/>
  <c r="F15" i="21"/>
  <c r="AA15" i="21"/>
  <c r="D79" i="21"/>
  <c r="E79" i="21"/>
  <c r="F17" i="21"/>
  <c r="AA17" i="21"/>
  <c r="D81" i="21"/>
  <c r="E81" i="21"/>
  <c r="F19" i="21"/>
  <c r="AA19" i="21"/>
  <c r="F21" i="21"/>
  <c r="AA21" i="21"/>
  <c r="F38" i="21"/>
  <c r="AA38" i="21"/>
  <c r="F39" i="21"/>
  <c r="AA39" i="21"/>
  <c r="F40" i="21"/>
  <c r="AA40" i="21"/>
  <c r="H42" i="21"/>
  <c r="AB42" i="21"/>
  <c r="T47" i="21"/>
  <c r="F77" i="21"/>
  <c r="H15" i="21"/>
  <c r="AB15" i="21"/>
  <c r="H17" i="21"/>
  <c r="AB17" i="21"/>
  <c r="F81" i="21"/>
  <c r="H19" i="21"/>
  <c r="AB19" i="21"/>
  <c r="H21" i="21"/>
  <c r="AB21" i="21"/>
  <c r="H10" i="21"/>
  <c r="AB10" i="21"/>
  <c r="H34" i="21"/>
  <c r="AB34" i="21"/>
  <c r="H35" i="21"/>
  <c r="AB35" i="21"/>
  <c r="H36" i="21"/>
  <c r="AB36" i="21"/>
  <c r="H37" i="21"/>
  <c r="AB37" i="21"/>
  <c r="H38" i="21"/>
  <c r="AB38" i="21"/>
  <c r="H39" i="21"/>
  <c r="AB39" i="21"/>
  <c r="H40" i="21"/>
  <c r="AB40" i="21"/>
  <c r="J42" i="21"/>
  <c r="AC42" i="21"/>
  <c r="V47" i="21"/>
  <c r="J15" i="21"/>
  <c r="AC15" i="21"/>
  <c r="J17" i="21"/>
  <c r="AC17" i="21"/>
  <c r="J19" i="21"/>
  <c r="AC19" i="21"/>
  <c r="J21" i="21"/>
  <c r="AC21" i="21"/>
  <c r="J10" i="21"/>
  <c r="AC10" i="21"/>
  <c r="J44" i="21"/>
  <c r="AC44" i="21"/>
  <c r="J45" i="21"/>
  <c r="AC45" i="21"/>
  <c r="J37" i="21"/>
  <c r="AC37" i="21"/>
  <c r="J34" i="21"/>
  <c r="AC34" i="21"/>
  <c r="J35" i="21"/>
  <c r="AC35" i="21"/>
  <c r="J36" i="21"/>
  <c r="AC36" i="21"/>
  <c r="J38" i="21"/>
  <c r="AC38" i="21"/>
  <c r="J39" i="21"/>
  <c r="AC39" i="21"/>
  <c r="J40" i="21"/>
  <c r="AC40" i="21"/>
  <c r="C8" i="12"/>
  <c r="G1" i="70"/>
  <c r="F32" i="70"/>
  <c r="F33" i="70"/>
  <c r="F34" i="70"/>
  <c r="F15" i="70"/>
  <c r="F17" i="70"/>
  <c r="F18" i="70"/>
  <c r="F20" i="70"/>
  <c r="F28" i="70"/>
  <c r="C28" i="70"/>
  <c r="M47" i="70"/>
  <c r="Q66"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13" i="4"/>
  <c r="B7" i="4"/>
  <c r="B5"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M4" i="9"/>
  <c r="L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C21" i="21"/>
  <c r="Z27" i="40"/>
  <c r="Q27" i="40"/>
  <c r="D96" i="40"/>
  <c r="E96" i="40"/>
  <c r="F27" i="40"/>
  <c r="AA27" i="40"/>
  <c r="Z31" i="39"/>
  <c r="Q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2" i="6"/>
  <c r="E23" i="6"/>
  <c r="E24" i="6"/>
  <c r="E25" i="6"/>
  <c r="E26" i="6"/>
  <c r="D38" i="4"/>
  <c r="C39" i="4"/>
  <c r="C35" i="4"/>
  <c r="E16" i="12"/>
  <c r="F14" i="12"/>
  <c r="F17" i="12"/>
  <c r="E19" i="12"/>
  <c r="E21" i="12"/>
  <c r="E22" i="12"/>
  <c r="F23"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5" i="39"/>
  <c r="E95" i="39"/>
  <c r="F95" i="39"/>
  <c r="G95" i="39"/>
  <c r="F93" i="39"/>
  <c r="G93" i="39"/>
  <c r="F91" i="39"/>
  <c r="G91" i="39"/>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E13" i="11"/>
  <c r="E12" i="11"/>
  <c r="C9" i="12"/>
  <c r="BB12" i="3"/>
  <c r="F9" i="12"/>
  <c r="D9" i="12"/>
  <c r="E9" i="12"/>
  <c r="G9" i="12"/>
  <c r="K5" i="3"/>
  <c r="J5" i="3"/>
  <c r="BE10" i="3"/>
  <c r="BE13" i="3"/>
  <c r="BF13" i="3"/>
  <c r="BF5" i="3"/>
  <c r="BG13" i="3"/>
  <c r="BG5" i="3"/>
  <c r="BH13" i="3"/>
  <c r="BI13" i="3"/>
  <c r="BI5" i="3"/>
  <c r="BJ13" i="3"/>
  <c r="BK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F43" i="21"/>
  <c r="S43" i="21"/>
  <c r="H43" i="21"/>
  <c r="AB43" i="21"/>
  <c r="S38" i="21"/>
  <c r="S36" i="21"/>
  <c r="W40" i="21"/>
  <c r="J8" i="21"/>
  <c r="AC8" i="21"/>
  <c r="J9" i="21"/>
  <c r="AC9" i="21"/>
  <c r="H8" i="21"/>
  <c r="H9" i="21"/>
  <c r="AB9" i="21"/>
  <c r="U10" i="21"/>
  <c r="W34" i="21"/>
  <c r="U36" i="21"/>
  <c r="W33" i="21"/>
  <c r="U33"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H28" i="21"/>
  <c r="AB28" i="21"/>
  <c r="F28" i="21"/>
  <c r="J28" i="21"/>
  <c r="AC28" i="21"/>
  <c r="H30" i="21"/>
  <c r="U30" i="21"/>
  <c r="F30" i="21"/>
  <c r="S30" i="21"/>
  <c r="J30"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J44" i="39"/>
  <c r="W44" i="39"/>
  <c r="E128" i="39"/>
  <c r="F128" i="39"/>
  <c r="G128" i="39"/>
  <c r="H128" i="39"/>
  <c r="I128" i="39"/>
  <c r="J128" i="39"/>
  <c r="K128" i="39"/>
  <c r="L128" i="39"/>
  <c r="M128" i="39"/>
  <c r="S46" i="39"/>
  <c r="U46" i="39"/>
  <c r="W46" i="39"/>
  <c r="F29" i="39"/>
  <c r="AA29" i="39"/>
  <c r="F103" i="39"/>
  <c r="G103" i="39"/>
  <c r="H29" i="39"/>
  <c r="U29" i="39"/>
  <c r="F34" i="39"/>
  <c r="AA34" i="39"/>
  <c r="H34" i="39"/>
  <c r="AB34" i="39"/>
  <c r="J29" i="35"/>
  <c r="AC29" i="35"/>
  <c r="F29" i="35"/>
  <c r="S29" i="35"/>
  <c r="W30" i="36"/>
  <c r="AC30" i="36"/>
  <c r="S37" i="39"/>
  <c r="U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U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AB21" i="39"/>
  <c r="U21" i="39"/>
  <c r="AB17"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AC46" i="21"/>
  <c r="AC26" i="21"/>
  <c r="F85" i="21"/>
  <c r="G85" i="21"/>
  <c r="W23" i="21"/>
  <c r="W17" i="21"/>
  <c r="S15" i="21"/>
  <c r="G77" i="21"/>
  <c r="W13" i="21"/>
  <c r="W21" i="21"/>
  <c r="W44" i="21"/>
  <c r="W10"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W29" i="39"/>
  <c r="S29" i="39"/>
  <c r="S14" i="39"/>
  <c r="AB15" i="39"/>
  <c r="U11" i="39"/>
  <c r="U41" i="39"/>
  <c r="U23" i="39"/>
  <c r="U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S5" i="3"/>
  <c r="BL16"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K15" i="1"/>
  <c r="AZ16" i="3"/>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C45" i="9"/>
  <c r="H14" i="66"/>
  <c r="B7" i="66"/>
  <c r="C7" i="66"/>
  <c r="R9" i="1"/>
  <c r="M19" i="6"/>
  <c r="I19" i="6"/>
  <c r="H19" i="6"/>
  <c r="R19" i="6"/>
  <c r="R6" i="1"/>
  <c r="F9" i="39"/>
  <c r="AA9" i="39"/>
  <c r="H9" i="39"/>
  <c r="AB9" i="39"/>
  <c r="J9" i="39"/>
  <c r="AC9" i="39"/>
  <c r="E11" i="6"/>
  <c r="E63" i="39"/>
  <c r="E12" i="6"/>
  <c r="E64" i="39"/>
  <c r="E13" i="6"/>
  <c r="E65" i="39"/>
  <c r="E14" i="6"/>
  <c r="E66" i="39"/>
  <c r="E15" i="6"/>
  <c r="E67" i="39"/>
  <c r="E68" i="39"/>
  <c r="C25" i="12"/>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E70" i="39"/>
  <c r="D72" i="39"/>
  <c r="AB7"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S7" i="21"/>
  <c r="F65" i="40"/>
  <c r="E67" i="40"/>
  <c r="D6" i="59"/>
  <c r="C5" i="59"/>
  <c r="D5" i="59"/>
  <c r="M28" i="46"/>
  <c r="G20" i="46"/>
  <c r="E41" i="46"/>
  <c r="C41" i="46"/>
  <c r="N28" i="46"/>
  <c r="F17" i="11"/>
  <c r="C17" i="11"/>
  <c r="S5" i="46"/>
  <c r="S2" i="46"/>
  <c r="S3" i="46"/>
  <c r="S7" i="46"/>
  <c r="S6" i="46"/>
  <c r="S4" i="46"/>
  <c r="K16" i="1"/>
  <c r="K27" i="6"/>
  <c r="E63" i="40"/>
  <c r="C22" i="4"/>
  <c r="D10" i="6"/>
  <c r="D13" i="6"/>
  <c r="H24" i="6"/>
  <c r="D6" i="6"/>
  <c r="D14" i="6"/>
  <c r="D8" i="6"/>
  <c r="H23" i="6"/>
  <c r="E45" i="9"/>
  <c r="F45" i="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72" i="39"/>
  <c r="G70" i="39"/>
  <c r="F21" i="43"/>
  <c r="C23" i="43"/>
  <c r="D21" i="43"/>
  <c r="F7" i="36"/>
  <c r="S7" i="36"/>
  <c r="C20" i="46"/>
  <c r="M20" i="46"/>
  <c r="C19" i="46"/>
  <c r="F26" i="44"/>
  <c r="C26" i="44"/>
  <c r="R24" i="6"/>
  <c r="D16" i="6"/>
  <c r="R22" i="6"/>
  <c r="R23" i="6"/>
  <c r="R25" i="6"/>
  <c r="M27" i="6"/>
  <c r="D7" i="66"/>
  <c r="D8" i="66"/>
  <c r="A6" i="51"/>
  <c r="B7" i="63"/>
  <c r="A6" i="64"/>
  <c r="A20" i="64"/>
  <c r="A20" i="51"/>
  <c r="B15" i="63"/>
  <c r="N5" i="54"/>
  <c r="B43" i="63"/>
  <c r="T13" i="1"/>
  <c r="M16" i="1"/>
  <c r="T9"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J22" i="15"/>
  <c r="Q51" i="44"/>
  <c r="C38" i="44"/>
  <c r="C15" i="44"/>
  <c r="J16" i="44"/>
  <c r="C22" i="43"/>
  <c r="C21" i="43"/>
  <c r="AC7" i="35"/>
  <c r="V38" i="35"/>
  <c r="I38" i="35"/>
  <c r="W7" i="35"/>
  <c r="L52" i="37"/>
  <c r="F7" i="35"/>
  <c r="H7" i="35"/>
  <c r="L70" i="39"/>
  <c r="K72" i="39"/>
  <c r="K67" i="40"/>
  <c r="L65" i="40"/>
  <c r="B3" i="67"/>
  <c r="C55" i="15"/>
  <c r="C64" i="15"/>
  <c r="C63" i="15"/>
  <c r="Q71" i="15"/>
  <c r="J16" i="15"/>
  <c r="J25" i="15"/>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D20" i="9"/>
  <c r="B4" i="12"/>
  <c r="D21" i="9"/>
  <c r="Q18" i="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B3" i="39"/>
  <c r="C20" i="9"/>
  <c r="G20" i="9"/>
  <c r="G22" i="9"/>
  <c r="N43" i="9"/>
  <c r="F44" i="9"/>
  <c r="E44" i="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L43" i="9"/>
  <c r="K20" i="9"/>
  <c r="C38"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<sst xmlns="http://schemas.openxmlformats.org/spreadsheetml/2006/main" count="8511" uniqueCount="3528">
  <si>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</si>
  <si>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</si>
  <si>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</si>
  <si>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</si>
  <si>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</si>
  <si>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</si>
  <si>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</si>
  <si>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</si>
  <si>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</si>
  <si>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</si>
  <si>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</si>
  <si>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</si>
  <si>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</si>
  <si>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</si>
  <si>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</si>
  <si>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</si>
  <si>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</si>
  <si>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</si>
  <si>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</si>
  <si>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</si>
  <si>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</si>
  <si>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</si>
  <si>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</si>
  <si>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</si>
  <si>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</si>
  <si>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</si>
  <si>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</si>
  <si>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</si>
  <si>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</si>
  <si>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</si>
  <si>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</si>
  <si>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</si>
  <si>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</si>
  <si>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</si>
  <si>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</si>
  <si>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</si>
  <si>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</si>
  <si>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</si>
  <si>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</si>
  <si>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</si>
  <si>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</si>
  <si>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</si>
  <si>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</si>
  <si>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</si>
  <si>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</si>
  <si>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</si>
  <si>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</si>
  <si>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</si>
  <si>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</si>
  <si>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</si>
  <si>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</si>
  <si>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</si>
  <si>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</si>
  <si>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</si>
  <si>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</si>
  <si>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</si>
  <si>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</si>
  <si>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</si>
  <si>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</si>
  <si>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</si>
  <si>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</si>
  <si>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</si>
  <si>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</si>
  <si>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</si>
  <si>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</si>
  <si>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</si>
  <si>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</si>
  <si>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</si>
  <si>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</si>
  <si>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</si>
  <si>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</si>
  <si>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</si>
  <si>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</si>
  <si>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</si>
  <si>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</si>
  <si>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</si>
  <si>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</si>
  <si>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</si>
  <si>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</si>
  <si>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</si>
  <si>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</si>
  <si>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</si>
  <si>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</si>
  <si>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</si>
  <si>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</si>
  <si>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</si>
  <si>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</si>
  <si>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</si>
  <si>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</si>
  <si>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</si>
  <si>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</si>
  <si>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</si>
  <si>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</si>
  <si>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</si>
  <si>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</si>
  <si>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</si>
  <si>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</si>
  <si>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</si>
  <si>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</si>
  <si>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</si>
  <si>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</si>
  <si>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</si>
  <si>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</si>
  <si>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</si>
  <si>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</si>
  <si>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</si>
  <si>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</si>
  <si>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</si>
  <si>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</si>
  <si>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</si>
  <si>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</si>
  <si>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</si>
  <si>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</si>
  <si>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</si>
  <si>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</si>
  <si>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</si>
  <si>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</si>
  <si>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</si>
  <si>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</si>
  <si>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</si>
  <si>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</si>
  <si>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</si>
  <si>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</si>
  <si>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</si>
  <si>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</si>
  <si>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</si>
  <si>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</si>
  <si>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</si>
  <si>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</si>
  <si>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</si>
  <si>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</si>
  <si>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</si>
  <si>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</si>
  <si>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</si>
  <si>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</si>
  <si>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</si>
  <si>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</si>
  <si>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</si>
  <si>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</si>
  <si>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</si>
  <si>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</si>
  <si>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</si>
  <si>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</si>
  <si>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</si>
  <si>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</si>
  <si>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</si>
  <si>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</si>
  <si>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</si>
  <si>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</si>
  <si>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</si>
  <si>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</si>
  <si>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</si>
  <si>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</si>
  <si>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</si>
  <si>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</si>
  <si>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</si>
  <si>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</si>
  <si>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</si>
  <si>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</si>
  <si>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</si>
  <si>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</si>
  <si>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</si>
  <si>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</si>
  <si>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</si>
  <si>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</si>
  <si>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</si>
  <si>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</si>
  <si>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</si>
  <si>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</si>
  <si>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</si>
  <si>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</si>
  <si>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</si>
  <si>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</si>
  <si>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</si>
  <si>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</si>
  <si>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</si>
  <si>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</si>
  <si>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</si>
  <si>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</si>
  <si>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</si>
  <si>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</si>
  <si>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</si>
  <si>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</si>
  <si>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</si>
  <si>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</si>
  <si>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</si>
  <si>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</si>
  <si>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</si>
  <si>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</si>
  <si>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</si>
  <si>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</si>
  <si>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</si>
  <si>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</si>
  <si>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</si>
  <si>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</si>
  <si>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</si>
  <si>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</si>
  <si>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</si>
  <si>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</si>
  <si>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</si>
  <si>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</si>
  <si>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</si>
  <si>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</si>
  <si>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</si>
  <si>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</si>
  <si>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</si>
  <si>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</si>
  <si>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</si>
  <si>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</si>
  <si>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</si>
  <si>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</si>
  <si>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</si>
  <si>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</si>
  <si>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</si>
  <si>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</si>
  <si>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</si>
  <si>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</si>
  <si>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</si>
  <si>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</si>
  <si>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</si>
  <si>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</si>
  <si>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</si>
  <si>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</si>
  <si>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</si>
  <si>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</si>
  <si>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</si>
  <si>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</si>
  <si>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</si>
  <si>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</si>
  <si>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</si>
  <si>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</si>
  <si>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</si>
  <si>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</si>
  <si>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</si>
  <si>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</si>
  <si>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</si>
  <si>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</si>
  <si>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</si>
  <si>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</si>
  <si>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</si>
  <si>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</si>
  <si>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</si>
  <si>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</si>
  <si>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</si>
  <si>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</si>
  <si>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</si>
  <si>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</si>
  <si>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</si>
  <si>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</si>
  <si>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</si>
  <si>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</si>
  <si>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</si>
  <si>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</si>
  <si>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</si>
  <si>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</si>
  <si>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</si>
  <si>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</si>
  <si>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</si>
  <si>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</si>
  <si>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</si>
  <si>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</si>
  <si>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</si>
  <si>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</si>
  <si>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</si>
  <si>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</si>
  <si>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</si>
  <si>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</si>
  <si>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</si>
  <si>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</si>
  <si>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</si>
  <si>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</si>
  <si>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</si>
  <si>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</si>
  <si>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</si>
  <si>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</si>
  <si>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</si>
  <si>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</si>
  <si>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</si>
  <si>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</si>
  <si>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</si>
  <si>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</si>
  <si>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</si>
  <si>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</si>
  <si>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</si>
  <si>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</si>
  <si>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</si>
  <si>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</si>
  <si>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</si>
  <si>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</si>
  <si>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</si>
  <si>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</si>
  <si>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</si>
  <si>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</si>
  <si>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</si>
  <si>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</si>
  <si>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</si>
  <si>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</si>
  <si>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</si>
  <si>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</si>
  <si>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</si>
  <si>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</si>
  <si>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</si>
  <si>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</si>
  <si>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</si>
  <si>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</si>
  <si>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</si>
  <si>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</si>
  <si>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</si>
  <si>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</si>
  <si>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</si>
  <si>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</si>
  <si>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</si>
  <si>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</si>
  <si>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</si>
  <si>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</si>
  <si>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</si>
  <si>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</si>
  <si>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</si>
  <si>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</si>
  <si>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</si>
  <si>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</si>
  <si>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</si>
  <si>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</si>
  <si>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</si>
  <si>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</si>
  <si>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</si>
  <si>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</si>
  <si>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</si>
  <si>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</si>
  <si>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</si>
  <si>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</si>
  <si>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</si>
  <si>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</si>
  <si>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</si>
  <si>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</si>
  <si>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</si>
  <si>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</si>
  <si>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</si>
  <si>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</si>
  <si>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</si>
  <si>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</si>
  <si>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</si>
  <si>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</si>
  <si>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</si>
  <si>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</si>
  <si>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</si>
  <si>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</si>
  <si>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</si>
  <si>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</si>
  <si>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</si>
  <si>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</si>
  <si>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</si>
  <si>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</si>
  <si>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</si>
  <si>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</si>
  <si>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</si>
  <si>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</si>
  <si>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</si>
  <si>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</si>
  <si>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</si>
  <si>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</si>
  <si>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</si>
  <si>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</si>
  <si>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</si>
  <si>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</si>
  <si>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</si>
  <si>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</si>
  <si>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</si>
  <si>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</si>
  <si>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</si>
  <si>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</si>
  <si>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</si>
  <si>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</si>
  <si>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</si>
  <si>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</si>
  <si>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</si>
  <si>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</si>
  <si>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</si>
  <si>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</si>
  <si>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</si>
  <si>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</si>
  <si>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</si>
  <si>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</si>
  <si>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</si>
  <si>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</si>
  <si>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</si>
  <si>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</si>
  <si>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</si>
  <si>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</si>
  <si>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</si>
  <si>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</si>
  <si>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</si>
  <si>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</si>
  <si>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</si>
  <si>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</si>
  <si>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</si>
  <si>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</si>
  <si>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</si>
  <si>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</si>
  <si>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</si>
  <si>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</si>
  <si>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</si>
  <si>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</si>
  <si>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</si>
  <si>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</si>
  <si>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</si>
  <si>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</si>
  <si>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</si>
  <si>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</si>
  <si>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</si>
  <si>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</si>
  <si>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</si>
  <si>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</si>
  <si>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</si>
  <si>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</si>
  <si>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</si>
  <si>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</si>
  <si>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</si>
  <si>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</si>
  <si>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</si>
  <si>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</si>
  <si>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</si>
  <si>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</si>
  <si>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</si>
  <si>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</si>
  <si>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</si>
  <si>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</si>
  <si>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</si>
  <si>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</si>
  <si>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</si>
  <si>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</si>
  <si>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</si>
  <si>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</si>
  <si>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</si>
  <si>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</si>
  <si>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</si>
  <si>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</si>
  <si>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</si>
  <si>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</si>
  <si>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</si>
  <si>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</si>
  <si>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</si>
  <si>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</si>
  <si>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</si>
  <si>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</si>
  <si>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</si>
  <si>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</si>
  <si>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</si>
  <si>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</si>
  <si>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</si>
  <si>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</si>
  <si>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</si>
  <si>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</si>
  <si>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</si>
  <si>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</si>
  <si>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</si>
  <si>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</si>
  <si>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</si>
  <si>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</si>
  <si>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</si>
  <si>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</si>
  <si>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</si>
  <si>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</si>
  <si>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</si>
  <si>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</si>
  <si>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</si>
  <si>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</si>
  <si>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</si>
  <si>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</si>
  <si>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</si>
  <si>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</si>
  <si>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</si>
  <si>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</si>
  <si>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</si>
  <si>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</si>
  <si>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</si>
  <si>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</si>
  <si>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</si>
  <si>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</si>
  <si>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</si>
  <si>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</si>
  <si>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</si>
  <si>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</si>
  <si>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</si>
  <si>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</si>
  <si>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</si>
  <si>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</si>
  <si>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</si>
  <si>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</si>
  <si>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</si>
  <si>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</si>
  <si>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</si>
  <si>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</si>
  <si>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</si>
  <si>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</si>
  <si>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</si>
  <si>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</si>
  <si>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</si>
  <si>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</si>
  <si>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</si>
  <si>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</si>
  <si>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</si>
  <si>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</si>
  <si>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</si>
  <si>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</si>
  <si>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</si>
  <si>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</si>
  <si>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</si>
  <si>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</si>
  <si>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</si>
  <si>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</si>
  <si>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</si>
  <si>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</si>
  <si>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</si>
  <si>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</si>
  <si>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</si>
  <si>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</si>
  <si>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</si>
  <si>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</si>
  <si>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</si>
  <si>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</si>
  <si>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</si>
  <si>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</si>
  <si>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</si>
  <si>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</si>
  <si>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</si>
  <si>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</si>
  <si>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</si>
  <si>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</si>
  <si>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</si>
  <si>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</si>
  <si>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</si>
  <si>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</si>
  <si>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</si>
  <si>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</si>
  <si>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</si>
  <si>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</si>
  <si>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</si>
  <si>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</si>
  <si>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</si>
  <si>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</si>
  <si>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</si>
  <si>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</si>
  <si>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</si>
  <si>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</si>
  <si>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</si>
  <si>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</si>
  <si>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</si>
  <si>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</si>
  <si>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</si>
  <si>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</si>
  <si>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</si>
  <si>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</si>
  <si>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</si>
  <si>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</si>
  <si>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</si>
  <si>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</si>
  <si>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</si>
  <si>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</si>
  <si>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</si>
  <si>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</si>
  <si>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</si>
  <si>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</si>
  <si>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</si>
  <si>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</si>
  <si>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</si>
  <si>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</si>
  <si>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</si>
  <si>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</si>
  <si>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</si>
  <si>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</si>
  <si>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</si>
  <si>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</si>
  <si>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</si>
  <si>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</si>
  <si>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</si>
  <si>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</si>
  <si>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</si>
  <si>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</si>
  <si>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</si>
  <si>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</si>
  <si>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</si>
  <si>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</si>
  <si>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</si>
  <si>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</si>
  <si>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</si>
  <si>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</si>
  <si>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</si>
  <si>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</si>
  <si>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</si>
  <si>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</si>
  <si>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</si>
  <si>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</si>
  <si>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</si>
  <si>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</si>
  <si>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</si>
  <si>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</si>
  <si>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</si>
  <si>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</si>
  <si>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</si>
  <si>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</si>
  <si>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</si>
  <si>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</si>
  <si>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</si>
  <si>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</si>
  <si>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</si>
  <si>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</si>
  <si>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</si>
  <si>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</si>
  <si>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</si>
  <si>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</si>
  <si>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</si>
  <si>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</si>
  <si>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</si>
  <si>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</si>
  <si>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</si>
  <si>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</si>
  <si>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</si>
  <si>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</si>
  <si>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</si>
  <si>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</si>
  <si>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</si>
  <si>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</si>
  <si>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</si>
  <si>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</si>
  <si>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</si>
  <si>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</si>
  <si>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</si>
  <si>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</si>
  <si>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</si>
  <si>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</si>
  <si>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</si>
  <si>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</si>
  <si>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</si>
  <si>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</si>
  <si>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</si>
  <si>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</si>
  <si>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</si>
  <si>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</si>
  <si>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</si>
  <si>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</si>
  <si>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</si>
  <si>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</si>
  <si>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</si>
  <si>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</si>
  <si>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</si>
  <si>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</si>
  <si>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</si>
  <si>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</si>
  <si>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</si>
  <si>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</si>
  <si>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</si>
  <si>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</si>
  <si>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</si>
  <si>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</si>
  <si>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</si>
  <si>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</si>
  <si>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</si>
  <si>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</si>
  <si>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</si>
  <si>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</si>
  <si>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</si>
  <si>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</si>
  <si>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</si>
  <si>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</si>
  <si>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</si>
  <si>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</si>
  <si>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</si>
  <si>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</si>
  <si>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</si>
  <si>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</si>
  <si>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</si>
  <si>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</si>
  <si>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</si>
  <si>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</si>
  <si>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</si>
  <si>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</si>
  <si>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</si>
  <si>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</si>
  <si>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</si>
  <si>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</si>
  <si>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</si>
  <si>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</si>
  <si>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</si>
  <si>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</si>
  <si>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</si>
  <si>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</si>
  <si>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</si>
  <si>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</si>
  <si>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</si>
  <si>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</si>
  <si>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</si>
  <si>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</si>
  <si>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</si>
  <si>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</si>
  <si>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</si>
  <si>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</si>
  <si>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</si>
  <si>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</si>
  <si>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</si>
  <si>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</si>
  <si>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</si>
  <si>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</si>
  <si>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</si>
  <si>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</si>
  <si>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</si>
  <si>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</si>
  <si>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</si>
  <si>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</si>
  <si>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</si>
  <si>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</si>
  <si>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</si>
  <si>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</si>
  <si>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</si>
  <si>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</si>
  <si>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</si>
  <si>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</si>
  <si>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</si>
  <si>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</si>
  <si>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</si>
  <si>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</si>
  <si>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</si>
  <si>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</si>
  <si>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</si>
  <si>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</si>
  <si>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</si>
  <si>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</si>
  <si>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</si>
  <si>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</si>
  <si>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</si>
  <si>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</si>
  <si>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</si>
  <si>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</si>
  <si>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</si>
  <si>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</si>
  <si>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</si>
  <si>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</si>
  <si>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</si>
  <si>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</si>
  <si>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</si>
  <si>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</si>
  <si>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</si>
  <si>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</si>
  <si>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</si>
  <si>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</si>
  <si>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</si>
  <si>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</si>
  <si>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</si>
  <si>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</si>
  <si>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</si>
  <si>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</si>
  <si>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</si>
  <si>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</si>
  <si>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</si>
  <si>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</si>
  <si>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</si>
  <si>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</si>
  <si>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</si>
  <si>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</si>
  <si>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</si>
  <si>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</si>
  <si>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</si>
  <si>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</si>
  <si>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</si>
  <si>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</si>
  <si>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</si>
  <si>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</si>
  <si>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</si>
  <si>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</si>
  <si>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</si>
  <si>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</si>
  <si>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</si>
  <si>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</si>
  <si>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</si>
  <si>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</si>
  <si>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</si>
  <si>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</si>
  <si>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</si>
  <si>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</si>
  <si>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</si>
  <si>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</si>
  <si>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</si>
  <si>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</si>
  <si>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</si>
  <si>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</si>
  <si>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</si>
  <si>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</si>
  <si>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</si>
  <si>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</si>
  <si>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</si>
  <si>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</si>
  <si>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</si>
  <si>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</si>
  <si>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</si>
  <si>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</si>
  <si>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</si>
  <si>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</si>
  <si>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</si>
  <si>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</si>
  <si>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</si>
  <si>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</si>
  <si>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</si>
  <si>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</si>
  <si>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</si>
  <si>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</si>
  <si>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</si>
  <si>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</si>
  <si>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</si>
  <si>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</si>
  <si>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</si>
  <si>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</si>
  <si>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</si>
  <si>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</si>
  <si>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</si>
  <si>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</si>
  <si>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</si>
  <si>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</si>
  <si>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</si>
  <si>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</si>
  <si>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</si>
  <si>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</si>
  <si>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</si>
  <si>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</si>
  <si>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</si>
  <si>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</si>
  <si>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</si>
  <si>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</si>
  <si>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</si>
  <si>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</si>
  <si>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</si>
  <si>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</si>
  <si>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</si>
  <si>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</si>
  <si>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</si>
  <si>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</si>
  <si>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</si>
  <si>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</si>
  <si>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</si>
  <si>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</si>
  <si>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</si>
  <si>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</si>
  <si>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</si>
  <si>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</si>
  <si>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</si>
  <si>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</si>
  <si>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</si>
  <si>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</si>
  <si>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</si>
  <si>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</si>
  <si>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</si>
  <si>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</si>
  <si>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</si>
  <si>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</si>
  <si>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</si>
  <si>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</si>
  <si>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</si>
  <si>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</si>
  <si>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</si>
  <si>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</si>
  <si>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</si>
  <si>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</si>
  <si>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</si>
  <si>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</si>
  <si>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</si>
  <si>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</si>
  <si>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</si>
  <si>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</si>
  <si>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</si>
  <si>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</si>
  <si>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</si>
  <si>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</si>
  <si>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</si>
  <si>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</si>
  <si>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</si>
  <si>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</si>
  <si>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</si>
  <si>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</si>
  <si>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</si>
  <si>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</si>
  <si>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</si>
  <si>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</si>
  <si>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</si>
  <si>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</si>
  <si>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</si>
  <si>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</si>
  <si>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</si>
  <si>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</si>
  <si>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</si>
  <si>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</si>
  <si>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</si>
  <si>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</si>
  <si>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</si>
  <si>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</si>
  <si>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</si>
  <si>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</si>
  <si>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</si>
  <si>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</si>
  <si>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</si>
  <si>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</si>
  <si>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</si>
  <si>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</si>
  <si>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</si>
  <si>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</si>
  <si>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</si>
  <si>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</si>
  <si>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</si>
  <si>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</si>
  <si>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</si>
  <si>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</si>
  <si>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</si>
  <si>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</si>
  <si>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</si>
  <si>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</si>
  <si>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</si>
  <si>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</si>
  <si>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</si>
  <si>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</si>
  <si>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</si>
  <si>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</si>
  <si>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</si>
  <si>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</si>
  <si>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</si>
  <si>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</si>
  <si>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</si>
  <si>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</si>
  <si>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</si>
  <si>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</si>
  <si>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</si>
  <si>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</si>
  <si>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</si>
  <si>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</si>
  <si>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</si>
  <si>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</si>
  <si>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</si>
  <si>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</si>
  <si>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</si>
  <si>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</si>
  <si>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</si>
  <si>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</si>
  <si>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</si>
  <si>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</si>
  <si>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</si>
  <si>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</si>
  <si>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</si>
  <si>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</si>
  <si>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</si>
  <si>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</si>
  <si>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</si>
  <si>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</si>
  <si>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</si>
  <si>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</si>
  <si>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</si>
  <si>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</si>
  <si>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</si>
  <si>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</si>
  <si>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</si>
  <si>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</si>
  <si>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</si>
  <si>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</si>
  <si>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</si>
  <si>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</si>
  <si>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</si>
  <si>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</si>
  <si>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</si>
  <si>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</si>
  <si>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</si>
  <si>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</si>
  <si>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</si>
  <si>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</si>
  <si>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</si>
  <si>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</si>
  <si>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</si>
  <si>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</si>
  <si>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</si>
  <si>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</si>
  <si>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</si>
  <si>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</si>
  <si>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</si>
  <si>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</si>
  <si>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</si>
  <si>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</si>
  <si>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</si>
  <si>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</si>
  <si>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</si>
  <si>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</si>
  <si>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</si>
  <si>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</si>
  <si>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</si>
  <si>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</si>
  <si>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</si>
  <si>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</si>
  <si>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</si>
  <si>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</si>
  <si>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</si>
  <si>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</si>
  <si>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</si>
  <si>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</si>
  <si>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</si>
  <si>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</si>
  <si>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</si>
  <si>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</si>
  <si>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</si>
  <si>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</si>
  <si>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</si>
  <si>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</si>
  <si>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</si>
  <si>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</si>
  <si>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</si>
  <si>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</si>
  <si>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</si>
  <si>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</si>
  <si>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</si>
  <si>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</si>
  <si>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</si>
  <si>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</si>
  <si>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</si>
  <si>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</si>
  <si>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</si>
  <si>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</si>
  <si>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</si>
  <si>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</si>
  <si>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</si>
  <si>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</si>
  <si>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</si>
  <si>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</si>
  <si>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</si>
  <si>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</si>
  <si>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</si>
  <si>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</si>
  <si>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</si>
  <si>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</si>
  <si>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</si>
  <si>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</si>
  <si>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</si>
  <si>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</si>
  <si>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</si>
  <si>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</si>
  <si>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</si>
  <si>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</si>
  <si>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</si>
  <si>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</si>
  <si>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</si>
  <si>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</si>
  <si>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</si>
  <si>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</si>
  <si>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</si>
  <si>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</si>
  <si>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</si>
  <si>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</si>
  <si>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</si>
  <si>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</si>
  <si>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</si>
  <si>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</si>
  <si>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</si>
  <si>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</si>
  <si>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</si>
  <si>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</si>
  <si>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</si>
  <si>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</si>
  <si>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</si>
  <si>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</si>
  <si>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</si>
  <si>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</si>
  <si>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</si>
  <si>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</si>
  <si>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</si>
  <si>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</si>
  <si>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</si>
  <si>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</si>
  <si>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</si>
  <si>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</si>
  <si>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</si>
  <si>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</si>
  <si>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</si>
  <si>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</si>
  <si>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</si>
  <si>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</si>
  <si>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</si>
  <si>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</si>
  <si>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</si>
  <si>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</si>
  <si>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</si>
  <si>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</si>
  <si>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</si>
  <si>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</si>
  <si>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</si>
  <si>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</si>
  <si>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</si>
  <si>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</si>
  <si>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</si>
  <si>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</si>
  <si>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</si>
  <si>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</si>
  <si>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</si>
  <si>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</si>
  <si>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</si>
  <si>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</si>
  <si>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</si>
  <si>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</si>
  <si>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</si>
  <si>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</si>
  <si>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</si>
  <si>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</si>
  <si>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</si>
  <si>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</si>
  <si>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</si>
  <si>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</si>
  <si>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</si>
  <si>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</si>
  <si>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</si>
  <si>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</si>
  <si>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</si>
  <si>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</si>
  <si>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</si>
  <si>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</si>
  <si>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</si>
  <si>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</si>
  <si>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</si>
  <si>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</si>
  <si>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</si>
  <si>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</si>
  <si>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</si>
  <si>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</si>
  <si>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</si>
  <si>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</si>
  <si>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</si>
  <si>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</si>
  <si>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</si>
  <si>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</si>
  <si>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</si>
  <si>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</si>
  <si>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</si>
  <si>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</si>
  <si>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</si>
  <si>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</si>
  <si>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</si>
  <si>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</si>
  <si>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</si>
  <si>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</si>
  <si>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</si>
  <si>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</si>
  <si>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</si>
  <si>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</si>
  <si>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</si>
  <si>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</si>
  <si>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</si>
  <si>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</si>
  <si>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</si>
  <si>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</si>
  <si>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</si>
  <si>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</si>
  <si>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</si>
  <si>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</si>
  <si>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</si>
  <si>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</si>
  <si>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</si>
  <si>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</si>
  <si>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</si>
  <si>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</si>
  <si>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</si>
  <si>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</si>
  <si>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</si>
  <si>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</si>
  <si>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</si>
  <si>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</si>
  <si>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</si>
  <si>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</si>
  <si>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</si>
  <si>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</si>
  <si>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</si>
  <si>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</si>
  <si>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</si>
  <si>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</si>
  <si>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</si>
  <si>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</si>
  <si>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</si>
  <si>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</si>
  <si>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</si>
  <si>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</si>
  <si>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</si>
  <si>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</si>
  <si>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</si>
  <si>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</si>
  <si>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</si>
  <si>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</si>
  <si>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</si>
  <si>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</si>
  <si>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</si>
  <si>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</si>
  <si>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</si>
  <si>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</si>
  <si>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</si>
  <si>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</si>
  <si>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</si>
  <si>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</si>
  <si>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</si>
  <si>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</si>
  <si>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</si>
  <si>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</si>
  <si>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</si>
  <si>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</si>
  <si>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</si>
  <si>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</si>
  <si>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</si>
  <si>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</si>
  <si>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</si>
  <si>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</si>
  <si>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</si>
  <si>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</si>
  <si>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</si>
  <si>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</si>
  <si>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</si>
  <si>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</si>
  <si>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</si>
  <si>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</si>
  <si>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</si>
  <si>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</si>
  <si>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</si>
  <si>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</si>
  <si>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</si>
  <si>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</si>
  <si>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</si>
  <si>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</si>
  <si>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</si>
  <si>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</si>
  <si>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</si>
  <si>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</si>
  <si>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</si>
  <si>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</si>
  <si>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</si>
  <si>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</si>
  <si>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</si>
  <si>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</si>
  <si>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</si>
  <si>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</si>
  <si>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</si>
  <si>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</si>
  <si>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</si>
  <si>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</si>
  <si>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</si>
  <si>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</si>
  <si>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</si>
  <si>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</si>
  <si>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</si>
  <si>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</si>
  <si>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</si>
  <si>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</si>
  <si>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</si>
  <si>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</si>
  <si>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</si>
  <si>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</si>
  <si>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</si>
  <si>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</si>
  <si>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</si>
  <si>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</si>
  <si>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</si>
  <si>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</si>
  <si>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</si>
  <si>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</si>
  <si>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</si>
  <si>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</si>
  <si>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</si>
  <si>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</si>
  <si>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</si>
  <si>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</si>
  <si>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</si>
  <si>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</si>
  <si>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</si>
  <si>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</si>
  <si>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</si>
  <si>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</si>
  <si>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</si>
  <si>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</si>
  <si>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</si>
  <si>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</si>
  <si>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</si>
  <si>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</si>
  <si>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</si>
  <si>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</si>
  <si>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</si>
  <si>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</si>
  <si>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</si>
  <si>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</si>
  <si>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</si>
  <si>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</si>
  <si>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</si>
  <si>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</si>
  <si>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</si>
  <si>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</si>
  <si>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</si>
  <si>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</si>
  <si>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</si>
  <si>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</si>
  <si>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</si>
  <si>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</si>
  <si>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</si>
  <si>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</si>
  <si>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</si>
  <si>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</si>
  <si>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</si>
  <si>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</si>
  <si>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</si>
  <si>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</si>
  <si>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</si>
  <si>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</si>
  <si>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</si>
  <si>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</si>
  <si>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</si>
  <si>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</si>
  <si>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</si>
  <si>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</si>
  <si>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</si>
  <si>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</si>
  <si>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</si>
  <si>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</si>
  <si>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</si>
  <si>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</si>
  <si>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</si>
  <si>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</si>
  <si>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</si>
  <si>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</si>
  <si>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</si>
  <si>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</si>
  <si>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</si>
  <si>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</si>
  <si>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</si>
  <si>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</si>
  <si>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</si>
  <si>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</si>
  <si>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</si>
  <si>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</si>
  <si>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</si>
  <si>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</si>
  <si>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</si>
  <si>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</si>
  <si>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</si>
  <si>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</si>
  <si>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</si>
  <si>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</si>
  <si>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</si>
  <si>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</si>
  <si>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</si>
  <si>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</si>
  <si>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</si>
  <si>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</si>
  <si>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</si>
  <si>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</si>
  <si>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</si>
  <si>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</si>
  <si>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</si>
  <si>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</si>
  <si>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</si>
  <si>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</si>
  <si>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</si>
  <si>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</si>
  <si>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</si>
  <si>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</si>
  <si>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</si>
  <si>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</si>
  <si>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</si>
  <si>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</si>
  <si>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</si>
  <si>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</si>
  <si>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</si>
  <si>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</si>
  <si>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</si>
  <si>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</si>
  <si>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</si>
  <si>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</si>
  <si>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</si>
  <si>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</si>
  <si>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</si>
  <si>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</si>
  <si>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</si>
  <si>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</si>
  <si>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</si>
  <si>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</si>
  <si>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</si>
  <si>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</si>
  <si>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</si>
  <si>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</si>
  <si>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</si>
  <si>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</si>
  <si>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</si>
  <si>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</si>
  <si>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</si>
  <si>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</si>
  <si>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</si>
  <si>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</si>
  <si>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</si>
  <si>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</si>
  <si>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</si>
  <si>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</si>
  <si>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</si>
  <si>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</si>
  <si>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</si>
  <si>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</si>
  <si>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</si>
  <si>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</si>
  <si>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</si>
  <si>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</si>
  <si>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</si>
  <si>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</si>
  <si>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</si>
  <si>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</si>
  <si>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</si>
  <si>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</si>
  <si>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</si>
  <si>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</si>
  <si>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</si>
  <si>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</si>
  <si>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</si>
  <si>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</si>
  <si>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</si>
  <si>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</si>
  <si>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</si>
  <si>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</si>
  <si>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</si>
  <si>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</si>
  <si>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</si>
  <si>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</si>
  <si>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</si>
  <si>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</si>
  <si>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</si>
  <si>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</si>
  <si>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</si>
  <si>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</si>
  <si>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</si>
  <si>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</si>
  <si>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</si>
  <si>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</si>
  <si>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</si>
  <si>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</si>
  <si>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</si>
  <si>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</si>
  <si>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</si>
  <si>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</si>
  <si>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</si>
  <si>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</si>
  <si>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</si>
  <si>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</si>
  <si>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</si>
  <si>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</si>
  <si>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</si>
  <si>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</si>
  <si>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</si>
  <si>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</si>
  <si>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</si>
  <si>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</si>
  <si>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</si>
  <si>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</si>
  <si>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</si>
  <si>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</si>
  <si>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</si>
  <si>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</si>
  <si>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</si>
  <si>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</si>
  <si>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</si>
  <si>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</si>
  <si>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</si>
  <si>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</si>
  <si>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</si>
  <si>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</si>
  <si>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</si>
  <si>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</si>
  <si>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</si>
  <si>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</si>
  <si>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</si>
  <si>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</si>
  <si>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</si>
  <si>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</si>
  <si>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</si>
  <si>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</si>
  <si>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</si>
  <si>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</si>
  <si>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</si>
  <si>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</si>
  <si>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</si>
  <si>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</si>
  <si>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</si>
  <si>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</si>
  <si>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</si>
  <si>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</si>
  <si>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</si>
  <si>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</si>
  <si>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</si>
  <si>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</si>
  <si>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</si>
  <si>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</si>
  <si>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</si>
  <si>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</si>
  <si>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</si>
  <si>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</si>
  <si>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</si>
  <si>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</si>
  <si>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</si>
  <si>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</si>
  <si>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</si>
  <si>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</si>
  <si>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</si>
  <si>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</si>
  <si>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</si>
  <si>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</si>
  <si>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</si>
  <si>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</si>
  <si>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</si>
  <si>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</si>
  <si>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</si>
  <si>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</si>
  <si>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</si>
  <si>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</si>
  <si>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</si>
  <si>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</si>
  <si>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</si>
  <si>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</si>
  <si>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</si>
  <si>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</si>
  <si>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</si>
  <si>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</si>
  <si>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</si>
  <si>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</si>
  <si>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</si>
  <si>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</si>
  <si>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</si>
  <si>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</si>
  <si>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</si>
  <si>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</si>
  <si>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</si>
  <si>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</si>
  <si>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</si>
  <si>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</si>
  <si>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</si>
  <si>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</si>
  <si>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</si>
  <si>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</si>
  <si>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</si>
  <si>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</si>
  <si>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</si>
  <si>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</si>
  <si>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</si>
  <si>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</si>
  <si>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</si>
  <si>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</si>
  <si>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</si>
  <si>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</si>
  <si>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</si>
  <si>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</si>
  <si>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</si>
  <si>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</si>
  <si>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</si>
  <si>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</si>
  <si>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</si>
  <si>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</si>
  <si>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</si>
  <si>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</si>
  <si>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</si>
  <si>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</si>
  <si>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</si>
  <si>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</si>
  <si>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</si>
  <si>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</si>
  <si>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</si>
  <si>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</si>
  <si>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</si>
  <si>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</si>
  <si>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</si>
  <si>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</si>
  <si>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</si>
  <si>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</si>
  <si>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</si>
  <si>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</si>
  <si>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</si>
  <si>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</si>
  <si>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</si>
  <si>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</si>
  <si>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</si>
  <si>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</si>
  <si>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</si>
  <si>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</si>
  <si>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</si>
  <si>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</si>
  <si>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</si>
  <si>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</si>
  <si>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</si>
  <si>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</si>
  <si>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</si>
  <si>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</si>
  <si>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</si>
  <si>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</si>
  <si>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</si>
  <si>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</si>
  <si>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</si>
  <si>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</si>
  <si>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</si>
  <si>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</si>
  <si>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</si>
  <si>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</si>
  <si>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</si>
  <si>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</si>
  <si>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</si>
  <si>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</si>
  <si>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</si>
  <si>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</si>
  <si>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</si>
  <si>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</si>
  <si>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</si>
  <si>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</si>
  <si>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</si>
  <si>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</si>
  <si>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</si>
  <si>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</si>
  <si>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</si>
  <si>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</si>
  <si>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</si>
  <si>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</si>
  <si>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</si>
  <si>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</si>
  <si>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</si>
  <si>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</si>
  <si>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</si>
  <si>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</si>
  <si>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</si>
  <si>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</si>
  <si>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</si>
  <si>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</si>
  <si>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</si>
  <si>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</si>
  <si>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</si>
  <si>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</si>
  <si>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</si>
  <si>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</si>
  <si>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</si>
  <si>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</si>
  <si>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</si>
  <si>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</si>
  <si>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</si>
  <si>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</si>
  <si>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</si>
  <si>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</si>
  <si>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</si>
  <si>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</si>
  <si>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</si>
  <si>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</si>
  <si>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</si>
  <si>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</si>
  <si>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</si>
  <si>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</si>
  <si>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</si>
  <si>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</si>
  <si>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</si>
  <si>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</si>
  <si>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</si>
  <si>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</si>
  <si>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</si>
  <si>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</si>
  <si>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</si>
  <si>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</si>
  <si>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</si>
  <si>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</si>
  <si>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</si>
  <si>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</si>
  <si>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</si>
  <si>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</si>
  <si>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</si>
  <si>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</si>
  <si>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</si>
  <si>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</si>
  <si>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</si>
  <si>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</si>
  <si>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</si>
  <si>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</si>
  <si>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</si>
  <si>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</si>
  <si>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</si>
  <si>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</si>
  <si>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</si>
  <si>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</si>
  <si>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</si>
  <si>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</si>
  <si>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</si>
  <si>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</si>
  <si>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</si>
  <si>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</si>
  <si>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</si>
  <si>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</si>
  <si>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</si>
  <si>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</si>
  <si>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</si>
  <si>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</si>
  <si>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</si>
  <si>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</si>
  <si>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</si>
  <si>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</si>
  <si>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</si>
  <si>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</si>
  <si>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</si>
  <si>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</si>
  <si>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</si>
  <si>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</si>
  <si>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</si>
  <si>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</si>
  <si>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</si>
  <si>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</si>
  <si>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</si>
  <si>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</si>
  <si>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</si>
  <si>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</si>
  <si>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</si>
  <si>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</si>
  <si>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</si>
  <si>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</si>
  <si>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</si>
  <si>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</si>
  <si>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</si>
  <si>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</si>
  <si>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</si>
  <si>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</si>
  <si>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</si>
  <si>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</si>
  <si>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</si>
  <si>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</si>
  <si>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</si>
  <si>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</si>
  <si>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</si>
  <si>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</si>
  <si>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</si>
  <si>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</si>
  <si>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</si>
  <si>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</si>
  <si>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</si>
  <si>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</si>
  <si>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</si>
  <si>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</si>
  <si>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</si>
  <si>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</si>
  <si>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</si>
  <si>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</si>
  <si>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</si>
  <si>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</si>
  <si>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</si>
  <si>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</si>
  <si>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</si>
  <si>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</si>
  <si>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</si>
  <si>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</si>
  <si>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</si>
  <si>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</si>
  <si>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</si>
  <si>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</si>
  <si>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</si>
  <si>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</si>
  <si>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</si>
  <si>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</si>
  <si>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</si>
  <si>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</si>
  <si>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</si>
  <si>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</si>
  <si>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</si>
  <si>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</si>
  <si>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</si>
  <si>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</si>
  <si>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</si>
  <si>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</si>
  <si>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</si>
  <si>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</si>
  <si>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</si>
  <si>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</si>
  <si>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</si>
  <si>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</si>
  <si>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</si>
  <si>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</si>
  <si>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</si>
  <si>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</si>
  <si>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</si>
  <si>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</si>
  <si>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</si>
  <si>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</si>
  <si>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</si>
  <si>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</si>
  <si>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</si>
  <si>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</si>
  <si>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</si>
  <si>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</si>
  <si>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</si>
  <si>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</si>
  <si>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</si>
  <si>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</si>
  <si>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</si>
  <si>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</si>
  <si>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</si>
  <si>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</si>
  <si>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</si>
  <si>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</si>
  <si>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</si>
  <si>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</si>
  <si>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</si>
  <si>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</si>
  <si>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</si>
  <si>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</si>
  <si>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</si>
  <si>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</si>
  <si>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</si>
  <si>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</si>
  <si>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</si>
  <si>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</si>
  <si>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</si>
  <si>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</si>
  <si>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</si>
  <si>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</si>
  <si>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</si>
  <si>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</si>
  <si>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</si>
  <si>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</si>
  <si>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</si>
  <si>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</si>
  <si>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</si>
  <si>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</si>
  <si>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</si>
  <si>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</si>
  <si>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</si>
  <si>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</si>
  <si>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</si>
  <si>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</si>
  <si>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</si>
  <si>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</si>
  <si>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</si>
  <si>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</si>
  <si>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</si>
  <si>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</si>
  <si>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</si>
  <si>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</si>
  <si>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</si>
  <si>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</si>
  <si>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</si>
  <si>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</si>
  <si>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</si>
  <si>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</si>
  <si>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</si>
  <si>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</si>
  <si>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</si>
  <si>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</si>
  <si>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</si>
  <si>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</si>
  <si>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</si>
  <si>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</si>
  <si>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</si>
  <si>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</si>
  <si>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</si>
  <si>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</si>
  <si>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</si>
  <si>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</si>
  <si>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</si>
  <si>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</si>
  <si>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</si>
  <si>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</si>
  <si>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</si>
  <si>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</si>
  <si>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</si>
  <si>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</si>
  <si>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</si>
  <si>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</si>
  <si>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</si>
  <si>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</si>
  <si>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</si>
  <si>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</si>
  <si>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</si>
  <si>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</si>
  <si>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</si>
  <si>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</si>
  <si>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</si>
  <si>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</si>
  <si>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</si>
  <si>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</si>
  <si>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</si>
  <si>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</si>
  <si>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</si>
  <si>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</si>
  <si>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</si>
  <si>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</si>
  <si>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</si>
  <si>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</si>
  <si>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</si>
  <si>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</si>
  <si>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</si>
  <si>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</si>
  <si>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</si>
  <si>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</si>
  <si>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</si>
  <si>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</si>
  <si>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</si>
  <si>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</si>
  <si>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</si>
  <si>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</si>
  <si>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</si>
  <si>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</si>
  <si>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</si>
  <si>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</si>
  <si>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</si>
  <si>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</si>
  <si>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</si>
  <si>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</si>
  <si>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</si>
  <si>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</si>
  <si>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</si>
  <si>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</si>
  <si>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</si>
  <si>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</si>
  <si>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</si>
  <si>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</si>
  <si>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</si>
  <si>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</si>
  <si>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</si>
  <si>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</si>
  <si>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</si>
  <si>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</si>
  <si>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</si>
  <si>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</si>
  <si>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</si>
  <si>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</si>
  <si>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</si>
  <si>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</si>
  <si>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</si>
  <si>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</si>
  <si>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</si>
  <si>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</si>
  <si>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</si>
  <si>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</si>
  <si>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</si>
  <si>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</si>
  <si>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</si>
  <si>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</si>
  <si>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</si>
  <si>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</si>
  <si>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</si>
  <si>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</si>
  <si>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</si>
  <si>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</si>
  <si>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</si>
  <si>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</si>
  <si>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</si>
  <si>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</si>
  <si>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</si>
  <si>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</si>
  <si>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</si>
  <si>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</si>
  <si>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</si>
  <si>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</si>
  <si>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</si>
  <si>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</si>
  <si>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</si>
  <si>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</si>
  <si>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</si>
  <si>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</si>
  <si>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</si>
  <si>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</si>
  <si>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</si>
  <si>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</si>
  <si>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</si>
  <si>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</si>
  <si>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</si>
  <si>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</si>
  <si>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</si>
  <si>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</si>
  <si>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</si>
  <si>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</si>
  <si>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</si>
  <si>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</si>
  <si>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</si>
  <si>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</si>
  <si>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</si>
  <si>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</si>
  <si>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</si>
  <si>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</si>
  <si>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</si>
  <si>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</si>
  <si>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</si>
  <si>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</si>
  <si>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</si>
  <si>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</si>
  <si>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</si>
  <si>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</si>
  <si>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</si>
  <si>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</si>
  <si>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</si>
  <si>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</si>
  <si>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</si>
  <si>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</si>
  <si>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</si>
  <si>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</si>
  <si>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</si>
  <si>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</si>
  <si>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</si>
  <si>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</si>
  <si>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</si>
  <si>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</si>
  <si>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</si>
  <si>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</si>
  <si>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</si>
  <si>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</si>
  <si>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</si>
  <si>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</si>
  <si>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</si>
  <si>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</si>
  <si>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</si>
  <si>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</si>
  <si>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</si>
  <si>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</si>
  <si>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</si>
  <si>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</si>
  <si>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</si>
  <si>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</si>
  <si>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</si>
  <si>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</si>
  <si>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</si>
  <si>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</si>
  <si>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</si>
  <si>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</si>
  <si>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</si>
  <si>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</si>
  <si>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</si>
  <si>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</si>
  <si>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</si>
  <si>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</si>
  <si>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</si>
  <si>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</si>
  <si>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</si>
  <si>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</si>
  <si>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</si>
  <si>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</si>
  <si>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</si>
  <si>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</si>
  <si>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</si>
  <si>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</si>
  <si>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</si>
  <si>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</si>
  <si>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</si>
  <si>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</si>
  <si>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</si>
  <si>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</si>
  <si>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</si>
  <si>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</si>
  <si>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</si>
  <si>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</si>
  <si>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</si>
  <si>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</si>
  <si>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</si>
  <si>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</si>
  <si>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</si>
  <si>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</si>
  <si>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</si>
  <si>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</si>
  <si>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</si>
  <si>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</si>
  <si>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</si>
  <si>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</si>
  <si>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</si>
  <si>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</si>
  <si>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</si>
  <si>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</si>
  <si>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</si>
  <si>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</si>
  <si>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</si>
  <si>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</si>
  <si>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</si>
  <si>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</si>
  <si>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</si>
  <si>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</si>
  <si>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</si>
  <si>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</si>
  <si>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</si>
  <si>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</si>
  <si>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</si>
  <si>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</si>
  <si>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</si>
  <si>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</si>
  <si>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</si>
  <si>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</si>
  <si>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</si>
  <si>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</si>
  <si>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</si>
  <si>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</si>
  <si>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</si>
  <si>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</si>
  <si>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</si>
  <si>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</si>
  <si>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</si>
  <si>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</si>
  <si>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</si>
  <si>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</si>
  <si>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</si>
  <si>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</si>
  <si>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</si>
  <si>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</si>
  <si>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</si>
  <si>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</si>
  <si>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</si>
  <si>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</si>
  <si>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</si>
  <si>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</si>
  <si>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</si>
  <si>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</si>
  <si>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</si>
  <si>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</si>
  <si>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</si>
  <si>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</si>
  <si>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</si>
  <si>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</si>
  <si>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</si>
  <si>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</si>
  <si>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</si>
  <si>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</si>
  <si>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</si>
  <si>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</si>
  <si>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</si>
  <si>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</si>
  <si>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</si>
  <si>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</si>
  <si>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</si>
  <si>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</si>
  <si>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</si>
  <si>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</si>
  <si>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</si>
  <si>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</si>
  <si>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</si>
  <si>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</si>
  <si>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</si>
  <si>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</si>
  <si>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</si>
  <si>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</si>
  <si>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</si>
  <si>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</si>
  <si>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</si>
  <si>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</si>
  <si>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</si>
  <si>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</si>
  <si>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</si>
  <si>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</si>
  <si>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</si>
  <si>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</si>
  <si>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</si>
  <si>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</si>
  <si>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</si>
  <si>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</si>
  <si>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</si>
  <si>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</si>
  <si>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</si>
  <si>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</si>
  <si>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</si>
  <si>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</si>
  <si>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</si>
  <si>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</si>
  <si>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</si>
  <si>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</si>
  <si>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</si>
  <si>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</si>
  <si>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</si>
  <si>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</si>
  <si>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</si>
  <si>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</si>
  <si>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</si>
  <si>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</si>
  <si>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</si>
  <si>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</si>
  <si>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</si>
  <si>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</si>
  <si>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</si>
  <si>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</si>
  <si>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</si>
  <si>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</si>
  <si>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</si>
  <si>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</si>
  <si>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</si>
  <si>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</si>
  <si>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</si>
  <si>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</si>
  <si>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</si>
  <si>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</si>
  <si>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</si>
  <si>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</si>
  <si>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</si>
  <si>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</si>
  <si>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</si>
  <si>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</si>
  <si>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</si>
  <si>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</si>
  <si>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</si>
  <si>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</si>
  <si>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</si>
  <si>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</si>
  <si>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</si>
  <si>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</si>
  <si>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</si>
  <si>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</si>
  <si>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</si>
  <si>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</si>
  <si>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</si>
  <si>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</si>
  <si>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</si>
  <si>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</si>
  <si>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</si>
  <si>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</si>
  <si>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</si>
  <si>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</si>
  <si>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</si>
  <si>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</si>
  <si>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</si>
  <si>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</si>
  <si>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</si>
  <si>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</si>
  <si>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</si>
  <si>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</si>
  <si>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</si>
  <si>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</si>
  <si>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</si>
  <si>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</si>
  <si>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</si>
  <si>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</si>
  <si>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</si>
  <si>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</si>
  <si>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</si>
  <si>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</si>
  <si>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</si>
  <si>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</si>
  <si>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</si>
  <si>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</si>
  <si>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</si>
  <si>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</si>
  <si>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</si>
  <si>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</si>
  <si>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</si>
  <si>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</si>
  <si>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</si>
  <si>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</si>
  <si>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</si>
  <si>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</si>
  <si>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</si>
  <si>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</si>
  <si>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</si>
  <si>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</si>
  <si>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</si>
  <si>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</si>
  <si>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</si>
  <si>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</si>
  <si>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</si>
  <si>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</si>
  <si>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</si>
  <si>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</si>
  <si>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</si>
  <si>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</si>
  <si>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</si>
  <si>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</si>
  <si>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</si>
  <si>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</si>
  <si>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</si>
  <si>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</si>
  <si>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</si>
  <si>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</si>
  <si>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</si>
  <si>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</si>
  <si>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</si>
  <si>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</si>
  <si>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</si>
  <si>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</si>
  <si>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</si>
  <si>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</si>
  <si>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</si>
  <si>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</si>
  <si>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</si>
  <si>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</si>
  <si>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</si>
  <si>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</si>
  <si>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</si>
  <si>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</si>
  <si>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</si>
  <si>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</si>
  <si>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</si>
  <si>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</si>
  <si>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</si>
  <si>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</si>
  <si>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</si>
  <si>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</si>
  <si>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</si>
  <si>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</si>
  <si>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</si>
  <si>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</si>
  <si>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</si>
  <si>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</si>
  <si>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</si>
  <si>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</si>
  <si>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</si>
  <si>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</si>
  <si>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</si>
  <si>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</si>
  <si>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</si>
  <si>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</si>
  <si>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</si>
  <si>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</si>
  <si>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</si>
  <si>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</si>
  <si>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</si>
  <si>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</si>
  <si>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</si>
  <si>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</si>
  <si>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</si>
  <si>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</si>
  <si>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</si>
  <si>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</si>
  <si>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</si>
  <si>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</si>
  <si>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</si>
  <si>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</si>
  <si>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</si>
  <si>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</si>
  <si>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</si>
  <si>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</si>
  <si>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</si>
  <si>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</si>
  <si>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</si>
  <si>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</si>
  <si>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</si>
  <si>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</si>
  <si>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</si>
  <si>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</si>
  <si>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</si>
  <si>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</si>
  <si>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</si>
  <si>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</si>
  <si>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</si>
  <si>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</si>
  <si>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</si>
  <si>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</si>
  <si>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</si>
  <si>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</si>
  <si>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</si>
  <si>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</si>
  <si>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</si>
  <si>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</si>
  <si>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</si>
  <si>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</si>
  <si>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</si>
  <si>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</si>
  <si>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</si>
  <si>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</si>
  <si>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</si>
  <si>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</si>
  <si>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</si>
  <si>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</si>
  <si>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</si>
  <si>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</si>
  <si>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</si>
  <si>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</si>
  <si>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</si>
  <si>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</si>
  <si>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</si>
  <si>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</si>
  <si>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</si>
  <si>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</si>
  <si>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</si>
  <si>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</si>
  <si>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</si>
  <si>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</si>
  <si>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</si>
  <si>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</si>
  <si>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</si>
  <si>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</si>
  <si>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</si>
  <si>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</si>
  <si>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</si>
  <si>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</si>
  <si>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</si>
  <si>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</si>
  <si>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</si>
  <si>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</si>
  <si>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</si>
  <si>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</si>
  <si>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</si>
  <si>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</si>
  <si>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</si>
  <si>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</si>
  <si>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</si>
  <si>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</si>
  <si>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</si>
  <si>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</si>
  <si>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</si>
  <si>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</si>
  <si>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</si>
  <si>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</si>
  <si>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</si>
  <si>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</si>
  <si>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</si>
  <si>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</si>
  <si>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</si>
  <si>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</si>
  <si>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</si>
  <si>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</si>
  <si>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</si>
  <si>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</si>
  <si>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</si>
  <si>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</si>
  <si>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</si>
  <si>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</si>
  <si>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</si>
  <si>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</si>
  <si>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</si>
  <si>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</si>
  <si>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</si>
  <si>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</si>
  <si>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</si>
  <si>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</si>
  <si>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</si>
  <si>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</si>
  <si>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</si>
  <si>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</si>
  <si>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</si>
  <si>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</si>
  <si>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</si>
  <si>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</si>
  <si>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</si>
  <si>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</si>
  <si>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</si>
  <si>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</si>
  <si>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</si>
  <si>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</si>
  <si>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</si>
  <si>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</si>
  <si>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</si>
  <si>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</si>
  <si>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</si>
  <si>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</si>
  <si>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</si>
  <si>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</si>
  <si>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</si>
  <si>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</si>
  <si>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</si>
  <si>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</si>
  <si>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</si>
  <si>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</si>
  <si>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</si>
  <si>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</si>
  <si>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</si>
  <si>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</si>
  <si>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</si>
  <si>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</si>
  <si>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</si>
  <si>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</si>
  <si>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</si>
  <si>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</si>
  <si>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</si>
  <si>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</si>
  <si>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</si>
  <si>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</si>
  <si>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</si>
  <si>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</si>
  <si>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</si>
  <si>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</si>
  <si>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</si>
  <si>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</si>
  <si>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</si>
  <si>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</si>
  <si>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</si>
  <si>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</si>
  <si>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</si>
  <si>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</si>
  <si>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</si>
  <si>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</si>
  <si>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</si>
  <si>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</si>
  <si>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</si>
  <si>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</si>
  <si>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</si>
  <si>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</si>
  <si>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</si>
  <si>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</si>
  <si>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</si>
  <si>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</si>
  <si>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</si>
  <si>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</si>
  <si>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</si>
  <si>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</si>
  <si>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</si>
  <si>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</si>
  <si>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</si>
  <si>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</si>
  <si>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</si>
  <si>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</si>
  <si>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</si>
  <si>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</si>
  <si>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</si>
  <si>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</si>
  <si>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</si>
  <si>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</si>
  <si>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</si>
  <si>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</si>
  <si>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</si>
  <si>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</si>
  <si>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</si>
  <si>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</si>
  <si>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</si>
  <si>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</si>
  <si>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</si>
  <si>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</si>
  <si>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</si>
  <si>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</si>
  <si>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</si>
  <si>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</si>
  <si>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</si>
  <si>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</si>
  <si>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</si>
  <si>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</si>
  <si>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</si>
  <si>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</si>
  <si>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</si>
  <si>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</si>
  <si>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</si>
  <si>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</si>
  <si>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</si>
  <si>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</si>
  <si>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</si>
  <si>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</si>
  <si>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</si>
  <si>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</si>
  <si>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</si>
  <si>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</si>
  <si>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</si>
  <si>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</si>
  <si>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</si>
  <si>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</si>
  <si>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</si>
  <si>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</si>
  <si>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</si>
  <si>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</si>
  <si>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</si>
  <si>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</si>
  <si>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</si>
  <si>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</si>
  <si>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</si>
  <si>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</si>
  <si>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</si>
  <si>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</si>
  <si>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</si>
  <si>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</si>
  <si>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</si>
  <si>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</si>
  <si>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</si>
  <si>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</si>
  <si>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</si>
  <si>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</si>
  <si>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</si>
  <si>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</si>
  <si>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</si>
  <si>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</si>
  <si>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</si>
  <si>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</si>
  <si>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</si>
  <si>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</si>
  <si>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</si>
  <si>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</si>
  <si>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</si>
  <si>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</si>
  <si>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</si>
  <si>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</si>
  <si>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</si>
  <si>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</si>
  <si>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</si>
  <si>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</si>
  <si>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</si>
  <si>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</si>
  <si>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</si>
  <si>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</si>
  <si>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</si>
  <si>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</si>
  <si>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</si>
  <si>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</si>
  <si>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</si>
  <si>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</si>
  <si>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</si>
  <si>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</si>
  <si>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</si>
  <si>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</si>
  <si>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</si>
  <si>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</si>
  <si>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</si>
  <si>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</si>
  <si>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</si>
  <si>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</si>
  <si>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</si>
  <si>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</si>
  <si>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</si>
  <si>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</si>
  <si>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</si>
  <si>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</si>
  <si>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</si>
  <si>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</si>
  <si>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</si>
  <si>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</si>
  <si>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</si>
  <si>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</si>
  <si>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</si>
  <si>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</si>
  <si>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</si>
  <si>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</si>
  <si>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</si>
  <si>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</si>
  <si>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</si>
  <si>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</si>
  <si>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</si>
  <si>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</si>
  <si>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</si>
  <si>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</si>
  <si>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</si>
  <si>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</si>
  <si>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</si>
  <si>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</si>
  <si>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</si>
  <si>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</si>
  <si>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</si>
  <si>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</si>
  <si>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</si>
  <si>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</si>
  <si>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</si>
  <si>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</si>
  <si>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</si>
  <si>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</si>
  <si>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</si>
  <si>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</si>
  <si>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</si>
  <si>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</si>
  <si>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</si>
  <si>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</si>
  <si>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</si>
  <si>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</si>
  <si>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</si>
  <si>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</si>
  <si>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</si>
  <si>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</si>
  <si>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</si>
  <si>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</si>
  <si>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</si>
  <si>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</si>
  <si>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</si>
  <si>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</si>
  <si>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</si>
  <si>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</si>
  <si>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</si>
  <si>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</si>
  <si>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</si>
  <si>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</si>
  <si>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</si>
  <si>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</si>
  <si>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</si>
  <si>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</si>
  <si>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</si>
  <si>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</si>
  <si>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</si>
  <si>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</si>
  <si>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</si>
  <si>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</si>
  <si>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</si>
  <si>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</si>
  <si>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</si>
  <si>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</si>
  <si>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</si>
  <si>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</si>
  <si>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</si>
  <si>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</si>
  <si>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</si>
  <si>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</si>
  <si>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</si>
  <si>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</si>
  <si>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</si>
  <si>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</si>
  <si>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</si>
  <si>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</si>
  <si>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</si>
  <si>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</si>
  <si>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</si>
  <si>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</si>
  <si>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</si>
  <si>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</si>
  <si>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</si>
  <si>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</si>
  <si>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</si>
  <si>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</si>
  <si>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</si>
  <si>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</si>
  <si>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</si>
  <si>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</si>
  <si>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</si>
  <si>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</si>
  <si>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</si>
  <si>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</si>
  <si>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</si>
  <si>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</si>
  <si>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</si>
  <si>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</si>
  <si>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</si>
  <si>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</si>
  <si>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</si>
  <si>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</si>
  <si>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</si>
  <si>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</si>
  <si>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</si>
  <si>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</si>
  <si>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</si>
  <si>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</si>
  <si>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</si>
  <si>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</si>
  <si>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</si>
  <si>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</si>
  <si>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</si>
  <si>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</si>
  <si>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</si>
  <si>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</si>
  <si>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</si>
  <si>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</si>
  <si>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</si>
  <si>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</si>
  <si>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</si>
  <si>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</si>
  <si>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</si>
  <si>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</si>
  <si>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</si>
  <si>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</si>
  <si>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</si>
  <si>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</si>
  <si>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</si>
  <si>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</si>
  <si>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</si>
  <si>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</si>
  <si>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</si>
  <si>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</si>
  <si>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</si>
  <si>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</si>
  <si>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</si>
  <si>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</si>
  <si>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</si>
  <si>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</si>
  <si>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</si>
  <si>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</si>
  <si>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</si>
  <si>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</si>
  <si>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</si>
  <si>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</si>
  <si>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</si>
  <si>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</si>
  <si>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</si>
  <si>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</si>
  <si>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</si>
  <si>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</si>
  <si>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</si>
  <si>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</si>
  <si>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</si>
  <si>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</si>
  <si>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</si>
  <si>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</si>
  <si>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</si>
  <si>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</si>
  <si>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</si>
  <si>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</si>
  <si>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</si>
  <si>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</si>
  <si>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</si>
  <si>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</si>
  <si>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</si>
  <si>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</si>
  <si>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</si>
  <si>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</si>
  <si>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</si>
  <si>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</si>
  <si>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</si>
  <si>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</si>
  <si>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</si>
  <si>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</si>
  <si>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</si>
  <si>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</si>
  <si>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</si>
  <si>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</si>
  <si>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</si>
  <si>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</si>
  <si>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</si>
  <si>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</si>
  <si>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</si>
  <si>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</si>
  <si>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</si>
  <si>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</si>
  <si>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</si>
  <si>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</si>
  <si>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</si>
  <si>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</si>
  <si>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</si>
  <si>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</si>
  <si>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</si>
  <si>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</si>
  <si>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</si>
  <si>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</si>
  <si>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</si>
  <si>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</si>
  <si>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</si>
  <si>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</si>
  <si>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</si>
  <si>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</si>
  <si>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</si>
  <si>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</si>
  <si>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</si>
  <si>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</si>
  <si>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</si>
  <si>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</si>
  <si>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</si>
  <si>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</si>
  <si>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</si>
  <si>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</si>
  <si>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</si>
  <si>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</si>
  <si>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</si>
  <si>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</si>
  <si>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</si>
  <si>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</si>
  <si>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</si>
  <si>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</si>
  <si>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</si>
  <si>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</si>
  <si>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</si>
  <si>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</si>
  <si>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</si>
  <si>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</si>
  <si>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</si>
  <si>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</si>
  <si>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</si>
  <si>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</si>
  <si>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</si>
  <si>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</si>
  <si>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</si>
  <si>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</si>
  <si>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</si>
  <si>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</si>
  <si>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</si>
  <si>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</si>
  <si>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</si>
  <si>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</si>
  <si>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</si>
  <si>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</si>
  <si>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</si>
  <si>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</si>
  <si>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</si>
  <si>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</si>
  <si>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</si>
  <si>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</si>
  <si>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</si>
  <si>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</si>
  <si>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</si>
  <si>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</si>
  <si>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</si>
  <si>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</si>
  <si>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</si>
  <si>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</si>
  <si>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</si>
  <si>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</si>
  <si>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</si>
  <si>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</si>
  <si>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</si>
  <si>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</si>
  <si>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</si>
  <si>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</si>
  <si>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</si>
  <si>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</si>
  <si>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</si>
  <si>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</si>
  <si>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</si>
  <si>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</si>
  <si>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</si>
  <si>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</si>
  <si>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</si>
  <si>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</si>
  <si>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</si>
  <si>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</si>
  <si>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</si>
  <si>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</si>
  <si>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</si>
  <si>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</si>
  <si>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</si>
  <si>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</si>
  <si>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</si>
  <si>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</si>
  <si>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</si>
  <si>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</si>
  <si>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</si>
  <si>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</si>
  <si>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</si>
  <si>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</si>
  <si>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</si>
  <si>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</si>
  <si>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</si>
  <si>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</si>
  <si>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</si>
  <si>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</si>
  <si>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</si>
  <si>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</si>
  <si>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</si>
  <si>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</si>
  <si>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</si>
  <si>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</si>
  <si>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</si>
  <si>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</si>
  <si>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</si>
  <si>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</si>
  <si>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</si>
  <si>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</si>
  <si>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</si>
  <si>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</si>
  <si>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</si>
  <si>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</si>
  <si>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</si>
  <si>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</si>
  <si>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</si>
  <si>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</si>
  <si>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</si>
  <si>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</si>
  <si>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</si>
  <si>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</si>
  <si>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</si>
  <si>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</si>
  <si>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</si>
  <si>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</si>
  <si>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</si>
  <si>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</si>
  <si>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</si>
  <si>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</si>
  <si>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</si>
  <si>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</si>
  <si>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</si>
  <si>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</si>
  <si>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</si>
  <si>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</si>
  <si>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</si>
  <si>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</si>
  <si>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</si>
  <si>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</si>
  <si>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</si>
  <si>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</si>
  <si>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</si>
  <si>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</si>
  <si>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</si>
  <si>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</si>
  <si>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</si>
  <si>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</si>
  <si>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</si>
  <si>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</si>
  <si>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</si>
  <si>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</si>
  <si>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</si>
  <si>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</si>
  <si>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</si>
  <si>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</si>
  <si>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</si>
  <si>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</si>
  <si>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</si>
  <si>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</si>
  <si>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</si>
  <si>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</si>
  <si>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</si>
  <si>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</si>
  <si>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</si>
  <si>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</si>
  <si>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</si>
  <si>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</si>
  <si>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</si>
  <si>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</si>
  <si>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</si>
  <si>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</si>
  <si>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</si>
  <si>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</si>
  <si>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</si>
  <si>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</si>
  <si>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</si>
  <si>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</si>
  <si>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</si>
  <si>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</si>
  <si>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</si>
  <si>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</si>
  <si>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</si>
  <si>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</si>
  <si>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</si>
  <si>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</si>
  <si>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</si>
  <si>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</si>
  <si>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</si>
  <si>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</si>
  <si>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</si>
  <si>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</si>
  <si>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</si>
  <si>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</si>
  <si>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</si>
  <si>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</si>
  <si>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</si>
  <si>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</si>
  <si>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</si>
  <si>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金辉优步湖畔</t>
    <phoneticPr fontId="3" type="noConversion"/>
  </si>
  <si>
    <t>高新五路与惠仁道交口渤龙湖市民广场北侧</t>
    <phoneticPr fontId="3" type="noConversion"/>
  </si>
  <si>
    <t>王鹏</t>
  </si>
  <si>
    <t>郑燚</t>
  </si>
  <si>
    <t>中诚信托有限责任公司</t>
    <phoneticPr fontId="6" type="noConversion"/>
  </si>
  <si>
    <t>抵押价格</t>
  </si>
  <si>
    <t>其他：</t>
  </si>
  <si>
    <t>企业</t>
  </si>
  <si>
    <t>天津市</t>
  </si>
  <si>
    <t>天津市滨海高新区滨海科技园（宗地编号：津滨高（挂）2019-1号）一宗城镇住宅、商服用地</t>
    <phoneticPr fontId="6" type="noConversion"/>
  </si>
  <si>
    <t>天津国能生活服务有限责任公司</t>
  </si>
  <si>
    <t>天津国能生活服务有限责任公司</t>
    <phoneticPr fontId="6" type="noConversion"/>
  </si>
  <si>
    <t>城镇住宅、商服用地</t>
  </si>
  <si>
    <t>城镇住宅、商服用地</t>
    <phoneticPr fontId="6" type="noConversion"/>
  </si>
  <si>
    <t>一致</t>
  </si>
  <si>
    <t>商业</t>
  </si>
  <si>
    <t>宗地内已开工建设</t>
  </si>
  <si>
    <t>平整</t>
  </si>
  <si>
    <t>通路</t>
  </si>
  <si>
    <t>通电</t>
  </si>
  <si>
    <t>通讯</t>
  </si>
  <si>
    <t>通上水</t>
  </si>
  <si>
    <t>通下水</t>
  </si>
  <si>
    <t>通热</t>
  </si>
  <si>
    <t>燃气</t>
  </si>
  <si>
    <t>请录依据文件名称：天津|城市基础设施配套费纳入政府性基金管理|津财综〔2017〕154号
文号：津财综〔2017〕154号
https://www.dulifei.com/standard/detail/1607</t>
    <phoneticPr fontId="3" type="noConversion"/>
  </si>
  <si>
    <t>地上</t>
  </si>
  <si>
    <t xml:space="preserve"> </t>
  </si>
  <si>
    <t>占地面积</t>
    <phoneticPr fontId="3" type="noConversion"/>
  </si>
  <si>
    <t>住宅建筑面积</t>
    <phoneticPr fontId="3" type="noConversion"/>
  </si>
  <si>
    <t>住宅</t>
    <phoneticPr fontId="7" type="noConversion"/>
  </si>
  <si>
    <t>商业</t>
    <phoneticPr fontId="7" type="noConversion"/>
  </si>
  <si>
    <t>地下车库</t>
    <phoneticPr fontId="7" type="noConversion"/>
  </si>
  <si>
    <t>地下</t>
  </si>
  <si>
    <t>车库</t>
  </si>
  <si>
    <t>省会市名称</t>
  </si>
  <si>
    <t>建筑型式</t>
  </si>
  <si>
    <t>说明</t>
  </si>
  <si>
    <t>多层</t>
  </si>
  <si>
    <t>小高层</t>
  </si>
  <si>
    <t>高层</t>
  </si>
  <si>
    <r>
      <rPr>
        <sz val="10"/>
        <rFont val="宋体"/>
        <family val="3"/>
        <charset val="134"/>
      </rPr>
      <t>天津</t>
    </r>
  </si>
  <si>
    <t>2247</t>
  </si>
  <si>
    <t>2741</t>
  </si>
  <si>
    <t>2959</t>
  </si>
  <si>
    <r>
      <t>1.</t>
    </r>
    <r>
      <rPr>
        <sz val="10"/>
        <rFont val="宋体"/>
        <family val="3"/>
        <charset val="134"/>
      </rPr>
      <t>计价方式说明
以上价格采用营改增后简易计税法计价，如采用营改增后一般计税法计价，相应造价为，多层建筑：</t>
    </r>
    <r>
      <rPr>
        <sz val="10"/>
        <rFont val="Arial"/>
        <family val="2"/>
      </rPr>
      <t>2259.05</t>
    </r>
    <r>
      <rPr>
        <sz val="10"/>
        <rFont val="宋体"/>
        <family val="3"/>
        <charset val="134"/>
      </rPr>
      <t>元</t>
    </r>
    <r>
      <rPr>
        <sz val="10"/>
        <rFont val="Arial"/>
        <family val="2"/>
      </rPr>
      <t>/ m2</t>
    </r>
    <r>
      <rPr>
        <sz val="10"/>
        <rFont val="宋体"/>
        <family val="3"/>
        <charset val="134"/>
      </rPr>
      <t>，小高层建筑</t>
    </r>
    <r>
      <rPr>
        <sz val="10"/>
        <rFont val="Arial"/>
        <family val="2"/>
      </rPr>
      <t>2662.61</t>
    </r>
    <r>
      <rPr>
        <sz val="10"/>
        <rFont val="宋体"/>
        <family val="3"/>
        <charset val="134"/>
      </rPr>
      <t>元</t>
    </r>
    <r>
      <rPr>
        <sz val="10"/>
        <rFont val="Arial"/>
        <family val="2"/>
      </rPr>
      <t>/ m2</t>
    </r>
    <r>
      <rPr>
        <sz val="10"/>
        <rFont val="宋体"/>
        <family val="3"/>
        <charset val="134"/>
      </rPr>
      <t>，高层建筑</t>
    </r>
    <r>
      <rPr>
        <sz val="10"/>
        <rFont val="Arial"/>
        <family val="2"/>
      </rPr>
      <t>3068.03</t>
    </r>
    <r>
      <rPr>
        <sz val="10"/>
        <rFont val="宋体"/>
        <family val="3"/>
        <charset val="134"/>
      </rPr>
      <t>元</t>
    </r>
    <r>
      <rPr>
        <sz val="11"/>
        <color theme="1"/>
        <rFont val="宋体"/>
        <family val="3"/>
        <charset val="134"/>
        <scheme val="minor"/>
      </rPr>
      <t>/</t>
    </r>
    <r>
      <rPr>
        <sz val="10"/>
        <rFont val="Arial"/>
        <family val="2"/>
      </rPr>
      <t>m2</t>
    </r>
    <r>
      <rPr>
        <sz val="10"/>
        <rFont val="宋体"/>
        <family val="3"/>
        <charset val="134"/>
      </rPr>
      <t xml:space="preserve">。
</t>
    </r>
    <r>
      <rPr>
        <sz val="10"/>
        <rFont val="Arial"/>
        <family val="2"/>
      </rPr>
      <t>2.</t>
    </r>
    <r>
      <rPr>
        <sz val="10"/>
        <rFont val="宋体"/>
        <family val="3"/>
        <charset val="134"/>
      </rPr>
      <t>价格要素说明
工程材料价格依据</t>
    </r>
    <r>
      <rPr>
        <sz val="10"/>
        <rFont val="Arial"/>
        <family val="2"/>
      </rPr>
      <t>2019</t>
    </r>
    <r>
      <rPr>
        <sz val="10"/>
        <rFont val="宋体"/>
        <family val="3"/>
        <charset val="134"/>
      </rPr>
      <t>年《天津工程造价信息》</t>
    </r>
    <r>
      <rPr>
        <sz val="10"/>
        <rFont val="Arial"/>
        <family val="2"/>
      </rPr>
      <t>4</t>
    </r>
    <r>
      <rPr>
        <sz val="10"/>
        <rFont val="宋体"/>
        <family val="3"/>
        <charset val="134"/>
      </rPr>
      <t>月份综合价格计算。其中，</t>
    </r>
    <r>
      <rPr>
        <sz val="10"/>
        <rFont val="Arial"/>
        <family val="2"/>
      </rPr>
      <t>C30</t>
    </r>
    <r>
      <rPr>
        <sz val="10"/>
        <rFont val="宋体"/>
        <family val="3"/>
        <charset val="134"/>
      </rPr>
      <t>混凝土价格为</t>
    </r>
    <r>
      <rPr>
        <sz val="10"/>
        <rFont val="Arial"/>
        <family val="2"/>
      </rPr>
      <t>485.00</t>
    </r>
    <r>
      <rPr>
        <sz val="10"/>
        <rFont val="宋体"/>
        <family val="3"/>
        <charset val="134"/>
      </rPr>
      <t>元</t>
    </r>
    <r>
      <rPr>
        <sz val="10"/>
        <rFont val="Arial"/>
        <family val="2"/>
      </rPr>
      <t>/m3</t>
    </r>
    <r>
      <rPr>
        <sz val="10"/>
        <rFont val="宋体"/>
        <family val="3"/>
        <charset val="134"/>
      </rPr>
      <t>。钢筋</t>
    </r>
    <r>
      <rPr>
        <sz val="10"/>
        <rFont val="Arial"/>
        <family val="2"/>
      </rPr>
      <t>D10</t>
    </r>
    <r>
      <rPr>
        <sz val="10"/>
        <rFont val="宋体"/>
        <family val="3"/>
        <charset val="134"/>
      </rPr>
      <t>以内价格</t>
    </r>
    <r>
      <rPr>
        <sz val="10"/>
        <rFont val="Arial"/>
        <family val="2"/>
      </rPr>
      <t>4377.36</t>
    </r>
    <r>
      <rPr>
        <sz val="10"/>
        <rFont val="宋体"/>
        <family val="3"/>
        <charset val="134"/>
      </rPr>
      <t>元</t>
    </r>
    <r>
      <rPr>
        <sz val="10"/>
        <rFont val="Arial"/>
        <family val="2"/>
      </rPr>
      <t>/t</t>
    </r>
    <r>
      <rPr>
        <sz val="10"/>
        <rFont val="宋体"/>
        <family val="3"/>
        <charset val="134"/>
      </rPr>
      <t>，钢筋</t>
    </r>
    <r>
      <rPr>
        <sz val="10"/>
        <rFont val="Arial"/>
        <family val="2"/>
      </rPr>
      <t>D10</t>
    </r>
    <r>
      <rPr>
        <sz val="10"/>
        <rFont val="宋体"/>
        <family val="3"/>
        <charset val="134"/>
      </rPr>
      <t>以外价格</t>
    </r>
    <r>
      <rPr>
        <sz val="10"/>
        <rFont val="Arial"/>
        <family val="2"/>
      </rPr>
      <t>4193.63</t>
    </r>
    <r>
      <rPr>
        <sz val="10"/>
        <rFont val="宋体"/>
        <family val="3"/>
        <charset val="134"/>
      </rPr>
      <t>元</t>
    </r>
    <r>
      <rPr>
        <sz val="10"/>
        <rFont val="Arial"/>
        <family val="2"/>
      </rPr>
      <t>/t</t>
    </r>
    <r>
      <rPr>
        <sz val="10"/>
        <rFont val="宋体"/>
        <family val="3"/>
        <charset val="134"/>
      </rPr>
      <t>。
人工价格：一类工</t>
    </r>
    <r>
      <rPr>
        <sz val="10"/>
        <rFont val="Arial"/>
        <family val="2"/>
      </rPr>
      <t>147.19</t>
    </r>
    <r>
      <rPr>
        <sz val="10"/>
        <rFont val="宋体"/>
        <family val="3"/>
        <charset val="134"/>
      </rPr>
      <t>元</t>
    </r>
    <r>
      <rPr>
        <sz val="10"/>
        <rFont val="Arial"/>
        <family val="2"/>
      </rPr>
      <t>/</t>
    </r>
    <r>
      <rPr>
        <sz val="10"/>
        <rFont val="宋体"/>
        <family val="3"/>
        <charset val="134"/>
      </rPr>
      <t>工日，二类工</t>
    </r>
    <r>
      <rPr>
        <sz val="10"/>
        <rFont val="Arial"/>
        <family val="2"/>
      </rPr>
      <t>134.13</t>
    </r>
    <r>
      <rPr>
        <sz val="10"/>
        <rFont val="宋体"/>
        <family val="3"/>
        <charset val="134"/>
      </rPr>
      <t>元</t>
    </r>
    <r>
      <rPr>
        <sz val="10"/>
        <rFont val="Arial"/>
        <family val="2"/>
      </rPr>
      <t>/</t>
    </r>
    <r>
      <rPr>
        <sz val="10"/>
        <rFont val="宋体"/>
        <family val="3"/>
        <charset val="134"/>
      </rPr>
      <t>工日</t>
    </r>
    <r>
      <rPr>
        <sz val="10"/>
        <rFont val="Arial"/>
        <family val="2"/>
      </rPr>
      <t xml:space="preserve">, </t>
    </r>
    <r>
      <rPr>
        <sz val="10"/>
        <rFont val="宋体"/>
        <family val="3"/>
        <charset val="134"/>
      </rPr>
      <t>三类工</t>
    </r>
    <r>
      <rPr>
        <sz val="10"/>
        <rFont val="Arial"/>
        <family val="2"/>
      </rPr>
      <t>113.95</t>
    </r>
    <r>
      <rPr>
        <sz val="10"/>
        <rFont val="宋体"/>
        <family val="3"/>
        <charset val="134"/>
      </rPr>
      <t>元</t>
    </r>
    <r>
      <rPr>
        <sz val="10"/>
        <rFont val="Arial"/>
        <family val="2"/>
      </rPr>
      <t>/</t>
    </r>
    <r>
      <rPr>
        <sz val="10"/>
        <rFont val="宋体"/>
        <family val="3"/>
        <charset val="134"/>
      </rPr>
      <t xml:space="preserve">工日。
</t>
    </r>
    <r>
      <rPr>
        <sz val="10"/>
        <rFont val="Arial"/>
        <family val="2"/>
      </rPr>
      <t>3.</t>
    </r>
    <r>
      <rPr>
        <sz val="10"/>
        <rFont val="宋体"/>
        <family val="3"/>
        <charset val="134"/>
      </rPr>
      <t>工程概况
多层建筑选用的工程</t>
    </r>
    <r>
      <rPr>
        <sz val="10"/>
        <rFont val="Arial"/>
        <family val="2"/>
      </rPr>
      <t xml:space="preserve"> </t>
    </r>
    <r>
      <rPr>
        <sz val="10"/>
        <rFont val="宋体"/>
        <family val="3"/>
        <charset val="134"/>
      </rPr>
      <t>：建筑面积</t>
    </r>
    <r>
      <rPr>
        <sz val="10"/>
        <rFont val="Arial"/>
        <family val="2"/>
      </rPr>
      <t>3357m2</t>
    </r>
    <r>
      <rPr>
        <sz val="10"/>
        <rFont val="宋体"/>
        <family val="3"/>
        <charset val="134"/>
      </rPr>
      <t>，檐高</t>
    </r>
    <r>
      <rPr>
        <sz val="10"/>
        <rFont val="Arial"/>
        <family val="2"/>
      </rPr>
      <t xml:space="preserve">18.50m, </t>
    </r>
    <r>
      <rPr>
        <sz val="10"/>
        <rFont val="宋体"/>
        <family val="3"/>
        <charset val="134"/>
      </rPr>
      <t>砖混结构，层数</t>
    </r>
    <r>
      <rPr>
        <sz val="10"/>
        <rFont val="Arial"/>
        <family val="2"/>
      </rPr>
      <t>6</t>
    </r>
    <r>
      <rPr>
        <sz val="10"/>
        <rFont val="宋体"/>
        <family val="3"/>
        <charset val="134"/>
      </rPr>
      <t>层，砌体采用页岩多孔砖。地面为水泥砂浆地面，内墙面抹混合砂浆、刮腻子，外墙面贴</t>
    </r>
    <r>
      <rPr>
        <sz val="10"/>
        <rFont val="Arial"/>
        <family val="2"/>
      </rPr>
      <t>50</t>
    </r>
    <r>
      <rPr>
        <sz val="10"/>
        <rFont val="宋体"/>
        <family val="3"/>
        <charset val="134"/>
      </rPr>
      <t>厚挤塑保温板，局部贴</t>
    </r>
    <r>
      <rPr>
        <sz val="10"/>
        <rFont val="Arial"/>
        <family val="2"/>
      </rPr>
      <t>70</t>
    </r>
    <r>
      <rPr>
        <sz val="10"/>
        <rFont val="宋体"/>
        <family val="3"/>
        <charset val="134"/>
      </rPr>
      <t>厚挤塑保温板。门窗采用断桥铝合金中空玻璃门窗。
小高层建筑选用的工程：建筑面积</t>
    </r>
    <r>
      <rPr>
        <sz val="10"/>
        <rFont val="Arial"/>
        <family val="2"/>
      </rPr>
      <t>4785m2</t>
    </r>
    <r>
      <rPr>
        <sz val="10"/>
        <rFont val="宋体"/>
        <family val="3"/>
        <charset val="134"/>
      </rPr>
      <t>，檐高</t>
    </r>
    <r>
      <rPr>
        <sz val="10"/>
        <rFont val="Arial"/>
        <family val="2"/>
      </rPr>
      <t xml:space="preserve">36.9m, </t>
    </r>
    <r>
      <rPr>
        <sz val="10"/>
        <rFont val="宋体"/>
        <family val="3"/>
        <charset val="134"/>
      </rPr>
      <t>框架结构，地下</t>
    </r>
    <r>
      <rPr>
        <sz val="10"/>
        <rFont val="Arial"/>
        <family val="2"/>
      </rPr>
      <t>1</t>
    </r>
    <r>
      <rPr>
        <sz val="10"/>
        <rFont val="宋体"/>
        <family val="3"/>
        <charset val="134"/>
      </rPr>
      <t>层，地上</t>
    </r>
    <r>
      <rPr>
        <sz val="10"/>
        <rFont val="Arial"/>
        <family val="2"/>
      </rPr>
      <t>11</t>
    </r>
    <r>
      <rPr>
        <sz val="10"/>
        <rFont val="宋体"/>
        <family val="3"/>
        <charset val="134"/>
      </rPr>
      <t>层。地面为水泥砂浆地面，内墙面抹混合砂浆、刷涂料。外墙面采用聚苯乙烯泡沫板墙体保温、</t>
    </r>
    <r>
      <rPr>
        <sz val="10"/>
        <rFont val="Arial"/>
        <family val="2"/>
      </rPr>
      <t>FTC</t>
    </r>
    <r>
      <rPr>
        <sz val="10"/>
        <rFont val="宋体"/>
        <family val="3"/>
        <charset val="134"/>
      </rPr>
      <t>保温砂浆、刷涂料。门窗采用断桥铝合金中空玻璃门窗。
高层建筑选用的工程：建筑面积</t>
    </r>
    <r>
      <rPr>
        <sz val="10"/>
        <rFont val="Arial"/>
        <family val="2"/>
      </rPr>
      <t>13860m2</t>
    </r>
    <r>
      <rPr>
        <sz val="10"/>
        <rFont val="宋体"/>
        <family val="3"/>
        <charset val="134"/>
      </rPr>
      <t>，檐高</t>
    </r>
    <r>
      <rPr>
        <sz val="10"/>
        <rFont val="Arial"/>
        <family val="2"/>
      </rPr>
      <t xml:space="preserve">79.80m, </t>
    </r>
    <r>
      <rPr>
        <sz val="10"/>
        <rFont val="宋体"/>
        <family val="3"/>
        <charset val="134"/>
      </rPr>
      <t>框架结构，地下</t>
    </r>
    <r>
      <rPr>
        <sz val="10"/>
        <rFont val="Arial"/>
        <family val="2"/>
      </rPr>
      <t>1</t>
    </r>
    <r>
      <rPr>
        <sz val="10"/>
        <rFont val="宋体"/>
        <family val="3"/>
        <charset val="134"/>
      </rPr>
      <t>层，地上</t>
    </r>
    <r>
      <rPr>
        <sz val="10"/>
        <rFont val="Arial"/>
        <family val="2"/>
      </rPr>
      <t>26</t>
    </r>
    <r>
      <rPr>
        <sz val="10"/>
        <rFont val="宋体"/>
        <family val="3"/>
        <charset val="134"/>
      </rPr>
      <t>层。地面为水泥砂浆地面，内墙面抹</t>
    </r>
    <r>
      <rPr>
        <sz val="10"/>
        <rFont val="Arial"/>
        <family val="2"/>
      </rPr>
      <t>FTC</t>
    </r>
    <r>
      <rPr>
        <sz val="10"/>
        <rFont val="宋体"/>
        <family val="3"/>
        <charset val="134"/>
      </rPr>
      <t>保温砂浆，刷涂料，外墙聚苯保温板保温，抹胶粉颗粒保温灰，外墙面分别采用刷涂料、干挂大理石做法。门窗采用断桥铝合金中空玻璃门窗。</t>
    </r>
    <phoneticPr fontId="3" type="noConversion"/>
  </si>
  <si>
    <t>土地（套用方法）</t>
  </si>
  <si>
    <t>按租金收入计税</t>
  </si>
  <si>
    <t>钢混</t>
  </si>
  <si>
    <t>不动产收益法（地下车库）</t>
  </si>
  <si>
    <t>不动产收益法（商业）</t>
  </si>
  <si>
    <t>售价</t>
  </si>
  <si>
    <t>住宅</t>
    <phoneticPr fontId="21" type="noConversion"/>
  </si>
  <si>
    <t>60-70（含）</t>
  </si>
  <si>
    <t>正常</t>
  </si>
  <si>
    <t>较好</t>
  </si>
  <si>
    <t>精装</t>
  </si>
  <si>
    <t>精装</t>
    <phoneticPr fontId="21" type="noConversion"/>
  </si>
  <si>
    <t>简装</t>
    <phoneticPr fontId="21" type="noConversion"/>
  </si>
  <si>
    <t>毛坯</t>
  </si>
  <si>
    <t>毛坯</t>
    <phoneticPr fontId="21" type="noConversion"/>
  </si>
  <si>
    <t>平层</t>
  </si>
  <si>
    <t>平层</t>
    <phoneticPr fontId="21" type="noConversion"/>
  </si>
  <si>
    <t>七通</t>
  </si>
  <si>
    <t>七通</t>
    <phoneticPr fontId="21" type="noConversion"/>
  </si>
  <si>
    <t>专业</t>
  </si>
  <si>
    <t>专业</t>
    <phoneticPr fontId="21" type="noConversion"/>
  </si>
  <si>
    <t>精装</t>
    <phoneticPr fontId="21" type="noConversion"/>
  </si>
  <si>
    <t>中档</t>
  </si>
  <si>
    <t>中档</t>
    <phoneticPr fontId="21" type="noConversion"/>
  </si>
  <si>
    <t>钢混</t>
    <phoneticPr fontId="21" type="noConversion"/>
  </si>
  <si>
    <t>高层</t>
    <phoneticPr fontId="21" type="noConversion"/>
  </si>
  <si>
    <t>折扣</t>
    <phoneticPr fontId="21" type="noConversion"/>
  </si>
  <si>
    <t>多层</t>
    <phoneticPr fontId="21" type="noConversion"/>
  </si>
  <si>
    <t>小高层</t>
    <phoneticPr fontId="21" type="noConversion"/>
  </si>
  <si>
    <t>一般</t>
  </si>
  <si>
    <t>较差</t>
  </si>
  <si>
    <t>绅湖公馆</t>
    <phoneticPr fontId="3" type="noConversion"/>
  </si>
  <si>
    <t>港城大道滨海湖生态居住区</t>
    <phoneticPr fontId="3" type="noConversion"/>
  </si>
  <si>
    <t>七通</t>
    <phoneticPr fontId="21" type="noConversion"/>
  </si>
  <si>
    <t>剩余法-待开发</t>
  </si>
  <si>
    <t>比较法-住宅、综合</t>
  </si>
  <si>
    <t>项目全部</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</si>
  <si>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</si>
  <si>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</si>
  <si>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</si>
  <si>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</si>
  <si>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</si>
  <si>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</si>
  <si>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</si>
  <si>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</si>
  <si>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</si>
  <si>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</si>
  <si>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</si>
  <si>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</si>
  <si>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</si>
  <si>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</si>
  <si>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</si>
  <si>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</si>
  <si>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</si>
  <si>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</si>
  <si>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</si>
  <si>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</si>
  <si>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天津东疆保税港区</t>
  </si>
  <si>
    <t>综合用地(含住宅)</t>
  </si>
  <si>
    <t>挂牌</t>
  </si>
  <si>
    <t>津滨东(挂)2019-1号</t>
  </si>
  <si>
    <t>＞1.0且≤1.5</t>
  </si>
  <si>
    <t>2019-06-19</t>
  </si>
  <si>
    <t>天津东疆置业有限公司</t>
  </si>
  <si>
    <t>城镇住宅为70年、商服40年</t>
  </si>
  <si>
    <t>1星</t>
  </si>
  <si>
    <t>滨海新区塘沽新城镇</t>
  </si>
  <si>
    <t>津滨塘(挂)2019-2号</t>
  </si>
  <si>
    <t>2019-06-05</t>
  </si>
  <si>
    <t>天津瑞辉商业管理有限公司</t>
  </si>
  <si>
    <t>城镇住宅70年、商服40年</t>
  </si>
  <si>
    <t>2星</t>
  </si>
  <si>
    <t>津滨塘(挂)2019-1号</t>
  </si>
  <si>
    <t>天津瑞骏商业管理有限公司</t>
  </si>
  <si>
    <t>津滨塘(挂)2018-5号</t>
  </si>
  <si>
    <t>天津华发创盛置业有限公司</t>
  </si>
  <si>
    <t>天津市滨海新区中新天津生态城南部片区</t>
  </si>
  <si>
    <t>住宅用地</t>
  </si>
  <si>
    <t>津滨生(挂)2018-13号</t>
  </si>
  <si>
    <t>城镇住宅用地</t>
  </si>
  <si>
    <t>＞1.0且≤1.1</t>
  </si>
  <si>
    <t>天津泰达建设集团有限公司</t>
  </si>
  <si>
    <t>70年</t>
  </si>
  <si>
    <t>4星</t>
  </si>
  <si>
    <t>天津开发区新金融大道东侧、永太路北侧</t>
  </si>
  <si>
    <t>津滨开(挂)2019-2号</t>
  </si>
  <si>
    <t>城镇住宅、*商服、公园与绿地、城镇村道路用地</t>
  </si>
  <si>
    <t>a地块＞1.0且≤7.8;b地块＞1.0且≤5.2;c地块＞1.0且≤5.0;d地块＞1.0且≤4.2;e地块≤8.6;f地块≤4.0;g地块/;h地块/;i地块/;j地块/</t>
  </si>
  <si>
    <t>2019-05-29</t>
  </si>
  <si>
    <t>上海复屹实业发展有限公司</t>
  </si>
  <si>
    <t>城镇住宅70年、*商服40年、公园与绿地50年</t>
  </si>
  <si>
    <t>5星</t>
  </si>
  <si>
    <t>天津空港经济区</t>
  </si>
  <si>
    <t>津滨保(挂)2018-11号</t>
  </si>
  <si>
    <t>＞1.0且≤1.6</t>
  </si>
  <si>
    <t>2019-05-15</t>
  </si>
  <si>
    <t>中国铁建大桥工程局集团有限公司</t>
  </si>
  <si>
    <t>3星</t>
  </si>
  <si>
    <t>天津港保税区空港区域</t>
  </si>
  <si>
    <t>津滨保(挂)2018-23号</t>
  </si>
  <si>
    <t>2019-05-08</t>
  </si>
  <si>
    <t>天津鑫驰房地产信息咨询有限公司</t>
  </si>
  <si>
    <t>开发区东区</t>
  </si>
  <si>
    <t>津滨开(挂)2018-3号</t>
  </si>
  <si>
    <t>A地块:城镇住宅用地;B地块:城镇住宅用地</t>
  </si>
  <si>
    <t>a地块:＞1.0且≤2.5;b地块:＞1.0且≤2.5</t>
  </si>
  <si>
    <t>天津泰津房地产开发有限公司</t>
  </si>
  <si>
    <t>滨海中关村科技园(原北塘经济区)</t>
  </si>
  <si>
    <t>津滨北塘(挂)2018-1号</t>
  </si>
  <si>
    <t>A地块:城镇住宅、商服、科教;B地块:城镇住宅、商服;C地块:商服</t>
  </si>
  <si>
    <t>a地块＞1.0且≤1.2;b地块＞1.0且≤1.5;c地块≤2.5</t>
  </si>
  <si>
    <t>天津碧行房地产开发有限公司</t>
  </si>
  <si>
    <t>A地块:城镇住宅70年、商服40年、科教50*年;B地块:城镇住宅70年、商服40年;C地块:商服40年</t>
  </si>
  <si>
    <t>滨海高新区滨海科技园内</t>
  </si>
  <si>
    <t>津滨高(挂)2019-1号</t>
  </si>
  <si>
    <t>＞1.0且≤1.8</t>
  </si>
  <si>
    <t>2019-04-17</t>
  </si>
  <si>
    <t>塘沽新城镇地区</t>
  </si>
  <si>
    <t>津滨塘(挂)2018-7号</t>
  </si>
  <si>
    <t>2019-04-10</t>
  </si>
  <si>
    <t>天津盛置房地产开发有限公司</t>
  </si>
  <si>
    <t>开发区中心商务区片大沽区域</t>
  </si>
  <si>
    <t>津滨开(挂)2019-1号</t>
  </si>
  <si>
    <t>A地块:城镇住宅、商服用地;B地块:城镇住宅、商服用地;C地块:城镇住宅、商服用地;D地块:城镇住宅、商服用地;E地块:商服用地</t>
  </si>
  <si>
    <t>a地块:＞1.0且≤1.8;b地块:＞1.0且≤2.0;c地块:＞1.0且≤2.0;d地块:＞1.0且≤1.8;e地块:≤2.8</t>
  </si>
  <si>
    <t>天津弘益房地产开发有限公司</t>
  </si>
  <si>
    <t>天津未来科技城京津合作示范区</t>
  </si>
  <si>
    <t>津滨高(挂)2018-9号</t>
  </si>
  <si>
    <t>＞1.0且≤1.3</t>
  </si>
  <si>
    <t>2019-03-27</t>
  </si>
  <si>
    <t>天津天科置业有限公司</t>
  </si>
  <si>
    <t>城镇住宅用地70年、商服用地40年</t>
  </si>
  <si>
    <t>滨海高新区海洋科技园</t>
  </si>
  <si>
    <t>津滨高(挂)2018-17号</t>
  </si>
  <si>
    <t>A用地:城镇住宅、商服用地;B用地:教育用地(幼儿园)</t>
  </si>
  <si>
    <t>a用地＞1.0且≤2.2;b用地≤1.0</t>
  </si>
  <si>
    <t>2019-03-20</t>
  </si>
  <si>
    <t>深圳市振业(集团)股份有限公司</t>
  </si>
  <si>
    <t>A用地:城镇住宅70年、商服40年;B用地:50年</t>
  </si>
  <si>
    <t>津滨高(挂)2018-6号</t>
  </si>
  <si>
    <t>A地:城镇住宅、商服用地;B地:商服用地</t>
  </si>
  <si>
    <t>a地＞1.0且≤2.1;b地≤1.0</t>
  </si>
  <si>
    <t>2019-02-27</t>
  </si>
  <si>
    <t>新城控股集团股份有限公司</t>
  </si>
  <si>
    <t>A地:城镇住宅70年、商服40年;B地:40年</t>
  </si>
  <si>
    <t>津滨高(挂)2018-5号</t>
  </si>
  <si>
    <t>A地:城镇住宅、商服用地;B地:教育用地(幼儿园)</t>
  </si>
  <si>
    <t>a地＞1.0且≤1.9;b地≤0.8</t>
  </si>
  <si>
    <t>A地:城镇住宅70年、商服40年;B地:50年</t>
  </si>
  <si>
    <t>滨海新区塘沽新河区域</t>
  </si>
  <si>
    <t>津滨高(挂)2018-2号</t>
  </si>
  <si>
    <t>＞1.0且≤2.6</t>
  </si>
  <si>
    <t>滨海置地有限公司</t>
  </si>
  <si>
    <t>津滨高(挂)2018-18号</t>
  </si>
  <si>
    <t>＞1.0且≤2.2</t>
  </si>
  <si>
    <t>津滨塘(挂)2018-6号</t>
  </si>
  <si>
    <t>天津旭明房地产开发有限公司</t>
  </si>
  <si>
    <t>津滨高(挂)2018-4号</t>
  </si>
  <si>
    <t>滨海新区胡家园街新塘组团起步区</t>
  </si>
  <si>
    <t>津滨塘(挂)2018-11号</t>
  </si>
  <si>
    <t>天津新城亿隆房地产开发有限公司</t>
  </si>
  <si>
    <t>津滨高(挂)2018-15号</t>
  </si>
  <si>
    <t>a地:＞1.0且≤1.5;b地:≤0.8</t>
  </si>
  <si>
    <t>2019-01-30</t>
  </si>
  <si>
    <t>首金天元(天津)置业发展有限公司</t>
  </si>
  <si>
    <t>津滨高(挂)2018-11号</t>
  </si>
  <si>
    <t>首金天科(天津)置业发展有限公司</t>
  </si>
  <si>
    <t>津滨高(挂)2018-14号</t>
  </si>
  <si>
    <t>a地:＞1.0且≤1.3;b地:≤0.8</t>
  </si>
  <si>
    <t>津滨高(挂)2018-10号</t>
  </si>
  <si>
    <t>首金天新(天津)置业发展有限公司</t>
  </si>
  <si>
    <t>津滨高(挂)2018-12号</t>
  </si>
  <si>
    <t>津滨高(挂)2018-16号</t>
  </si>
  <si>
    <t>＞1.0且≤1.4</t>
  </si>
  <si>
    <t>津滨高(挂)2018-13号</t>
  </si>
  <si>
    <t>生态城南部片区</t>
  </si>
  <si>
    <t>津滨生转让(挂)2018-4号</t>
  </si>
  <si>
    <t>＜0.8</t>
  </si>
  <si>
    <t>2018-12-19</t>
  </si>
  <si>
    <t>吉宝鸿远(天津生态城)房地产开发有限公司</t>
  </si>
  <si>
    <t>津滨保(挂)2018-18号</t>
  </si>
  <si>
    <t>≤1.5</t>
  </si>
  <si>
    <t>2018-10-31</t>
  </si>
  <si>
    <t>天津保税区投资有限公司</t>
  </si>
  <si>
    <t>40年</t>
  </si>
  <si>
    <t>天津港保税区临港区域</t>
  </si>
  <si>
    <t>津滨保(挂)2018-12号</t>
  </si>
  <si>
    <t>2018-10-17</t>
  </si>
  <si>
    <t>天津临港经济区置地投资发展有限公司</t>
  </si>
  <si>
    <t>津滨保(挂)2018-9号</t>
  </si>
  <si>
    <t>城镇住宅用地、商服用地、街巷用地</t>
  </si>
  <si>
    <t>a地＞1.0且≤1.5;b地≤1.0</t>
  </si>
  <si>
    <t>城镇住宅用地70年、商服用地40年、街巷用地40年</t>
  </si>
  <si>
    <t>滨海新区大港港东新城海景六路以东、港东四道以北</t>
  </si>
  <si>
    <t>津滨大(挂)2017-7号</t>
  </si>
  <si>
    <t>2018-09-12</t>
  </si>
  <si>
    <t>天津融拓房地产开发有限公司</t>
  </si>
  <si>
    <t>滨海新区大港港东新城港东八道以南、海景四路以东</t>
  </si>
  <si>
    <t>津滨大(挂)2017-6号</t>
  </si>
  <si>
    <t>天津滨海新区大港城市建设综合开发公司</t>
  </si>
  <si>
    <t>滨海新区大港港东新城港东三道以南、海景四路以东</t>
  </si>
  <si>
    <t>津滨大(挂)2017-4号</t>
  </si>
  <si>
    <t>滨海新区南片区港东新城海景二路以西、港东九道以北</t>
  </si>
  <si>
    <t>津滨大(挂)2017-9号</t>
  </si>
  <si>
    <t>＞1.0且≤1.2</t>
  </si>
  <si>
    <t>天津市大港房地产开发公司</t>
  </si>
  <si>
    <t>生态城中部片区</t>
  </si>
  <si>
    <t>津滨生转让(挂)2018-3号</t>
  </si>
  <si>
    <t>＞1.0且＜2.5</t>
  </si>
  <si>
    <t>2018-09-05</t>
  </si>
  <si>
    <t>天津贻成实业集团有限公司</t>
  </si>
  <si>
    <t>津滨生转让(挂)2018-2号</t>
  </si>
  <si>
    <t>2018-08-01</t>
  </si>
  <si>
    <t>世茂(上海灿骁企业管理有限公司)</t>
  </si>
  <si>
    <t>中新天津生态城(原旅游区区域内)</t>
  </si>
  <si>
    <t>津滨生(挂)2018-7号</t>
  </si>
  <si>
    <t>城镇住宅、商服、科教</t>
  </si>
  <si>
    <t>a地块＞1.0且≤1.6;b地块0.6-0.8</t>
  </si>
  <si>
    <t>2018-07-25</t>
  </si>
  <si>
    <t>中核房地产开发有限公司</t>
  </si>
  <si>
    <t>城镇住宅70年、商服40年、科教50年</t>
  </si>
  <si>
    <t>津滨生(挂)2017-4号</t>
  </si>
  <si>
    <t>城镇住宅、商服</t>
  </si>
  <si>
    <t>a地块＞1.0且≤1.2;b地块＞1.0且≤1.2;c地块＞1.0且≤1.2;d地块＞1.0且≤1.01;e地块＞1.0且≤1.2;f地块≤1.0</t>
  </si>
  <si>
    <t>2018-07-11</t>
  </si>
  <si>
    <t>红星美凯龙(天津舒泰企业管理有限公司)</t>
  </si>
  <si>
    <t>津滨生(挂)2018-3号</t>
  </si>
  <si>
    <t>2018-05-23</t>
  </si>
  <si>
    <t>北科泰达投资发展有限公司</t>
  </si>
  <si>
    <t>津滨生(挂)2018-5号</t>
  </si>
  <si>
    <t>津滨生(挂)2018-4号</t>
  </si>
  <si>
    <t>津滨塘(挂)2017-21号</t>
  </si>
  <si>
    <t>a地块≤2.0;b地块＞1.0且≤2.2</t>
  </si>
  <si>
    <t>万科(天津滨海时尚置业有限公司)</t>
  </si>
  <si>
    <t>津滨生(挂)2018-2号</t>
  </si>
  <si>
    <t>天津市滨海新区汉沽东风路以东</t>
  </si>
  <si>
    <t>津滨汉(挂)2017-6号</t>
  </si>
  <si>
    <t>＞1.0且≤2.0</t>
  </si>
  <si>
    <t>2018-05-09</t>
  </si>
  <si>
    <t>天津市津房置业发展有限责任公司</t>
  </si>
  <si>
    <t>滨海新区汉沽东扩区</t>
  </si>
  <si>
    <t>津滨汉(挂)2017-9号</t>
  </si>
  <si>
    <t>城镇住宅、商服用地(A地块);商服用地(B地块);商服用地(C地块)</t>
  </si>
  <si>
    <t>＞1.0且≤1.5(a地块);≤2.0(b地块);≤2.5(c地块)</t>
  </si>
  <si>
    <t>2018-02-14</t>
  </si>
  <si>
    <t>力高</t>
  </si>
  <si>
    <t>津滨汉(挂)2017-8号</t>
  </si>
  <si>
    <t>东亚新华</t>
  </si>
  <si>
    <t>津滨塘(挂)2017-17号</t>
  </si>
  <si>
    <t>2018-01-31</t>
  </si>
  <si>
    <t>天津天地源唐城房地产开发有限公司</t>
  </si>
  <si>
    <t>津滨塘(挂)2017-1号</t>
  </si>
  <si>
    <t>景瑞地产</t>
  </si>
  <si>
    <t>楼面地价</t>
  </si>
  <si>
    <t>天津市监测指标情况一览表</t>
  </si>
  <si>
    <t>时间</t>
  </si>
  <si>
    <t>水平值</t>
  </si>
  <si>
    <t>环比增长率</t>
  </si>
  <si>
    <t>天津滨海高新区渤龙湖地块----投资成本费用预测</t>
    <phoneticPr fontId="3" type="noConversion"/>
  </si>
  <si>
    <r>
      <t>用地面积：7</t>
    </r>
    <r>
      <rPr>
        <sz val="10"/>
        <rFont val="宋体"/>
        <family val="3"/>
        <charset val="134"/>
      </rPr>
      <t>2394.60</t>
    </r>
    <r>
      <rPr>
        <sz val="10"/>
        <rFont val="宋体"/>
        <family val="3"/>
        <charset val="134"/>
      </rPr>
      <t>平方米/</t>
    </r>
    <r>
      <rPr>
        <sz val="10"/>
        <rFont val="宋体"/>
        <family val="3"/>
        <charset val="134"/>
      </rPr>
      <t>1</t>
    </r>
    <r>
      <rPr>
        <sz val="10"/>
        <rFont val="宋体"/>
        <family val="3"/>
        <charset val="134"/>
      </rPr>
      <t>09</t>
    </r>
    <r>
      <rPr>
        <sz val="10"/>
        <rFont val="宋体"/>
        <family val="3"/>
        <charset val="134"/>
      </rPr>
      <t>亩</t>
    </r>
    <phoneticPr fontId="3" type="noConversion"/>
  </si>
  <si>
    <t>计费标准</t>
  </si>
  <si>
    <t>预测金额</t>
  </si>
  <si>
    <t>综合每平方米成本</t>
  </si>
  <si>
    <t>(万元)</t>
  </si>
  <si>
    <t>(元)</t>
  </si>
  <si>
    <r>
      <t>建设用地面积</t>
    </r>
    <r>
      <rPr>
        <b/>
        <sz val="11"/>
        <rFont val="Times New Roman"/>
        <family val="1"/>
      </rPr>
      <t xml:space="preserve"> (</t>
    </r>
    <r>
      <rPr>
        <b/>
        <sz val="11"/>
        <rFont val="宋体"/>
        <family val="3"/>
        <charset val="134"/>
      </rPr>
      <t>平方米</t>
    </r>
    <r>
      <rPr>
        <b/>
        <sz val="11"/>
        <rFont val="Times New Roman"/>
        <family val="1"/>
      </rPr>
      <t>)</t>
    </r>
  </si>
  <si>
    <t>总建筑面积 (平方米)</t>
  </si>
  <si>
    <t>地上总建筑面积（平方米）</t>
  </si>
  <si>
    <t>地下建筑面积 (平方米)</t>
  </si>
  <si>
    <r>
      <t xml:space="preserve">成 </t>
    </r>
    <r>
      <rPr>
        <b/>
        <sz val="11"/>
        <rFont val="宋体"/>
        <family val="3"/>
        <charset val="134"/>
      </rPr>
      <t>本</t>
    </r>
    <r>
      <rPr>
        <b/>
        <sz val="11"/>
        <rFont val="Times New Roman"/>
        <family val="1"/>
      </rPr>
      <t xml:space="preserve"> </t>
    </r>
    <r>
      <rPr>
        <b/>
        <sz val="11"/>
        <rFont val="宋体"/>
        <family val="3"/>
        <charset val="134"/>
      </rPr>
      <t>费 用 合 计</t>
    </r>
  </si>
  <si>
    <t>容积率</t>
    <phoneticPr fontId="3" type="noConversion"/>
  </si>
  <si>
    <t>一</t>
  </si>
  <si>
    <t>土地开发成本</t>
  </si>
  <si>
    <t>计容建筑面积</t>
    <phoneticPr fontId="3" type="noConversion"/>
  </si>
  <si>
    <t>土地款</t>
  </si>
  <si>
    <t>根据土地款计算</t>
  </si>
  <si>
    <t>公建</t>
    <phoneticPr fontId="3" type="noConversion"/>
  </si>
  <si>
    <t>契税</t>
  </si>
  <si>
    <t>按土地款4%</t>
  </si>
  <si>
    <t>二</t>
  </si>
  <si>
    <t>各项政府收费</t>
  </si>
  <si>
    <t>地下车位个数</t>
    <phoneticPr fontId="3" type="noConversion"/>
  </si>
  <si>
    <t>城市基础设施配套</t>
  </si>
  <si>
    <t>按总建筑面积180元/平方米</t>
    <phoneticPr fontId="3" type="noConversion"/>
  </si>
  <si>
    <t>地下面积</t>
    <phoneticPr fontId="3" type="noConversion"/>
  </si>
  <si>
    <t>考古调查普堪费</t>
  </si>
  <si>
    <t>按用地面积0.2元/平方米</t>
  </si>
  <si>
    <t>白蚁防治</t>
  </si>
  <si>
    <t>按总建筑面积2.5元/平方米</t>
  </si>
  <si>
    <t>三</t>
  </si>
  <si>
    <t>前期投入费用</t>
  </si>
  <si>
    <t>开发建设投资</t>
    <phoneticPr fontId="3" type="noConversion"/>
  </si>
  <si>
    <t>规划及总平面施工设计费</t>
  </si>
  <si>
    <t>按用地面积*13.5元/平方米</t>
    <phoneticPr fontId="3" type="noConversion"/>
  </si>
  <si>
    <t>土地款</t>
    <phoneticPr fontId="3" type="noConversion"/>
  </si>
  <si>
    <t>建筑设计及图纸费</t>
  </si>
  <si>
    <t xml:space="preserve">按总建筑面积*10元/平方米                                      </t>
  </si>
  <si>
    <t>其他建安成本</t>
    <phoneticPr fontId="3" type="noConversion"/>
  </si>
  <si>
    <t>勘探及测量费用</t>
  </si>
  <si>
    <t xml:space="preserve">按占地面积*5元/平方米 </t>
  </si>
  <si>
    <t>贷款金额</t>
    <phoneticPr fontId="3" type="noConversion"/>
  </si>
  <si>
    <t>施工图设计审查费用</t>
  </si>
  <si>
    <t>按总建筑面积*5元/平方米</t>
    <phoneticPr fontId="3" type="noConversion"/>
  </si>
  <si>
    <t>监理费</t>
  </si>
  <si>
    <t>按总建筑面积*50元/平方米</t>
    <phoneticPr fontId="3" type="noConversion"/>
  </si>
  <si>
    <t>桩基础费用</t>
  </si>
  <si>
    <t>暂按地上建筑面积*400元/平方米</t>
    <phoneticPr fontId="3" type="noConversion"/>
  </si>
  <si>
    <t>土石方费用</t>
  </si>
  <si>
    <t>按建筑面积*50元/平方米</t>
    <phoneticPr fontId="3" type="noConversion"/>
  </si>
  <si>
    <t>临时施工道路、水、电等其它费用</t>
  </si>
  <si>
    <t>按建筑安装工程费用的0.5%</t>
  </si>
  <si>
    <t>园林设计费</t>
  </si>
  <si>
    <t>按用地面积50元/平方米</t>
    <phoneticPr fontId="3" type="noConversion"/>
  </si>
  <si>
    <t>人防设计费</t>
  </si>
  <si>
    <t>按用地面积10元/平方米</t>
    <phoneticPr fontId="3" type="noConversion"/>
  </si>
  <si>
    <t>四</t>
  </si>
  <si>
    <t>基础设施建筑工程费用</t>
  </si>
  <si>
    <t>地上建筑土建工程费</t>
  </si>
  <si>
    <t>暂按地上建筑面积1500元/平方米</t>
    <phoneticPr fontId="3" type="noConversion"/>
  </si>
  <si>
    <t>地下室</t>
  </si>
  <si>
    <t>暂按地下室面积2000元/平方米</t>
    <phoneticPr fontId="3" type="noConversion"/>
  </si>
  <si>
    <t>室内装修</t>
    <phoneticPr fontId="3" type="noConversion"/>
  </si>
  <si>
    <t>暂按地上建筑面积1000元/平方米</t>
    <phoneticPr fontId="3" type="noConversion"/>
  </si>
  <si>
    <t>五</t>
  </si>
  <si>
    <t>配套及室外工程费用</t>
  </si>
  <si>
    <t>永久用电</t>
  </si>
  <si>
    <t>暂按建筑面积9元/平方米</t>
    <phoneticPr fontId="3" type="noConversion"/>
  </si>
  <si>
    <t>市政供水</t>
  </si>
  <si>
    <t>暂按建筑面积9.1元/平方米</t>
  </si>
  <si>
    <t>小区级消防工程</t>
  </si>
  <si>
    <t>暂按建筑面积9.7元/平方米</t>
    <phoneticPr fontId="3" type="noConversion"/>
  </si>
  <si>
    <t>小区园林绿化工程</t>
  </si>
  <si>
    <t>暂按建筑面积50元/平方米</t>
    <phoneticPr fontId="3" type="noConversion"/>
  </si>
  <si>
    <t>道路及市政配套工程</t>
  </si>
  <si>
    <t>暂按建筑面积30元/平方米</t>
  </si>
  <si>
    <t>六</t>
  </si>
  <si>
    <t xml:space="preserve">不可预见费     </t>
  </si>
  <si>
    <t>按开发直接成本的1.0%</t>
  </si>
  <si>
    <t>燃气工程</t>
  </si>
  <si>
    <t>暂按建筑面积9.8元/平方米</t>
  </si>
  <si>
    <t>室内水电工程</t>
  </si>
  <si>
    <t>暂按建筑面积50元/平方米</t>
  </si>
  <si>
    <t>六</t>
    <phoneticPr fontId="3" type="noConversion"/>
  </si>
  <si>
    <t>销售费用</t>
  </si>
  <si>
    <t>按销售收入1%</t>
    <phoneticPr fontId="3" type="noConversion"/>
  </si>
  <si>
    <t>七</t>
    <phoneticPr fontId="3" type="noConversion"/>
  </si>
  <si>
    <t>管理费用</t>
  </si>
  <si>
    <t>八</t>
    <phoneticPr fontId="3" type="noConversion"/>
  </si>
  <si>
    <t>财务费用</t>
  </si>
  <si>
    <t>按银行基准利率上浮至6%、平均贷款期限2年计算</t>
    <phoneticPr fontId="3" type="noConversion"/>
  </si>
  <si>
    <t>九</t>
    <phoneticPr fontId="3" type="noConversion"/>
  </si>
  <si>
    <t xml:space="preserve">不可预见费     </t>
    <phoneticPr fontId="3" type="noConversion"/>
  </si>
  <si>
    <t>按预计总投2%</t>
    <phoneticPr fontId="3" type="noConversion"/>
  </si>
  <si>
    <r>
      <t>测算依据</t>
    </r>
    <r>
      <rPr>
        <b/>
        <sz val="12"/>
        <rFont val="幼圆"/>
        <family val="3"/>
        <charset val="134"/>
      </rPr>
      <t>：</t>
    </r>
  </si>
  <si>
    <t>各项政府收费按XXXXXXXX市物价局公布的《XXXXXXXXXX市行政事业收费目录》规定的标准计核。</t>
  </si>
  <si>
    <t>建安工程单位造价由预算部提供。</t>
  </si>
  <si>
    <t>公共配套项目如：中学、幼儿园、托儿所等按恒大房地产公司实际造价折算。</t>
  </si>
  <si>
    <t>销售费用、管理费用、财务费用以XXXXXXXXXXXXXXXXXXXX公司近期实际发生费用率计核。</t>
  </si>
  <si>
    <t>津滨高(挂)2016-06号</t>
  </si>
  <si>
    <t>城镇住宅、其他商服用地(宜建内容为住宅、配套商业)</t>
  </si>
  <si>
    <t>大于1且小于等于1.8</t>
  </si>
  <si>
    <t>2016-07-13</t>
  </si>
  <si>
    <t>天津博广置业有限公司</t>
  </si>
  <si>
    <t>津滨高(挂)2016-05号</t>
  </si>
  <si>
    <t>滨海高新区滨海科技园</t>
  </si>
  <si>
    <t>津滨高(挂)2013-9号</t>
  </si>
  <si>
    <t>城镇住宅、商服、科教(配建幼儿园、配建小学)</t>
  </si>
  <si>
    <t>2013-07-10</t>
  </si>
  <si>
    <t>天津恒通房地产开发有限公司</t>
  </si>
  <si>
    <t>城镇住宅用地70年;商服40年;科教50年</t>
  </si>
  <si>
    <t>津滨高(挂)2013-10号</t>
  </si>
  <si>
    <t>城镇住宅用地70年;商服40年</t>
  </si>
  <si>
    <t>津高新(挂)2011-01号</t>
  </si>
  <si>
    <t>其他普通商品住房用地</t>
  </si>
  <si>
    <t>1-1.8</t>
  </si>
  <si>
    <t>2011-04-13</t>
  </si>
  <si>
    <t>天津滨海高新区资产管理有限公司</t>
  </si>
  <si>
    <t>津高新(挂)2011-02号</t>
  </si>
  <si>
    <t>滨海科技园内</t>
  </si>
  <si>
    <t>招标</t>
  </si>
  <si>
    <t>津高新(招)2010-01</t>
  </si>
  <si>
    <t>居住</t>
  </si>
  <si>
    <t>不大于1.8(包括阳台、阁楼及配套公建)</t>
  </si>
  <si>
    <t>2010-03-05</t>
  </si>
  <si>
    <t>航天时代置业发展(天津)有限公司</t>
  </si>
  <si>
    <t>津高新(挂)2009-29、30、31号</t>
  </si>
  <si>
    <t>2010-02-10</t>
  </si>
  <si>
    <t>天津海泰控股集团有限公司</t>
  </si>
  <si>
    <t>津高新(招)2009-33号</t>
  </si>
  <si>
    <t>不大于1.8</t>
  </si>
  <si>
    <t>2009-12-11</t>
  </si>
  <si>
    <t>海泰渤龙湾</t>
    <phoneticPr fontId="3" type="noConversion"/>
  </si>
  <si>
    <t>滨海科技园高新七路与海油大道交口</t>
    <phoneticPr fontId="3" type="noConversion"/>
  </si>
  <si>
    <r>
      <t>2015</t>
    </r>
    <r>
      <rPr>
        <sz val="11"/>
        <color indexed="8"/>
        <rFont val="宋体"/>
        <family val="3"/>
        <charset val="134"/>
      </rPr>
      <t>年年建成，目前墙体有脱落</t>
    </r>
    <phoneticPr fontId="21" type="noConversion"/>
  </si>
  <si>
    <r>
      <t>1T1</t>
    </r>
    <r>
      <rPr>
        <sz val="11"/>
        <rFont val="宋体"/>
        <family val="3"/>
        <charset val="134"/>
      </rPr>
      <t>户，</t>
    </r>
    <r>
      <rPr>
        <sz val="11"/>
        <rFont val="Arial"/>
        <family val="2"/>
      </rPr>
      <t>20</t>
    </r>
    <r>
      <rPr>
        <sz val="11"/>
        <rFont val="宋体"/>
        <family val="3"/>
        <charset val="134"/>
      </rPr>
      <t>层，</t>
    </r>
    <r>
      <rPr>
        <sz val="11"/>
        <rFont val="Arial"/>
        <family val="2"/>
      </rPr>
      <t>195</t>
    </r>
    <r>
      <rPr>
        <sz val="11"/>
        <rFont val="宋体"/>
        <family val="3"/>
        <charset val="134"/>
      </rPr>
      <t>平米，毛坯</t>
    </r>
    <phoneticPr fontId="21" type="noConversion"/>
  </si>
  <si>
    <t>地上楼面单价</t>
    <phoneticPr fontId="9" type="noConversion"/>
  </si>
  <si>
    <t>https://baijiahao.baidu.com/s?id=1628503729359174807&amp;wfr=spider&amp;for=pc</t>
    <phoneticPr fontId="228" type="noConversion"/>
  </si>
  <si>
    <t>意向竞买人须承诺在天津滨海高新区海洋园区范围内投资建设建筑规模10万平米以上的大型集中式商业设施，并保持集中式商业整体运营20年以上，不得分割销售。意向竞买人应按滨海高新区海洋科技园管委会要求，向其做出具体承诺或与其以合作协议等方式进行具体约定，并由滨海高新区海洋科技园管委会出具该单位已确认上述投资意向的证明文件，作为竞买报名的依据之一。</t>
    <phoneticPr fontId="228" type="noConversion"/>
  </si>
  <si>
    <t>http://w.m.sohu.com/ao/272383328_124760</t>
    <phoneticPr fontId="228" type="noConversion"/>
  </si>
  <si>
    <t>估价对象</t>
    <phoneticPr fontId="228" type="noConversion"/>
  </si>
  <si>
    <t>海洋科技园</t>
    <phoneticPr fontId="228" type="noConversion"/>
  </si>
  <si>
    <t>天津未来科技城京津合作示范区</t>
    <phoneticPr fontId="228" type="noConversion"/>
  </si>
  <si>
    <t>未来科技城京津合作示范区</t>
    <phoneticPr fontId="228" type="noConversion"/>
  </si>
  <si>
    <t>名称</t>
    <phoneticPr fontId="228" type="noConversion"/>
  </si>
  <si>
    <t>规划建筑面积</t>
    <phoneticPr fontId="228" type="noConversion"/>
  </si>
  <si>
    <t>合计</t>
    <phoneticPr fontId="228" type="noConversion"/>
  </si>
  <si>
    <t>地下</t>
    <phoneticPr fontId="228" type="noConversion"/>
  </si>
  <si>
    <t>地上</t>
    <phoneticPr fontId="228" type="noConversion"/>
  </si>
  <si>
    <t>地下</t>
    <phoneticPr fontId="228"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</si>
  <si>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</si>
  <si>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</si>
  <si>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</si>
  <si>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</si>
  <si>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</si>
  <si>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</si>
  <si>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</si>
  <si>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</si>
  <si>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</si>
  <si>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</si>
  <si>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</si>
  <si>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</si>
  <si>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</si>
  <si>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</si>
  <si>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</si>
  <si>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</si>
  <si>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</si>
  <si>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</si>
  <si>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</si>
  <si>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</si>
  <si>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r>
      <t>22#住宅楼</t>
    </r>
    <r>
      <rPr>
        <sz val="11"/>
        <color theme="1"/>
        <rFont val="宋体"/>
        <family val="3"/>
        <charset val="134"/>
        <scheme val="minor"/>
      </rPr>
      <t/>
    </r>
  </si>
  <si>
    <t>商业1</t>
    <phoneticPr fontId="228" type="noConversion"/>
  </si>
  <si>
    <t>商业2</t>
  </si>
  <si>
    <t>配建1</t>
    <phoneticPr fontId="228" type="noConversion"/>
  </si>
  <si>
    <t>配建2</t>
    <phoneticPr fontId="228" type="noConversion"/>
  </si>
  <si>
    <t>配建3（换热站）</t>
    <phoneticPr fontId="228" type="noConversion"/>
  </si>
  <si>
    <t>配建4（配电柜）</t>
    <phoneticPr fontId="228" type="noConversion"/>
  </si>
  <si>
    <t>配建5（配电柜）</t>
  </si>
  <si>
    <t>配建6（配电柜）</t>
  </si>
  <si>
    <t>配建7（配电柜）</t>
  </si>
  <si>
    <t>大门</t>
    <phoneticPr fontId="228" type="noConversion"/>
  </si>
  <si>
    <t>地下车库</t>
    <phoneticPr fontId="228" type="noConversion"/>
  </si>
  <si>
    <t>——</t>
    <phoneticPr fontId="228" type="noConversion"/>
  </si>
  <si>
    <t>合计</t>
    <phoneticPr fontId="228" type="noConversion"/>
  </si>
  <si>
    <t>1#住宅楼</t>
    <phoneticPr fontId="228" type="noConversion"/>
  </si>
  <si>
    <t>居委会</t>
    <phoneticPr fontId="228" type="noConversion"/>
  </si>
  <si>
    <t>公厕</t>
    <phoneticPr fontId="228" type="noConversion"/>
  </si>
  <si>
    <t>用途</t>
    <phoneticPr fontId="228" type="noConversion"/>
  </si>
  <si>
    <t>规划建筑面积</t>
    <phoneticPr fontId="228" type="noConversion"/>
  </si>
  <si>
    <t>社区综合服务中心</t>
    <phoneticPr fontId="228" type="noConversion"/>
  </si>
  <si>
    <t>社区文化活动中心</t>
    <phoneticPr fontId="228" type="noConversion"/>
  </si>
  <si>
    <t>土建变电站（黑号）</t>
    <phoneticPr fontId="228" type="noConversion"/>
  </si>
  <si>
    <t>配建6</t>
    <phoneticPr fontId="228" type="noConversion"/>
  </si>
  <si>
    <t>土建变电站（红号）</t>
    <phoneticPr fontId="228" type="noConversion"/>
  </si>
  <si>
    <t>层数/用途</t>
    <phoneticPr fontId="228" type="noConversion"/>
  </si>
  <si>
    <t>住宅</t>
    <phoneticPr fontId="228" type="noConversion"/>
  </si>
  <si>
    <t>建筑物性质</t>
    <phoneticPr fontId="228" type="noConversion"/>
  </si>
  <si>
    <t>地下空间使用性质</t>
    <phoneticPr fontId="228" type="noConversion"/>
  </si>
  <si>
    <t>附属用房</t>
    <phoneticPr fontId="228" type="noConversion"/>
  </si>
  <si>
    <t>非机动车库</t>
    <phoneticPr fontId="228" type="noConversion"/>
  </si>
  <si>
    <t>商业</t>
    <phoneticPr fontId="228" type="noConversion"/>
  </si>
  <si>
    <t>配套公建</t>
    <phoneticPr fontId="228" type="noConversion"/>
  </si>
  <si>
    <t>无</t>
    <phoneticPr fontId="228" type="noConversion"/>
  </si>
  <si>
    <t>设备间</t>
    <phoneticPr fontId="228" type="noConversion"/>
  </si>
  <si>
    <t>停车/设备/附属用房</t>
    <phoneticPr fontId="228" type="noConversion"/>
  </si>
  <si>
    <t>非经营性</t>
    <phoneticPr fontId="228" type="noConversion"/>
  </si>
  <si>
    <t>经营性</t>
    <phoneticPr fontId="228" type="noConversion"/>
  </si>
  <si>
    <t>小计</t>
    <phoneticPr fontId="228" type="noConversion"/>
  </si>
  <si>
    <t>地上（计容）</t>
    <phoneticPr fontId="228" type="noConversion"/>
  </si>
  <si>
    <t>移动通信设备间</t>
    <phoneticPr fontId="228" type="noConversion"/>
  </si>
  <si>
    <t>有限电视设备间</t>
    <phoneticPr fontId="228" type="noConversion"/>
  </si>
  <si>
    <t>给水泵房</t>
    <phoneticPr fontId="228" type="noConversion"/>
  </si>
  <si>
    <t>消防水池</t>
    <phoneticPr fontId="228" type="noConversion"/>
  </si>
  <si>
    <t>消防水泵房</t>
    <phoneticPr fontId="228" type="noConversion"/>
  </si>
  <si>
    <t>中水泵房</t>
    <phoneticPr fontId="228" type="noConversion"/>
  </si>
  <si>
    <t>园林景观水泵房</t>
    <phoneticPr fontId="228" type="noConversion"/>
  </si>
  <si>
    <t>配套公建明细</t>
    <phoneticPr fontId="228" type="noConversion"/>
  </si>
  <si>
    <t>物业管理用房</t>
    <phoneticPr fontId="228" type="noConversion"/>
  </si>
  <si>
    <t>警务房</t>
    <phoneticPr fontId="228" type="noConversion"/>
  </si>
  <si>
    <t>商业服务网点</t>
    <phoneticPr fontId="228" type="noConversion"/>
  </si>
  <si>
    <t>经营性商业</t>
    <phoneticPr fontId="228" type="noConversion"/>
  </si>
  <si>
    <t>配建4、5、7</t>
    <phoneticPr fontId="228" type="noConversion"/>
  </si>
  <si>
    <t>消防控制室</t>
    <phoneticPr fontId="228" type="noConversion"/>
  </si>
  <si>
    <t>消防水箱间</t>
    <phoneticPr fontId="228" type="noConversion"/>
  </si>
  <si>
    <t>9#</t>
    <phoneticPr fontId="228" type="noConversion"/>
  </si>
  <si>
    <t>大门</t>
    <phoneticPr fontId="228" type="noConversion"/>
  </si>
  <si>
    <t>配建2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</si>
</sst>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Red]\(#,##0.00\)"/>
    <numFmt numFmtId="195" formatCode="#,##0.000;\-#,##0.000"/>
    <numFmt numFmtId="196" formatCode="_ * #,##0.00_ ;_ * \-#,##0.00_ ;_ * &quot;-&quot;??_ ;_ @_ "/>
    <numFmt numFmtId="197" formatCode="#,##0_);[Red]\(#,##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name val="隶书"/>
      <family val="3"/>
      <charset val="134"/>
    </font>
    <font>
      <b/>
      <sz val="12"/>
      <name val="Times New Roman"/>
      <family val="1"/>
    </font>
    <font>
      <sz val="11"/>
      <name val="Times New Roman"/>
      <family val="1"/>
    </font>
    <font>
      <b/>
      <sz val="11"/>
      <name val="Times New Roman"/>
      <family val="1"/>
    </font>
    <font>
      <sz val="10"/>
      <name val="幼圆"/>
      <family val="3"/>
      <charset val="134"/>
    </font>
    <font>
      <sz val="10.5"/>
      <name val="宋体"/>
      <family val="3"/>
      <charset val="134"/>
    </font>
    <font>
      <sz val="11"/>
      <color indexed="15"/>
      <name val="Times New Roman"/>
      <family val="1"/>
    </font>
    <font>
      <b/>
      <u/>
      <sz val="12"/>
      <name val="幼圆"/>
      <family val="3"/>
      <charset val="134"/>
    </font>
    <font>
      <b/>
      <sz val="12"/>
      <name val="幼圆"/>
      <family val="3"/>
      <charset val="134"/>
    </font>
    <font>
      <b/>
      <sz val="12"/>
      <color indexed="12"/>
      <name val="Times New Roman"/>
      <family val="1"/>
    </font>
    <font>
      <b/>
      <sz val="11"/>
      <color indexed="12"/>
      <name val="Times New Roman"/>
      <family val="1"/>
    </font>
    <font>
      <sz val="14"/>
      <name val="Times New Roman"/>
      <family val="1"/>
    </font>
    <font>
      <sz val="12"/>
      <name val="幼圆"/>
      <family val="3"/>
      <charset val="134"/>
    </font>
    <font>
      <b/>
      <sz val="11"/>
      <name val="幼圆"/>
      <family val="3"/>
      <charset val="134"/>
    </font>
    <font>
      <u/>
      <sz val="11"/>
      <color theme="10"/>
      <name val="宋体"/>
      <family val="3"/>
      <charset val="134"/>
      <scheme val="minor"/>
    </font>
    <font>
      <sz val="10"/>
      <color theme="1"/>
      <name val="微软雅黑"/>
      <family val="2"/>
      <charset val="134"/>
    </font>
    <font>
      <b/>
      <sz val="10"/>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7"/>
        <bgColor indexed="64"/>
      </patternFill>
    </fill>
    <fill>
      <patternFill patternType="solid">
        <fgColor indexed="31"/>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0" tint="-0.499984740745262"/>
        <bgColor indexed="64"/>
      </patternFill>
    </fill>
  </fills>
  <borders count="1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8"/>
      </left>
      <right style="hair">
        <color indexed="8"/>
      </right>
      <top style="hair">
        <color indexed="8"/>
      </top>
      <bottom/>
      <diagonal/>
    </border>
    <border>
      <left style="hair">
        <color indexed="8"/>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8"/>
      </right>
      <top style="hair">
        <color indexed="64"/>
      </top>
      <bottom style="hair">
        <color indexed="8"/>
      </bottom>
      <diagonal/>
    </border>
    <border>
      <left style="hair">
        <color indexed="8"/>
      </left>
      <right style="hair">
        <color indexed="8"/>
      </right>
      <top style="hair">
        <color indexed="64"/>
      </top>
      <bottom style="hair">
        <color indexed="8"/>
      </bottom>
      <diagonal/>
    </border>
    <border>
      <left style="hair">
        <color indexed="8"/>
      </left>
      <right style="thin">
        <color indexed="64"/>
      </right>
      <top style="hair">
        <color indexed="64"/>
      </top>
      <bottom style="hair">
        <color indexed="8"/>
      </bottom>
      <diagonal/>
    </border>
    <border>
      <left style="thin">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88" fillId="0" borderId="0" applyNumberFormat="0" applyFill="0" applyBorder="0" applyAlignment="0" applyProtection="0">
      <alignment vertical="center"/>
    </xf>
  </cellStyleXfs>
  <cellXfs count="36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94" fontId="276" fillId="0" borderId="157" xfId="0" applyNumberFormat="1" applyFont="1" applyFill="1" applyBorder="1" applyAlignment="1" applyProtection="1">
      <alignment horizontal="right" vertical="center"/>
    </xf>
    <xf numFmtId="0" fontId="0" fillId="0" borderId="0" xfId="0" applyFont="1" applyAlignment="1"/>
    <xf numFmtId="0" fontId="144" fillId="0" borderId="0" xfId="0" applyFont="1" applyAlignment="1"/>
    <xf numFmtId="196" fontId="144" fillId="0" borderId="0" xfId="0" applyNumberFormat="1" applyFont="1" applyAlignment="1"/>
    <xf numFmtId="0" fontId="32" fillId="0" borderId="0" xfId="0" applyFont="1" applyAlignment="1"/>
    <xf numFmtId="0" fontId="0" fillId="0" borderId="0" xfId="0" applyFill="1" applyAlignment="1"/>
    <xf numFmtId="0" fontId="0" fillId="0" borderId="0" xfId="0" applyAlignment="1" applyProtection="1"/>
    <xf numFmtId="195" fontId="0" fillId="0" borderId="0" xfId="0" applyNumberFormat="1" applyAlignment="1" applyProtection="1"/>
    <xf numFmtId="39" fontId="0" fillId="0" borderId="0" xfId="0" applyNumberFormat="1" applyAlignment="1" applyProtection="1"/>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71" fillId="7" borderId="1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144" fillId="2" borderId="50" xfId="0" applyNumberFormat="1" applyFont="1" applyFill="1" applyBorder="1" applyAlignment="1" applyProtection="1">
      <alignment horizontal="center" vertical="center" wrapText="1"/>
      <protection locked="0"/>
    </xf>
    <xf numFmtId="10" fontId="76" fillId="5" borderId="0" xfId="0" applyNumberFormat="1" applyFont="1" applyFill="1" applyAlignment="1" applyProtection="1">
      <alignment vertical="center"/>
      <protection locked="0"/>
    </xf>
    <xf numFmtId="0" fontId="86" fillId="0" borderId="0" xfId="16" applyAlignment="1">
      <alignment vertical="center"/>
    </xf>
    <xf numFmtId="0" fontId="0" fillId="0" borderId="0" xfId="0" applyAlignment="1">
      <alignment vertical="center"/>
    </xf>
    <xf numFmtId="0" fontId="86" fillId="19" borderId="0" xfId="16" applyFill="1" applyAlignment="1">
      <alignment vertical="center"/>
    </xf>
    <xf numFmtId="0" fontId="0" fillId="19" borderId="0" xfId="0" applyFill="1" applyAlignment="1">
      <alignment vertical="center"/>
    </xf>
    <xf numFmtId="0" fontId="86" fillId="0" borderId="0" xfId="16" applyFill="1" applyAlignment="1">
      <alignment vertical="center"/>
    </xf>
    <xf numFmtId="0" fontId="0" fillId="0" borderId="0" xfId="0" applyFill="1" applyAlignment="1">
      <alignment vertical="center"/>
    </xf>
    <xf numFmtId="0" fontId="86" fillId="18" borderId="0" xfId="16" applyFill="1" applyAlignment="1">
      <alignment vertical="center"/>
    </xf>
    <xf numFmtId="0" fontId="0" fillId="18" borderId="0" xfId="0" applyFill="1" applyAlignment="1">
      <alignment vertical="center"/>
    </xf>
    <xf numFmtId="0" fontId="0" fillId="0" borderId="2" xfId="0" applyBorder="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0" fillId="0" borderId="0" xfId="0" applyFill="1" applyAlignment="1" applyProtection="1">
      <alignment horizontal="centerContinuous"/>
    </xf>
    <xf numFmtId="179" fontId="0" fillId="0" borderId="0" xfId="0" applyNumberFormat="1" applyFill="1" applyAlignment="1"/>
    <xf numFmtId="179" fontId="0" fillId="0" borderId="0" xfId="0" applyNumberFormat="1" applyFill="1" applyAlignment="1">
      <alignment horizontal="center"/>
    </xf>
    <xf numFmtId="197" fontId="43" fillId="0" borderId="157" xfId="0" applyNumberFormat="1" applyFont="1" applyFill="1" applyBorder="1" applyAlignment="1" applyProtection="1">
      <alignment horizontal="center" vertical="center"/>
    </xf>
    <xf numFmtId="194" fontId="43" fillId="0" borderId="169" xfId="0" applyNumberFormat="1" applyFont="1" applyFill="1" applyBorder="1" applyAlignment="1" applyProtection="1">
      <alignment horizontal="center" vertical="center"/>
    </xf>
    <xf numFmtId="0" fontId="127" fillId="0" borderId="0" xfId="0" applyFont="1" applyFill="1" applyBorder="1" applyAlignment="1" applyProtection="1">
      <alignment horizontal="center"/>
    </xf>
    <xf numFmtId="0" fontId="279" fillId="0" borderId="0" xfId="0" applyFont="1" applyAlignment="1"/>
    <xf numFmtId="184" fontId="276" fillId="20" borderId="170" xfId="0" applyNumberFormat="1" applyFont="1" applyFill="1" applyBorder="1" applyAlignment="1" applyProtection="1">
      <alignment horizontal="center"/>
    </xf>
    <xf numFmtId="39" fontId="247" fillId="20" borderId="171" xfId="0" applyNumberFormat="1" applyFont="1" applyFill="1" applyBorder="1" applyAlignment="1" applyProtection="1">
      <alignment horizontal="center"/>
    </xf>
    <xf numFmtId="39" fontId="277" fillId="20" borderId="171" xfId="0" applyNumberFormat="1" applyFont="1" applyFill="1" applyBorder="1" applyAlignment="1" applyProtection="1">
      <alignment horizontal="center"/>
    </xf>
    <xf numFmtId="39" fontId="276" fillId="20" borderId="171" xfId="0" applyNumberFormat="1" applyFont="1" applyFill="1" applyBorder="1" applyAlignment="1" applyProtection="1"/>
    <xf numFmtId="39" fontId="276" fillId="20" borderId="172" xfId="0" applyNumberFormat="1" applyFont="1" applyFill="1" applyBorder="1" applyAlignment="1" applyProtection="1"/>
    <xf numFmtId="37" fontId="276" fillId="0" borderId="0" xfId="0" applyNumberFormat="1" applyFont="1" applyFill="1" applyBorder="1" applyAlignment="1" applyProtection="1">
      <alignment horizontal="right" vertical="center"/>
    </xf>
    <xf numFmtId="0" fontId="0" fillId="21" borderId="0" xfId="0" applyFill="1" applyAlignment="1"/>
    <xf numFmtId="39" fontId="276" fillId="0" borderId="0" xfId="0" applyNumberFormat="1" applyFont="1" applyFill="1" applyBorder="1" applyAlignment="1" applyProtection="1">
      <alignment horizontal="right" vertical="center"/>
    </xf>
    <xf numFmtId="0" fontId="127" fillId="3" borderId="173" xfId="0" applyFont="1" applyFill="1" applyBorder="1" applyAlignment="1" applyProtection="1">
      <alignment vertical="center" wrapText="1"/>
    </xf>
    <xf numFmtId="194" fontId="276" fillId="3" borderId="157" xfId="0" applyNumberFormat="1" applyFont="1" applyFill="1" applyBorder="1" applyAlignment="1" applyProtection="1">
      <alignment horizontal="right" vertical="center"/>
    </xf>
    <xf numFmtId="0" fontId="127" fillId="3" borderId="157" xfId="0" applyFont="1" applyFill="1" applyBorder="1" applyAlignment="1" applyProtection="1">
      <alignment vertical="center" wrapText="1"/>
    </xf>
    <xf numFmtId="37" fontId="127" fillId="0" borderId="174" xfId="0" applyNumberFormat="1" applyFont="1" applyFill="1" applyBorder="1" applyAlignment="1" applyProtection="1">
      <alignment horizontal="center"/>
    </xf>
    <xf numFmtId="37" fontId="127" fillId="0" borderId="175" xfId="0" applyNumberFormat="1" applyFont="1" applyFill="1" applyBorder="1" applyAlignment="1" applyProtection="1">
      <alignment horizontal="center"/>
    </xf>
    <xf numFmtId="194" fontId="277" fillId="22" borderId="169" xfId="0" applyNumberFormat="1" applyFont="1" applyFill="1" applyBorder="1" applyAlignment="1" applyProtection="1">
      <alignment vertical="center"/>
    </xf>
    <xf numFmtId="0" fontId="127" fillId="22" borderId="173" xfId="0" applyFont="1" applyFill="1" applyBorder="1" applyAlignment="1" applyProtection="1">
      <alignment horizontal="center" vertical="center" wrapText="1"/>
    </xf>
    <xf numFmtId="194" fontId="277" fillId="22" borderId="157" xfId="0" applyNumberFormat="1" applyFont="1" applyFill="1" applyBorder="1" applyAlignment="1" applyProtection="1">
      <alignment horizontal="left" vertical="center"/>
    </xf>
    <xf numFmtId="0" fontId="127" fillId="23" borderId="157" xfId="0" applyFont="1" applyFill="1" applyBorder="1" applyAlignment="1" applyProtection="1">
      <alignment vertical="center" wrapText="1"/>
    </xf>
    <xf numFmtId="194" fontId="277" fillId="23" borderId="157" xfId="0" applyNumberFormat="1" applyFont="1" applyFill="1" applyBorder="1" applyAlignment="1" applyProtection="1">
      <alignment vertical="center"/>
    </xf>
    <xf numFmtId="194" fontId="0" fillId="0" borderId="0" xfId="0" applyNumberFormat="1" applyFont="1" applyAlignment="1"/>
    <xf numFmtId="0" fontId="43" fillId="0" borderId="173" xfId="0" applyNumberFormat="1" applyFont="1" applyFill="1" applyBorder="1" applyAlignment="1" applyProtection="1">
      <alignment horizontal="center" vertical="center"/>
    </xf>
    <xf numFmtId="0" fontId="127" fillId="0" borderId="157" xfId="0" applyFont="1" applyFill="1" applyBorder="1" applyAlignment="1" applyProtection="1">
      <alignment vertical="center" wrapText="1"/>
    </xf>
    <xf numFmtId="194" fontId="276" fillId="0" borderId="157" xfId="0" applyNumberFormat="1" applyFont="1" applyFill="1" applyBorder="1" applyAlignment="1" applyProtection="1">
      <alignment vertical="center"/>
    </xf>
    <xf numFmtId="194" fontId="276" fillId="3" borderId="169" xfId="0" applyNumberFormat="1" applyFont="1" applyFill="1" applyBorder="1" applyAlignment="1" applyProtection="1">
      <alignment horizontal="right" vertical="center"/>
    </xf>
    <xf numFmtId="194" fontId="276" fillId="0" borderId="0" xfId="0" applyNumberFormat="1" applyFont="1" applyFill="1" applyBorder="1" applyAlignment="1" applyProtection="1">
      <alignment horizontal="right" vertical="center"/>
    </xf>
    <xf numFmtId="0" fontId="247" fillId="22" borderId="173" xfId="0" applyFont="1" applyFill="1" applyBorder="1" applyAlignment="1" applyProtection="1">
      <alignment horizontal="center" vertical="center"/>
    </xf>
    <xf numFmtId="0" fontId="229" fillId="22" borderId="157" xfId="0" applyFont="1" applyFill="1" applyBorder="1" applyAlignment="1" applyProtection="1">
      <alignment horizontal="left" vertical="center" wrapText="1"/>
    </xf>
    <xf numFmtId="0" fontId="278" fillId="22" borderId="157" xfId="0" applyFont="1" applyFill="1" applyBorder="1" applyAlignment="1" applyProtection="1">
      <alignment vertical="center"/>
    </xf>
    <xf numFmtId="194" fontId="277" fillId="22" borderId="157" xfId="0" applyNumberFormat="1" applyFont="1" applyFill="1" applyBorder="1" applyAlignment="1" applyProtection="1">
      <alignment vertical="center"/>
    </xf>
    <xf numFmtId="0" fontId="127" fillId="0" borderId="173" xfId="0" applyFont="1" applyFill="1" applyBorder="1" applyAlignment="1" applyProtection="1">
      <alignment horizontal="center" vertical="center"/>
    </xf>
    <xf numFmtId="0" fontId="127" fillId="0" borderId="157" xfId="0" applyFont="1" applyFill="1" applyBorder="1" applyAlignment="1" applyProtection="1">
      <alignment horizontal="left" vertical="center" wrapText="1"/>
    </xf>
    <xf numFmtId="194" fontId="276" fillId="0" borderId="169" xfId="0" applyNumberFormat="1" applyFont="1" applyFill="1" applyBorder="1" applyAlignment="1" applyProtection="1">
      <alignment vertical="center"/>
    </xf>
    <xf numFmtId="194" fontId="280" fillId="0" borderId="0" xfId="0" applyNumberFormat="1" applyFont="1" applyFill="1" applyBorder="1" applyAlignment="1" applyProtection="1">
      <alignment horizontal="right" vertical="center"/>
    </xf>
    <xf numFmtId="4" fontId="0" fillId="0" borderId="0" xfId="0" applyNumberFormat="1" applyFont="1" applyAlignment="1"/>
    <xf numFmtId="0" fontId="276" fillId="22" borderId="157" xfId="0" applyFont="1" applyFill="1" applyBorder="1" applyAlignment="1" applyProtection="1">
      <alignment vertical="center" wrapText="1"/>
    </xf>
    <xf numFmtId="0" fontId="144" fillId="0" borderId="0" xfId="0" applyFont="1" applyFill="1" applyAlignment="1"/>
    <xf numFmtId="194" fontId="144" fillId="0" borderId="0" xfId="0" applyNumberFormat="1" applyFont="1" applyFill="1" applyAlignment="1"/>
    <xf numFmtId="194" fontId="276" fillId="8" borderId="157" xfId="0" applyNumberFormat="1" applyFont="1" applyFill="1" applyBorder="1" applyAlignment="1" applyProtection="1">
      <alignment horizontal="right" vertical="center"/>
    </xf>
    <xf numFmtId="194" fontId="0" fillId="0" borderId="0" xfId="0" applyNumberFormat="1" applyFill="1" applyAlignment="1"/>
    <xf numFmtId="0" fontId="247" fillId="22" borderId="173" xfId="0" applyFont="1" applyFill="1" applyBorder="1" applyAlignment="1" applyProtection="1">
      <alignment horizontal="center" vertical="center" wrapText="1"/>
    </xf>
    <xf numFmtId="0" fontId="229" fillId="22" borderId="157" xfId="0" applyFont="1" applyFill="1" applyBorder="1" applyAlignment="1" applyProtection="1">
      <alignment horizontal="left" vertical="center"/>
    </xf>
    <xf numFmtId="0" fontId="275" fillId="22" borderId="157" xfId="0" applyFont="1" applyFill="1" applyBorder="1" applyAlignment="1" applyProtection="1">
      <alignment vertical="center" wrapText="1"/>
    </xf>
    <xf numFmtId="194" fontId="276" fillId="0" borderId="169" xfId="0" applyNumberFormat="1" applyFont="1" applyFill="1" applyBorder="1" applyAlignment="1" applyProtection="1">
      <alignment horizontal="right" vertical="center"/>
    </xf>
    <xf numFmtId="0" fontId="247" fillId="22" borderId="157" xfId="0" applyFont="1" applyFill="1" applyBorder="1" applyAlignment="1" applyProtection="1">
      <alignment horizontal="left" vertical="center" wrapText="1"/>
    </xf>
    <xf numFmtId="10" fontId="127" fillId="22" borderId="157" xfId="0" applyNumberFormat="1" applyFont="1" applyFill="1" applyBorder="1" applyAlignment="1" applyProtection="1"/>
    <xf numFmtId="194" fontId="277" fillId="22" borderId="157" xfId="0" applyNumberFormat="1" applyFont="1" applyFill="1" applyBorder="1" applyAlignment="1" applyProtection="1">
      <alignment horizontal="right" vertical="center"/>
    </xf>
    <xf numFmtId="0" fontId="127" fillId="0" borderId="158" xfId="0" applyFont="1" applyFill="1" applyBorder="1" applyAlignment="1" applyProtection="1">
      <alignment horizontal="left" vertical="center" wrapText="1"/>
    </xf>
    <xf numFmtId="194" fontId="276" fillId="0" borderId="176" xfId="0" applyNumberFormat="1" applyFont="1" applyFill="1" applyBorder="1" applyAlignment="1" applyProtection="1">
      <alignment horizontal="right" vertical="center"/>
    </xf>
    <xf numFmtId="0" fontId="221" fillId="22" borderId="168" xfId="0" applyNumberFormat="1" applyFont="1" applyFill="1" applyBorder="1" applyAlignment="1" applyProtection="1">
      <alignment horizontal="center" vertical="center"/>
    </xf>
    <xf numFmtId="0" fontId="221" fillId="22" borderId="155" xfId="0" applyFont="1" applyFill="1" applyBorder="1" applyAlignment="1" applyProtection="1">
      <alignment horizontal="left" vertical="center"/>
    </xf>
    <xf numFmtId="9" fontId="127" fillId="22" borderId="155" xfId="0" applyNumberFormat="1" applyFont="1" applyFill="1" applyBorder="1" applyAlignment="1" applyProtection="1">
      <alignment vertical="center" wrapText="1"/>
    </xf>
    <xf numFmtId="194" fontId="277" fillId="22" borderId="155" xfId="0" applyNumberFormat="1" applyFont="1" applyFill="1" applyBorder="1" applyAlignment="1" applyProtection="1">
      <alignment horizontal="right" vertical="center"/>
    </xf>
    <xf numFmtId="0" fontId="127" fillId="0" borderId="158" xfId="0" applyFont="1" applyFill="1" applyBorder="1" applyAlignment="1" applyProtection="1">
      <alignment horizontal="center" vertical="center" wrapText="1"/>
    </xf>
    <xf numFmtId="9" fontId="127" fillId="8" borderId="155" xfId="0" applyNumberFormat="1" applyFont="1" applyFill="1" applyBorder="1" applyAlignment="1" applyProtection="1">
      <alignment vertical="center" wrapText="1"/>
    </xf>
    <xf numFmtId="0" fontId="247" fillId="22" borderId="173" xfId="0" applyNumberFormat="1" applyFont="1" applyFill="1" applyBorder="1" applyAlignment="1" applyProtection="1">
      <alignment horizontal="center" vertical="center"/>
    </xf>
    <xf numFmtId="0" fontId="127" fillId="22" borderId="157" xfId="0" applyFont="1" applyFill="1" applyBorder="1" applyAlignment="1" applyProtection="1">
      <alignment vertical="center" wrapText="1"/>
    </xf>
    <xf numFmtId="194" fontId="277" fillId="22" borderId="169" xfId="0" applyNumberFormat="1" applyFont="1" applyFill="1" applyBorder="1" applyAlignment="1" applyProtection="1">
      <alignment horizontal="right" vertical="center"/>
    </xf>
    <xf numFmtId="0" fontId="247" fillId="22" borderId="177" xfId="0" applyNumberFormat="1" applyFont="1" applyFill="1" applyBorder="1" applyAlignment="1" applyProtection="1">
      <alignment horizontal="center" vertical="center"/>
    </xf>
    <xf numFmtId="0" fontId="229" fillId="22" borderId="178" xfId="0" applyFont="1" applyFill="1" applyBorder="1" applyAlignment="1" applyProtection="1">
      <alignment horizontal="left" vertical="center"/>
    </xf>
    <xf numFmtId="10" fontId="127" fillId="22" borderId="178" xfId="0" applyNumberFormat="1" applyFont="1" applyFill="1" applyBorder="1" applyAlignment="1" applyProtection="1">
      <alignment vertical="center" wrapText="1"/>
    </xf>
    <xf numFmtId="194" fontId="277" fillId="22" borderId="178" xfId="0" applyNumberFormat="1" applyFont="1" applyFill="1" applyBorder="1" applyAlignment="1" applyProtection="1">
      <alignment horizontal="right" vertical="center"/>
    </xf>
    <xf numFmtId="194" fontId="277" fillId="22" borderId="179" xfId="0" applyNumberFormat="1" applyFont="1" applyFill="1" applyBorder="1" applyAlignment="1" applyProtection="1">
      <alignment vertical="center"/>
    </xf>
    <xf numFmtId="0" fontId="281" fillId="0" borderId="0" xfId="0" applyFont="1" applyFill="1" applyBorder="1" applyAlignment="1" applyProtection="1">
      <alignment horizontal="left" vertical="center"/>
    </xf>
    <xf numFmtId="0" fontId="283" fillId="0" borderId="0" xfId="0" applyFont="1" applyFill="1" applyBorder="1" applyAlignment="1" applyProtection="1">
      <alignment horizontal="left" vertical="center" wrapText="1"/>
    </xf>
    <xf numFmtId="0" fontId="229" fillId="0" borderId="0" xfId="0" applyFont="1" applyFill="1" applyBorder="1" applyAlignment="1" applyProtection="1">
      <alignment horizontal="center" wrapText="1"/>
    </xf>
    <xf numFmtId="195" fontId="276" fillId="0" borderId="0" xfId="0" applyNumberFormat="1" applyFont="1" applyFill="1" applyBorder="1" applyAlignment="1" applyProtection="1"/>
    <xf numFmtId="194" fontId="284" fillId="0" borderId="0" xfId="0" applyNumberFormat="1" applyFont="1" applyFill="1" applyBorder="1" applyAlignment="1" applyProtection="1"/>
    <xf numFmtId="195" fontId="284" fillId="0" borderId="0" xfId="0" applyNumberFormat="1" applyFont="1" applyFill="1" applyBorder="1" applyAlignment="1" applyProtection="1"/>
    <xf numFmtId="0" fontId="285" fillId="0" borderId="0" xfId="0" applyNumberFormat="1" applyFont="1" applyFill="1" applyBorder="1" applyAlignment="1" applyProtection="1">
      <alignment horizontal="center" vertical="center"/>
    </xf>
    <xf numFmtId="0" fontId="0" fillId="0" borderId="0" xfId="0" applyFont="1" applyFill="1" applyAlignment="1"/>
    <xf numFmtId="0" fontId="276" fillId="0" borderId="0" xfId="0" applyNumberFormat="1" applyFont="1" applyFill="1" applyBorder="1" applyAlignment="1" applyProtection="1">
      <alignment horizontal="center" vertical="center"/>
    </xf>
    <xf numFmtId="0" fontId="32" fillId="0" borderId="0" xfId="0" applyFont="1" applyFill="1" applyAlignment="1"/>
    <xf numFmtId="0" fontId="287" fillId="0" borderId="0" xfId="0" applyFont="1" applyFill="1" applyBorder="1" applyAlignment="1" applyProtection="1"/>
    <xf numFmtId="0" fontId="286" fillId="0" borderId="0" xfId="0" applyFont="1" applyFill="1" applyAlignment="1"/>
    <xf numFmtId="0" fontId="0" fillId="0" borderId="0" xfId="0" applyFill="1" applyAlignment="1" applyProtection="1"/>
    <xf numFmtId="195" fontId="32" fillId="0" borderId="0" xfId="0" applyNumberFormat="1" applyFont="1" applyFill="1" applyAlignment="1" applyProtection="1"/>
    <xf numFmtId="195" fontId="0" fillId="0" borderId="0" xfId="0" applyNumberFormat="1" applyFill="1" applyAlignment="1" applyProtection="1"/>
    <xf numFmtId="0" fontId="32" fillId="0" borderId="0" xfId="0" applyFont="1" applyFill="1" applyAlignment="1" applyProtection="1"/>
    <xf numFmtId="39" fontId="0" fillId="0" borderId="0" xfId="0" applyNumberFormat="1" applyFill="1" applyAlignment="1" applyProtection="1"/>
    <xf numFmtId="195" fontId="32" fillId="0" borderId="0" xfId="0" applyNumberFormat="1" applyFont="1" applyAlignment="1" applyProtection="1"/>
    <xf numFmtId="39" fontId="32" fillId="0" borderId="0" xfId="0" applyNumberFormat="1" applyFont="1" applyAlignment="1" applyProtection="1"/>
    <xf numFmtId="0" fontId="0" fillId="24" borderId="0" xfId="0" applyFill="1">
      <alignment vertical="center"/>
    </xf>
    <xf numFmtId="9" fontId="71" fillId="7" borderId="64" xfId="0" applyNumberFormat="1" applyFont="1" applyFill="1" applyBorder="1" applyAlignment="1" applyProtection="1">
      <alignment horizontal="center" vertical="center" wrapText="1"/>
      <protection locked="0"/>
    </xf>
    <xf numFmtId="0" fontId="134" fillId="5" borderId="0" xfId="0" applyFont="1" applyFill="1" applyProtection="1">
      <alignment vertical="center"/>
      <protection locked="0"/>
    </xf>
    <xf numFmtId="0" fontId="85" fillId="5" borderId="0" xfId="0" applyFont="1" applyFill="1" applyProtection="1">
      <alignment vertical="center"/>
      <protection locked="0"/>
    </xf>
    <xf numFmtId="0" fontId="71" fillId="7" borderId="11" xfId="0" applyFont="1" applyFill="1" applyBorder="1" applyAlignment="1" applyProtection="1">
      <alignment vertical="center"/>
      <protection locked="0"/>
    </xf>
    <xf numFmtId="0" fontId="145" fillId="0" borderId="0" xfId="0" applyFont="1" applyAlignment="1">
      <alignment vertical="center"/>
    </xf>
    <xf numFmtId="0" fontId="288" fillId="0" borderId="0" xfId="17" applyAlignment="1">
      <alignment vertical="center"/>
    </xf>
    <xf numFmtId="0" fontId="288" fillId="0" borderId="0" xfId="17" applyFill="1" applyAlignment="1">
      <alignment vertical="center"/>
    </xf>
    <xf numFmtId="0" fontId="146" fillId="0" borderId="0" xfId="0" applyFont="1">
      <alignment vertical="center"/>
    </xf>
    <xf numFmtId="0" fontId="127" fillId="0" borderId="0" xfId="16" applyFont="1" applyFill="1" applyAlignment="1">
      <alignment vertical="center"/>
    </xf>
    <xf numFmtId="0" fontId="289" fillId="0" borderId="12" xfId="0" applyFont="1" applyBorder="1" applyAlignment="1">
      <alignment horizontal="left" vertical="center"/>
    </xf>
    <xf numFmtId="0" fontId="289" fillId="0" borderId="11" xfId="0" applyFont="1" applyBorder="1" applyAlignment="1">
      <alignment horizontal="left" vertical="center"/>
    </xf>
    <xf numFmtId="0" fontId="289" fillId="0" borderId="50" xfId="0" applyFont="1" applyBorder="1" applyAlignment="1">
      <alignment horizontal="left" vertical="center"/>
    </xf>
    <xf numFmtId="0" fontId="289" fillId="0" borderId="51" xfId="0" applyFont="1" applyBorder="1" applyAlignment="1">
      <alignment horizontal="left" vertical="center"/>
    </xf>
    <xf numFmtId="0" fontId="289" fillId="0" borderId="0" xfId="0" applyFont="1" applyAlignment="1">
      <alignment horizontal="left" vertical="top"/>
    </xf>
    <xf numFmtId="0" fontId="290" fillId="0" borderId="44" xfId="0" applyFont="1" applyBorder="1" applyAlignment="1">
      <alignment horizontal="left" vertical="top"/>
    </xf>
    <xf numFmtId="0" fontId="289" fillId="0" borderId="50" xfId="0" applyFont="1" applyBorder="1" applyAlignment="1">
      <alignment horizontal="left" vertical="top"/>
    </xf>
    <xf numFmtId="0" fontId="289" fillId="0" borderId="21" xfId="0" applyFont="1" applyBorder="1" applyAlignment="1">
      <alignment horizontal="left" vertical="top"/>
    </xf>
    <xf numFmtId="0" fontId="289" fillId="0" borderId="51" xfId="0" applyFont="1" applyBorder="1" applyAlignment="1">
      <alignment horizontal="left" vertical="top"/>
    </xf>
    <xf numFmtId="0" fontId="289" fillId="0" borderId="11" xfId="0" applyFont="1" applyBorder="1" applyAlignment="1">
      <alignment horizontal="left" vertical="top"/>
    </xf>
    <xf numFmtId="0" fontId="289" fillId="0" borderId="2" xfId="0" applyFont="1" applyBorder="1" applyAlignment="1">
      <alignment horizontal="left" vertical="top"/>
    </xf>
    <xf numFmtId="0" fontId="289" fillId="0" borderId="12" xfId="0" applyFont="1" applyBorder="1" applyAlignment="1">
      <alignment horizontal="left" vertical="top"/>
    </xf>
    <xf numFmtId="0" fontId="290" fillId="0" borderId="0" xfId="0" applyFont="1" applyAlignment="1">
      <alignment horizontal="left" vertical="top"/>
    </xf>
    <xf numFmtId="0" fontId="289" fillId="6" borderId="43" xfId="0" applyFont="1" applyFill="1" applyBorder="1" applyAlignment="1">
      <alignment horizontal="left" vertical="top"/>
    </xf>
    <xf numFmtId="0" fontId="289" fillId="6" borderId="44" xfId="0" applyFont="1" applyFill="1" applyBorder="1" applyAlignment="1">
      <alignment horizontal="left" vertical="top"/>
    </xf>
    <xf numFmtId="0" fontId="289" fillId="6" borderId="46" xfId="0" applyFont="1" applyFill="1" applyBorder="1" applyAlignment="1">
      <alignment horizontal="left" vertical="top"/>
    </xf>
    <xf numFmtId="0" fontId="289" fillId="6" borderId="11" xfId="0" applyFont="1" applyFill="1" applyBorder="1" applyAlignment="1">
      <alignment horizontal="left" vertical="center"/>
    </xf>
    <xf numFmtId="0" fontId="289" fillId="6" borderId="12" xfId="0" applyFont="1" applyFill="1" applyBorder="1" applyAlignment="1">
      <alignment horizontal="left" vertical="center"/>
    </xf>
    <xf numFmtId="0" fontId="289" fillId="6" borderId="22" xfId="0" applyFont="1" applyFill="1" applyBorder="1" applyAlignment="1">
      <alignment horizontal="left" vertical="center"/>
    </xf>
    <xf numFmtId="0" fontId="289" fillId="6" borderId="25" xfId="0" applyFont="1" applyFill="1" applyBorder="1" applyAlignment="1">
      <alignment horizontal="left" vertical="center"/>
    </xf>
    <xf numFmtId="0" fontId="290" fillId="6" borderId="33" xfId="0" applyFont="1" applyFill="1" applyBorder="1" applyAlignment="1">
      <alignment horizontal="left" vertical="center"/>
    </xf>
    <xf numFmtId="0" fontId="290" fillId="6" borderId="34" xfId="0" applyFont="1" applyFill="1" applyBorder="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90" fillId="0" borderId="2" xfId="0" applyFont="1" applyBorder="1" applyAlignment="1">
      <alignment horizontal="left" vertical="top"/>
    </xf>
    <xf numFmtId="0" fontId="290" fillId="0" borderId="44" xfId="0" applyFont="1" applyBorder="1" applyAlignment="1">
      <alignment horizontal="left" vertical="top"/>
    </xf>
    <xf numFmtId="0" fontId="290" fillId="0" borderId="6" xfId="0" applyFont="1" applyBorder="1" applyAlignment="1">
      <alignment horizontal="left" vertical="top"/>
    </xf>
    <xf numFmtId="0" fontId="290" fillId="0" borderId="7" xfId="0" applyFont="1" applyBorder="1" applyAlignment="1">
      <alignment horizontal="left" vertical="top"/>
    </xf>
    <xf numFmtId="0" fontId="290" fillId="0" borderId="12" xfId="0" applyFont="1" applyBorder="1" applyAlignment="1">
      <alignment horizontal="left" vertical="top"/>
    </xf>
    <xf numFmtId="0" fontId="290" fillId="0" borderId="46" xfId="0" applyFont="1" applyBorder="1" applyAlignment="1">
      <alignment horizontal="left" vertical="top"/>
    </xf>
    <xf numFmtId="0" fontId="290" fillId="0" borderId="33" xfId="0" applyFont="1" applyBorder="1" applyAlignment="1">
      <alignment horizontal="left" vertical="center"/>
    </xf>
    <xf numFmtId="0" fontId="290" fillId="0" borderId="34" xfId="0" applyFont="1" applyBorder="1" applyAlignment="1">
      <alignment horizontal="left" vertical="center"/>
    </xf>
    <xf numFmtId="0" fontId="290" fillId="0" borderId="1" xfId="0" applyFont="1" applyBorder="1" applyAlignment="1">
      <alignment horizontal="left" vertical="top"/>
    </xf>
    <xf numFmtId="0" fontId="290" fillId="0" borderId="11" xfId="0" applyFont="1" applyBorder="1" applyAlignment="1">
      <alignment horizontal="left" vertical="top"/>
    </xf>
    <xf numFmtId="0" fontId="290" fillId="0" borderId="43" xfId="0" applyFont="1" applyBorder="1" applyAlignment="1">
      <alignment horizontal="left" vertical="top"/>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134" fillId="0" borderId="2" xfId="0" applyFont="1" applyFill="1" applyBorder="1" applyAlignment="1" applyProtection="1">
      <alignment vertical="center" wrapText="1"/>
      <protection locked="0"/>
    </xf>
    <xf numFmtId="0" fontId="0" fillId="0" borderId="5" xfId="0" applyBorder="1" applyAlignment="1" applyProtection="1">
      <alignment vertical="center"/>
      <protection locked="0"/>
    </xf>
    <xf numFmtId="0" fontId="0" fillId="0" borderId="9" xfId="0" applyBorder="1" applyAlignment="1" applyProtection="1">
      <alignment vertical="center"/>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8" fillId="0" borderId="0" xfId="0" applyFont="1" applyFill="1" applyBorder="1" applyAlignment="1" applyProtection="1">
      <alignment horizontal="left" vertical="center" wrapText="1"/>
    </xf>
    <xf numFmtId="0" fontId="286" fillId="0" borderId="0" xfId="0" applyFont="1" applyFill="1" applyAlignment="1"/>
    <xf numFmtId="0" fontId="274" fillId="0" borderId="0" xfId="0" applyFont="1" applyFill="1" applyAlignment="1" applyProtection="1">
      <alignment horizontal="center" vertical="top"/>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center"/>
    </xf>
    <xf numFmtId="0" fontId="247" fillId="0" borderId="159" xfId="0" applyFont="1" applyFill="1" applyBorder="1" applyAlignment="1" applyProtection="1">
      <alignment horizontal="center" vertical="center"/>
    </xf>
    <xf numFmtId="0" fontId="277" fillId="0" borderId="164" xfId="0" applyFont="1" applyFill="1" applyBorder="1" applyAlignment="1" applyProtection="1">
      <alignment horizontal="center" vertical="center"/>
    </xf>
    <xf numFmtId="0" fontId="277" fillId="0" borderId="168" xfId="0" applyFont="1" applyFill="1" applyBorder="1" applyAlignment="1" applyProtection="1">
      <alignment horizontal="center" vertical="center"/>
    </xf>
    <xf numFmtId="0" fontId="229" fillId="0" borderId="160" xfId="0" applyFont="1" applyFill="1" applyBorder="1" applyAlignment="1" applyProtection="1">
      <alignment horizontal="center" vertical="center"/>
    </xf>
    <xf numFmtId="0" fontId="229" fillId="0" borderId="165" xfId="0" applyFont="1" applyFill="1" applyBorder="1" applyAlignment="1" applyProtection="1">
      <alignment horizontal="center" vertical="center"/>
    </xf>
    <xf numFmtId="0" fontId="229" fillId="0" borderId="155" xfId="0" applyFont="1" applyFill="1" applyBorder="1" applyAlignment="1" applyProtection="1">
      <alignment horizontal="center" vertical="center"/>
    </xf>
    <xf numFmtId="0" fontId="247" fillId="0" borderId="161" xfId="0" applyFont="1" applyFill="1" applyBorder="1" applyAlignment="1" applyProtection="1">
      <alignment horizontal="center" vertical="center"/>
    </xf>
    <xf numFmtId="0" fontId="247" fillId="0" borderId="154" xfId="0" applyFont="1" applyFill="1" applyBorder="1" applyAlignment="1" applyProtection="1">
      <alignment horizontal="center" vertical="center"/>
    </xf>
    <xf numFmtId="0" fontId="247" fillId="0" borderId="156" xfId="0" applyFont="1" applyFill="1" applyBorder="1" applyAlignment="1" applyProtection="1">
      <alignment horizontal="center" vertical="center"/>
    </xf>
    <xf numFmtId="0" fontId="247" fillId="0" borderId="162" xfId="0" applyFont="1" applyFill="1" applyBorder="1" applyAlignment="1" applyProtection="1">
      <alignment horizontal="center" vertical="center"/>
    </xf>
    <xf numFmtId="0" fontId="32" fillId="0" borderId="166" xfId="0" applyFont="1" applyFill="1" applyBorder="1" applyAlignment="1">
      <alignment horizontal="center" vertical="center"/>
    </xf>
    <xf numFmtId="0" fontId="221" fillId="0" borderId="163" xfId="0" applyFont="1" applyFill="1" applyBorder="1" applyAlignment="1" applyProtection="1">
      <alignment horizontal="center" vertical="center" wrapText="1"/>
    </xf>
    <xf numFmtId="0" fontId="221" fillId="0" borderId="167" xfId="0" applyFont="1" applyFill="1" applyBorder="1" applyAlignment="1" applyProtection="1">
      <alignment horizontal="center"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0" fillId="0" borderId="5"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137346</xdr:colOff>
      <xdr:row>39</xdr:row>
      <xdr:rowOff>47625</xdr:rowOff>
    </xdr:from>
    <xdr:to>
      <xdr:col>13</xdr:col>
      <xdr:colOff>244304</xdr:colOff>
      <xdr:row>63</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8571" y="9896475"/>
          <a:ext cx="8250833" cy="7077075"/>
        </a:xfrm>
        <a:prstGeom prst="rect">
          <a:avLst/>
        </a:prstGeom>
      </xdr:spPr>
    </xdr:pic>
    <xdr:clientData/>
  </xdr:twoCellAnchor>
  <xdr:twoCellAnchor editAs="oneCell">
    <xdr:from>
      <xdr:col>11</xdr:col>
      <xdr:colOff>295275</xdr:colOff>
      <xdr:row>0</xdr:row>
      <xdr:rowOff>0</xdr:rowOff>
    </xdr:from>
    <xdr:to>
      <xdr:col>22</xdr:col>
      <xdr:colOff>676275</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0"/>
          <a:ext cx="8391525" cy="8124825"/>
        </a:xfrm>
        <a:prstGeom prst="rect">
          <a:avLst/>
        </a:prstGeom>
      </xdr:spPr>
    </xdr:pic>
    <xdr:clientData/>
  </xdr:twoCellAnchor>
  <xdr:twoCellAnchor editAs="oneCell">
    <xdr:from>
      <xdr:col>11</xdr:col>
      <xdr:colOff>371475</xdr:colOff>
      <xdr:row>32</xdr:row>
      <xdr:rowOff>95250</xdr:rowOff>
    </xdr:from>
    <xdr:to>
      <xdr:col>22</xdr:col>
      <xdr:colOff>857250</xdr:colOff>
      <xdr:row>36</xdr:row>
      <xdr:rowOff>59917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324975" y="8181975"/>
          <a:ext cx="8496300" cy="993367"/>
        </a:xfrm>
        <a:prstGeom prst="rect">
          <a:avLst/>
        </a:prstGeom>
      </xdr:spPr>
    </xdr:pic>
    <xdr:clientData/>
  </xdr:twoCellAnchor>
  <xdr:twoCellAnchor editAs="oneCell">
    <xdr:from>
      <xdr:col>3</xdr:col>
      <xdr:colOff>191819</xdr:colOff>
      <xdr:row>63</xdr:row>
      <xdr:rowOff>73764</xdr:rowOff>
    </xdr:from>
    <xdr:to>
      <xdr:col>13</xdr:col>
      <xdr:colOff>304800</xdr:colOff>
      <xdr:row>94</xdr:row>
      <xdr:rowOff>157815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3044" y="17009214"/>
          <a:ext cx="8256856" cy="70087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171140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514790"/>
        </a:xfrm>
        <a:prstGeom prst="rect">
          <a:avLst/>
        </a:prstGeom>
      </xdr:spPr>
    </xdr:pic>
    <xdr:clientData/>
  </xdr:twoCellAnchor>
  <xdr:twoCellAnchor>
    <xdr:from>
      <xdr:col>0</xdr:col>
      <xdr:colOff>0</xdr:colOff>
      <xdr:row>31</xdr:row>
      <xdr:rowOff>57150</xdr:rowOff>
    </xdr:from>
    <xdr:to>
      <xdr:col>6</xdr:col>
      <xdr:colOff>657225</xdr:colOff>
      <xdr:row>39</xdr:row>
      <xdr:rowOff>142876</xdr:rowOff>
    </xdr:to>
    <xdr:sp macro="" textlink="">
      <xdr:nvSpPr>
        <xdr:cNvPr id="5" name="矩形标注 4"/>
        <xdr:cNvSpPr/>
      </xdr:nvSpPr>
      <xdr:spPr>
        <a:xfrm>
          <a:off x="0" y="5372100"/>
          <a:ext cx="4772025" cy="1457326"/>
        </a:xfrm>
        <a:prstGeom prst="wedgeRectCallout">
          <a:avLst>
            <a:gd name="adj1" fmla="val -24760"/>
            <a:gd name="adj2" fmla="val -223413"/>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津滨保</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)2018-18</a:t>
          </a:r>
          <a:r>
            <a:rPr lang="zh-CN" altLang="zh-CN" sz="1000">
              <a:solidFill>
                <a:sysClr val="windowText" lastClr="000000"/>
              </a:solidFill>
              <a:effectLst/>
              <a:latin typeface="+mn-lt"/>
              <a:ea typeface="+mn-ea"/>
              <a:cs typeface="+mn-cs"/>
            </a:rPr>
            <a:t>号（保税区投资）</a:t>
          </a:r>
        </a:p>
        <a:p>
          <a:r>
            <a:rPr lang="en-US" altLang="zh-CN" sz="1000">
              <a:solidFill>
                <a:sysClr val="windowText" lastClr="000000"/>
              </a:solidFill>
              <a:effectLst/>
              <a:latin typeface="+mn-lt"/>
              <a:ea typeface="+mn-ea"/>
              <a:cs typeface="+mn-cs"/>
            </a:rPr>
            <a:t>R1.5    270</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2700</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㎡——社区中心≥</a:t>
          </a:r>
          <a:r>
            <a:rPr lang="en-US" altLang="zh-CN" sz="1000">
              <a:solidFill>
                <a:sysClr val="windowText" lastClr="000000"/>
              </a:solidFill>
              <a:effectLst/>
              <a:latin typeface="+mn-lt"/>
              <a:ea typeface="+mn-ea"/>
              <a:cs typeface="+mn-cs"/>
            </a:rPr>
            <a:t>41%</a:t>
          </a:r>
          <a:r>
            <a:rPr lang="zh-CN" altLang="zh-CN" sz="1000">
              <a:solidFill>
                <a:sysClr val="windowText" lastClr="000000"/>
              </a:solidFill>
              <a:effectLst/>
              <a:latin typeface="+mn-lt"/>
              <a:ea typeface="+mn-ea"/>
              <a:cs typeface="+mn-cs"/>
            </a:rPr>
            <a:t>，租赁式住房≤</a:t>
          </a:r>
          <a:r>
            <a:rPr lang="en-US" altLang="zh-CN" sz="1000">
              <a:solidFill>
                <a:sysClr val="windowText" lastClr="000000"/>
              </a:solidFill>
              <a:effectLst/>
              <a:latin typeface="+mn-lt"/>
              <a:ea typeface="+mn-ea"/>
              <a:cs typeface="+mn-cs"/>
            </a:rPr>
            <a:t>40%</a:t>
          </a:r>
          <a:r>
            <a:rPr lang="zh-CN" altLang="zh-CN" sz="1000">
              <a:solidFill>
                <a:sysClr val="windowText" lastClr="000000"/>
              </a:solidFill>
              <a:effectLst/>
              <a:latin typeface="+mn-lt"/>
              <a:ea typeface="+mn-ea"/>
              <a:cs typeface="+mn-cs"/>
            </a:rPr>
            <a:t>，商业≤</a:t>
          </a:r>
          <a:r>
            <a:rPr lang="en-US" altLang="zh-CN" sz="1000">
              <a:solidFill>
                <a:sysClr val="windowText" lastClr="000000"/>
              </a:solidFill>
              <a:effectLst/>
              <a:latin typeface="+mn-lt"/>
              <a:ea typeface="+mn-ea"/>
              <a:cs typeface="+mn-cs"/>
            </a:rPr>
            <a:t>19%</a:t>
          </a:r>
          <a:endParaRPr lang="zh-CN" altLang="zh-CN" sz="1000">
            <a:solidFill>
              <a:sysClr val="windowText" lastClr="000000"/>
            </a:solidFill>
            <a:effectLst/>
            <a:latin typeface="+mn-lt"/>
            <a:ea typeface="+mn-ea"/>
            <a:cs typeface="+mn-cs"/>
          </a:endParaRPr>
        </a:p>
        <a:p>
          <a:r>
            <a:rPr lang="zh-CN" altLang="zh-CN" sz="1000">
              <a:solidFill>
                <a:sysClr val="windowText" lastClr="000000"/>
              </a:solidFill>
              <a:effectLst/>
              <a:latin typeface="+mn-lt"/>
              <a:ea typeface="+mn-ea"/>
              <a:cs typeface="+mn-cs"/>
            </a:rPr>
            <a:t>津滨保</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)2018-9</a:t>
          </a:r>
          <a:r>
            <a:rPr lang="zh-CN" altLang="zh-CN" sz="1000">
              <a:solidFill>
                <a:sysClr val="windowText" lastClr="000000"/>
              </a:solidFill>
              <a:effectLst/>
              <a:latin typeface="+mn-lt"/>
              <a:ea typeface="+mn-ea"/>
              <a:cs typeface="+mn-cs"/>
            </a:rPr>
            <a:t>号（保税区投资）</a:t>
          </a:r>
        </a:p>
        <a:p>
          <a:r>
            <a:rPr lang="en-US" altLang="zh-CN" sz="1000">
              <a:solidFill>
                <a:sysClr val="windowText" lastClr="000000"/>
              </a:solidFill>
              <a:effectLst/>
              <a:latin typeface="+mn-lt"/>
              <a:ea typeface="+mn-ea"/>
              <a:cs typeface="+mn-cs"/>
            </a:rPr>
            <a:t>R1.5    1341</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  </a:t>
          </a:r>
          <a:r>
            <a:rPr lang="en-US" altLang="zh-CN" sz="1000">
              <a:solidFill>
                <a:sysClr val="windowText" lastClr="000000"/>
              </a:solidFill>
              <a:effectLst/>
              <a:latin typeface="+mn-lt"/>
              <a:ea typeface="+mn-ea"/>
              <a:cs typeface="+mn-cs"/>
            </a:rPr>
            <a:t>  	15129</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a:t>
          </a:r>
          <a:r>
            <a:rPr lang="en-US" altLang="zh-CN" sz="1000">
              <a:solidFill>
                <a:sysClr val="windowText" lastClr="000000"/>
              </a:solidFill>
              <a:effectLst/>
              <a:latin typeface="+mn-lt"/>
              <a:ea typeface="+mn-ea"/>
              <a:cs typeface="+mn-cs"/>
            </a:rPr>
            <a:t/>
          </a:r>
          <a:br>
            <a:rPr lang="en-US" altLang="zh-CN" sz="1000">
              <a:solidFill>
                <a:sysClr val="windowText" lastClr="000000"/>
              </a:solidFill>
              <a:effectLst/>
              <a:latin typeface="+mn-lt"/>
              <a:ea typeface="+mn-ea"/>
              <a:cs typeface="+mn-cs"/>
            </a:rPr>
          </a:br>
          <a:r>
            <a:rPr lang="en-US" altLang="zh-CN" sz="1000">
              <a:solidFill>
                <a:sysClr val="windowText" lastClr="000000"/>
              </a:solidFill>
              <a:effectLst/>
              <a:latin typeface="+mn-lt"/>
              <a:ea typeface="+mn-ea"/>
              <a:cs typeface="+mn-cs"/>
            </a:rPr>
            <a:t>津滨保(挂)2018-23号（金地）</a:t>
          </a:r>
          <a:endParaRPr lang="zh-CN" altLang="zh-CN" sz="1000">
            <a:solidFill>
              <a:sysClr val="windowText" lastClr="000000"/>
            </a:solidFill>
            <a:effectLst/>
            <a:latin typeface="+mn-lt"/>
            <a:ea typeface="+mn-ea"/>
            <a:cs typeface="+mn-cs"/>
          </a:endParaRPr>
        </a:p>
        <a:p>
          <a:r>
            <a:rPr lang="en-US" altLang="zh-CN" sz="1000">
              <a:solidFill>
                <a:sysClr val="windowText" lastClr="000000"/>
              </a:solidFill>
              <a:effectLst/>
              <a:latin typeface="+mn-lt"/>
              <a:ea typeface="+mn-ea"/>
              <a:cs typeface="+mn-cs"/>
            </a:rPr>
            <a:t>R1.6    1496</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14031</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㎡——溢价</a:t>
          </a:r>
          <a:r>
            <a:rPr lang="en-US" altLang="zh-CN" sz="1000">
              <a:solidFill>
                <a:sysClr val="windowText" lastClr="000000"/>
              </a:solidFill>
              <a:effectLst/>
              <a:latin typeface="+mn-lt"/>
              <a:ea typeface="+mn-ea"/>
              <a:cs typeface="+mn-cs"/>
            </a:rPr>
            <a:t>40%</a:t>
          </a:r>
          <a:endParaRPr lang="zh-CN" altLang="zh-CN" sz="1000">
            <a:solidFill>
              <a:sysClr val="windowText" lastClr="000000"/>
            </a:solidFill>
            <a:effectLst/>
            <a:latin typeface="+mn-lt"/>
            <a:ea typeface="+mn-ea"/>
            <a:cs typeface="+mn-cs"/>
          </a:endParaRPr>
        </a:p>
        <a:p>
          <a:r>
            <a:rPr lang="zh-CN" altLang="zh-CN" sz="1000">
              <a:solidFill>
                <a:sysClr val="windowText" lastClr="000000"/>
              </a:solidFill>
              <a:effectLst/>
              <a:latin typeface="+mn-lt"/>
              <a:ea typeface="+mn-ea"/>
              <a:cs typeface="+mn-cs"/>
            </a:rPr>
            <a:t>津滨保</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)2018-11</a:t>
          </a:r>
          <a:r>
            <a:rPr lang="zh-CN" altLang="zh-CN" sz="1000">
              <a:solidFill>
                <a:sysClr val="windowText" lastClr="000000"/>
              </a:solidFill>
              <a:effectLst/>
              <a:latin typeface="+mn-lt"/>
              <a:ea typeface="+mn-ea"/>
              <a:cs typeface="+mn-cs"/>
            </a:rPr>
            <a:t>号（中铁）</a:t>
          </a:r>
        </a:p>
        <a:p>
          <a:r>
            <a:rPr lang="en-US" altLang="zh-CN" sz="1000">
              <a:solidFill>
                <a:sysClr val="windowText" lastClr="000000"/>
              </a:solidFill>
              <a:effectLst/>
              <a:latin typeface="+mn-lt"/>
              <a:ea typeface="+mn-ea"/>
              <a:cs typeface="+mn-cs"/>
            </a:rPr>
            <a:t>R1.6    960</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9000</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㎡——定向销售、销售限价为</a:t>
          </a:r>
          <a:r>
            <a:rPr lang="en-US" altLang="zh-CN" sz="1000">
              <a:solidFill>
                <a:sysClr val="windowText" lastClr="000000"/>
              </a:solidFill>
              <a:effectLst/>
              <a:latin typeface="+mn-lt"/>
              <a:ea typeface="+mn-ea"/>
              <a:cs typeface="+mn-cs"/>
            </a:rPr>
            <a:t>19260</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平</a:t>
          </a:r>
          <a:r>
            <a:rPr lang="zh-CN" altLang="en-US" sz="1000">
              <a:solidFill>
                <a:sysClr val="windowText" lastClr="000000"/>
              </a:solidFill>
              <a:effectLst/>
              <a:latin typeface="+mn-lt"/>
              <a:ea typeface="+mn-ea"/>
              <a:cs typeface="+mn-cs"/>
            </a:rPr>
            <a:t>及</a:t>
          </a:r>
          <a:r>
            <a:rPr lang="zh-CN" altLang="zh-CN" sz="1000">
              <a:solidFill>
                <a:sysClr val="windowText" lastClr="000000"/>
              </a:solidFill>
              <a:effectLst/>
              <a:latin typeface="+mn-lt"/>
              <a:ea typeface="+mn-ea"/>
              <a:cs typeface="+mn-cs"/>
            </a:rPr>
            <a:t>竞得人要求。</a:t>
          </a:r>
        </a:p>
      </xdr:txBody>
    </xdr:sp>
    <xdr:clientData/>
  </xdr:twoCellAnchor>
  <xdr:twoCellAnchor>
    <xdr:from>
      <xdr:col>0</xdr:col>
      <xdr:colOff>95251</xdr:colOff>
      <xdr:row>0</xdr:row>
      <xdr:rowOff>95250</xdr:rowOff>
    </xdr:from>
    <xdr:to>
      <xdr:col>5</xdr:col>
      <xdr:colOff>361951</xdr:colOff>
      <xdr:row>3</xdr:row>
      <xdr:rowOff>57150</xdr:rowOff>
    </xdr:to>
    <xdr:sp macro="" textlink="">
      <xdr:nvSpPr>
        <xdr:cNvPr id="6" name="矩形标注 5"/>
        <xdr:cNvSpPr/>
      </xdr:nvSpPr>
      <xdr:spPr>
        <a:xfrm>
          <a:off x="95251" y="95250"/>
          <a:ext cx="3695700" cy="476250"/>
        </a:xfrm>
        <a:prstGeom prst="wedgeRectCallout">
          <a:avLst>
            <a:gd name="adj1" fmla="val 22285"/>
            <a:gd name="adj2" fmla="val 20384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津丽（挂）</a:t>
          </a:r>
          <a:r>
            <a:rPr lang="en-US" altLang="zh-CN" sz="1000">
              <a:solidFill>
                <a:sysClr val="windowText" lastClr="000000"/>
              </a:solidFill>
              <a:effectLst/>
              <a:latin typeface="+mn-lt"/>
              <a:ea typeface="+mn-ea"/>
              <a:cs typeface="+mn-cs"/>
            </a:rPr>
            <a:t>2018-03</a:t>
          </a:r>
          <a:r>
            <a:rPr lang="zh-CN" altLang="zh-CN" sz="1000">
              <a:solidFill>
                <a:sysClr val="windowText" lastClr="000000"/>
              </a:solidFill>
              <a:effectLst/>
              <a:latin typeface="+mn-lt"/>
              <a:ea typeface="+mn-ea"/>
              <a:cs typeface="+mn-cs"/>
            </a:rPr>
            <a:t>号（金融街）</a:t>
          </a:r>
          <a:r>
            <a:rPr lang="en-US" altLang="zh-CN" sz="1000">
              <a:solidFill>
                <a:sysClr val="windowText" lastClr="000000"/>
              </a:solidFill>
              <a:effectLst/>
              <a:latin typeface="+mn-lt"/>
              <a:ea typeface="+mn-ea"/>
              <a:cs typeface="+mn-cs"/>
            </a:rPr>
            <a:t>——</a:t>
          </a:r>
          <a:r>
            <a:rPr lang="zh-CN" altLang="en-US" sz="1000" b="1" i="0">
              <a:solidFill>
                <a:sysClr val="windowText" lastClr="000000"/>
              </a:solidFill>
              <a:effectLst/>
              <a:latin typeface="+mn-lt"/>
              <a:ea typeface="+mn-ea"/>
              <a:cs typeface="+mn-cs"/>
            </a:rPr>
            <a:t>洋房均价</a:t>
          </a:r>
          <a:r>
            <a:rPr lang="en-US" altLang="zh-CN" sz="1000" b="1" i="0">
              <a:solidFill>
                <a:sysClr val="windowText" lastClr="000000"/>
              </a:solidFill>
              <a:effectLst/>
              <a:latin typeface="+mn-lt"/>
              <a:ea typeface="+mn-ea"/>
              <a:cs typeface="+mn-cs"/>
            </a:rPr>
            <a:t>13500</a:t>
          </a:r>
          <a:r>
            <a:rPr lang="zh-CN" altLang="en-US" sz="1000" b="1" i="0">
              <a:solidFill>
                <a:sysClr val="windowText" lastClr="000000"/>
              </a:solidFill>
              <a:effectLst/>
              <a:latin typeface="+mn-lt"/>
              <a:ea typeface="+mn-ea"/>
              <a:cs typeface="+mn-cs"/>
            </a:rPr>
            <a:t>元</a:t>
          </a:r>
          <a:r>
            <a:rPr lang="en-US" altLang="zh-CN" sz="1000" b="1" i="0">
              <a:solidFill>
                <a:sysClr val="windowText" lastClr="000000"/>
              </a:solidFill>
              <a:effectLst/>
              <a:latin typeface="+mn-lt"/>
              <a:ea typeface="+mn-ea"/>
              <a:cs typeface="+mn-cs"/>
            </a:rPr>
            <a:t>/</a:t>
          </a:r>
          <a:r>
            <a:rPr lang="zh-CN" altLang="en-US" sz="1000" b="1" i="0">
              <a:solidFill>
                <a:sysClr val="windowText" lastClr="000000"/>
              </a:solidFill>
              <a:effectLst/>
              <a:latin typeface="+mn-lt"/>
              <a:ea typeface="+mn-ea"/>
              <a:cs typeface="+mn-cs"/>
            </a:rPr>
            <a:t>平方米</a:t>
          </a:r>
          <a:endParaRPr lang="zh-CN" altLang="zh-CN" sz="1000" b="1">
            <a:solidFill>
              <a:sysClr val="windowText" lastClr="000000"/>
            </a:solidFill>
            <a:effectLst/>
            <a:latin typeface="+mn-lt"/>
            <a:ea typeface="+mn-ea"/>
            <a:cs typeface="+mn-cs"/>
          </a:endParaRPr>
        </a:p>
        <a:p>
          <a:r>
            <a:rPr lang="en-US" altLang="zh-CN" sz="1000">
              <a:solidFill>
                <a:sysClr val="windowText" lastClr="000000"/>
              </a:solidFill>
              <a:effectLst/>
              <a:latin typeface="+mn-lt"/>
              <a:ea typeface="+mn-ea"/>
              <a:cs typeface="+mn-cs"/>
            </a:rPr>
            <a:t>R0.9-1.5 306</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rPr>
            <a:t>     7306</a:t>
          </a:r>
          <a:r>
            <a:rPr lang="zh-CN" altLang="zh-CN" sz="1000">
              <a:solidFill>
                <a:sysClr val="windowText" lastClr="000000"/>
              </a:solidFill>
              <a:effectLst/>
            </a:rPr>
            <a:t>元</a:t>
          </a:r>
          <a:r>
            <a:rPr lang="en-US" altLang="zh-CN" sz="1000">
              <a:solidFill>
                <a:sysClr val="windowText" lastClr="000000"/>
              </a:solidFill>
              <a:effectLst/>
            </a:rPr>
            <a:t>/</a:t>
          </a:r>
          <a:r>
            <a:rPr lang="zh-CN" altLang="zh-CN" sz="1000">
              <a:solidFill>
                <a:sysClr val="windowText" lastClr="000000"/>
              </a:solidFill>
              <a:effectLst/>
            </a:rPr>
            <a:t>㎡</a:t>
          </a:r>
          <a:endParaRPr lang="zh-CN" altLang="en-US" sz="1000">
            <a:solidFill>
              <a:sysClr val="windowText" lastClr="000000"/>
            </a:solidFill>
          </a:endParaRPr>
        </a:p>
      </xdr:txBody>
    </xdr:sp>
    <xdr:clientData/>
  </xdr:twoCellAnchor>
  <xdr:twoCellAnchor>
    <xdr:from>
      <xdr:col>6</xdr:col>
      <xdr:colOff>581025</xdr:colOff>
      <xdr:row>19</xdr:row>
      <xdr:rowOff>19050</xdr:rowOff>
    </xdr:from>
    <xdr:to>
      <xdr:col>7</xdr:col>
      <xdr:colOff>200025</xdr:colOff>
      <xdr:row>20</xdr:row>
      <xdr:rowOff>152400</xdr:rowOff>
    </xdr:to>
    <xdr:sp macro="" textlink="">
      <xdr:nvSpPr>
        <xdr:cNvPr id="7" name="五角星 6"/>
        <xdr:cNvSpPr/>
      </xdr:nvSpPr>
      <xdr:spPr>
        <a:xfrm>
          <a:off x="4695825" y="3276600"/>
          <a:ext cx="304800" cy="30480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552450</xdr:colOff>
      <xdr:row>5</xdr:row>
      <xdr:rowOff>38100</xdr:rowOff>
    </xdr:from>
    <xdr:to>
      <xdr:col>8</xdr:col>
      <xdr:colOff>9525</xdr:colOff>
      <xdr:row>6</xdr:row>
      <xdr:rowOff>9525</xdr:rowOff>
    </xdr:to>
    <xdr:sp macro="" textlink="">
      <xdr:nvSpPr>
        <xdr:cNvPr id="8" name="椭圆 7"/>
        <xdr:cNvSpPr/>
      </xdr:nvSpPr>
      <xdr:spPr>
        <a:xfrm>
          <a:off x="5353050" y="895350"/>
          <a:ext cx="142875" cy="142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619126</xdr:colOff>
      <xdr:row>3</xdr:row>
      <xdr:rowOff>76200</xdr:rowOff>
    </xdr:from>
    <xdr:to>
      <xdr:col>12</xdr:col>
      <xdr:colOff>371476</xdr:colOff>
      <xdr:row>6</xdr:row>
      <xdr:rowOff>38100</xdr:rowOff>
    </xdr:to>
    <xdr:sp macro="" textlink="">
      <xdr:nvSpPr>
        <xdr:cNvPr id="9" name="矩形标注 8"/>
        <xdr:cNvSpPr/>
      </xdr:nvSpPr>
      <xdr:spPr>
        <a:xfrm>
          <a:off x="6105526" y="590550"/>
          <a:ext cx="2495550" cy="476250"/>
        </a:xfrm>
        <a:prstGeom prst="wedgeRectCallout">
          <a:avLst>
            <a:gd name="adj1" fmla="val -61034"/>
            <a:gd name="adj2" fmla="val 2784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b="1">
              <a:solidFill>
                <a:srgbClr val="FF0000"/>
              </a:solidFill>
              <a:effectLst/>
              <a:latin typeface="+mn-lt"/>
              <a:ea typeface="+mn-ea"/>
              <a:cs typeface="+mn-cs"/>
            </a:rPr>
            <a:t>津滨高</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挂</a:t>
          </a:r>
          <a:r>
            <a:rPr lang="en-US" altLang="zh-CN" sz="1000" b="1">
              <a:solidFill>
                <a:srgbClr val="FF0000"/>
              </a:solidFill>
              <a:effectLst/>
              <a:latin typeface="+mn-lt"/>
              <a:ea typeface="+mn-ea"/>
              <a:cs typeface="+mn-cs"/>
            </a:rPr>
            <a:t>)2018-9</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10-16</a:t>
          </a:r>
          <a:r>
            <a:rPr lang="zh-CN" altLang="zh-CN" sz="1000" b="1">
              <a:solidFill>
                <a:srgbClr val="FF0000"/>
              </a:solidFill>
              <a:effectLst/>
              <a:latin typeface="+mn-lt"/>
              <a:ea typeface="+mn-ea"/>
              <a:cs typeface="+mn-cs"/>
            </a:rPr>
            <a:t>号（首创）</a:t>
          </a:r>
        </a:p>
        <a:p>
          <a:r>
            <a:rPr lang="en-US" altLang="zh-CN" sz="1000" b="1">
              <a:solidFill>
                <a:srgbClr val="FF0000"/>
              </a:solidFill>
              <a:effectLst/>
              <a:latin typeface="+mn-lt"/>
              <a:ea typeface="+mn-ea"/>
              <a:cs typeface="+mn-cs"/>
            </a:rPr>
            <a:t>R1.3-1.5 370-420</a:t>
          </a:r>
          <a:r>
            <a:rPr lang="zh-CN" altLang="zh-CN" sz="1000" b="1">
              <a:solidFill>
                <a:srgbClr val="FF0000"/>
              </a:solidFill>
              <a:effectLst/>
              <a:latin typeface="+mn-lt"/>
              <a:ea typeface="+mn-ea"/>
              <a:cs typeface="+mn-cs"/>
            </a:rPr>
            <a:t>万元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亩 </a:t>
          </a:r>
          <a:r>
            <a:rPr lang="en-US" altLang="zh-CN" sz="1000" b="1">
              <a:solidFill>
                <a:srgbClr val="FF0000"/>
              </a:solidFill>
              <a:effectLst/>
              <a:latin typeface="+mn-lt"/>
              <a:ea typeface="+mn-ea"/>
              <a:cs typeface="+mn-cs"/>
            </a:rPr>
            <a:t>4200-4600</a:t>
          </a:r>
          <a:r>
            <a:rPr lang="zh-CN" altLang="zh-CN" sz="1000" b="1">
              <a:solidFill>
                <a:srgbClr val="FF0000"/>
              </a:solidFill>
              <a:effectLst/>
              <a:latin typeface="+mn-lt"/>
              <a:ea typeface="+mn-ea"/>
              <a:cs typeface="+mn-cs"/>
            </a:rPr>
            <a:t>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a:t>
          </a:r>
        </a:p>
      </xdr:txBody>
    </xdr:sp>
    <xdr:clientData/>
  </xdr:twoCellAnchor>
  <xdr:twoCellAnchor editAs="oneCell">
    <xdr:from>
      <xdr:col>0</xdr:col>
      <xdr:colOff>0</xdr:colOff>
      <xdr:row>49</xdr:row>
      <xdr:rowOff>133350</xdr:rowOff>
    </xdr:from>
    <xdr:to>
      <xdr:col>14</xdr:col>
      <xdr:colOff>457200</xdr:colOff>
      <xdr:row>93</xdr:row>
      <xdr:rowOff>52844</xdr:rowOff>
    </xdr:to>
    <xdr:pic>
      <xdr:nvPicPr>
        <xdr:cNvPr id="10"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534400"/>
          <a:ext cx="10058400" cy="7463294"/>
        </a:xfrm>
        <a:prstGeom prst="rect">
          <a:avLst/>
        </a:prstGeom>
      </xdr:spPr>
    </xdr:pic>
    <xdr:clientData/>
  </xdr:twoCellAnchor>
  <xdr:twoCellAnchor editAs="oneCell">
    <xdr:from>
      <xdr:col>16</xdr:col>
      <xdr:colOff>0</xdr:colOff>
      <xdr:row>50</xdr:row>
      <xdr:rowOff>0</xdr:rowOff>
    </xdr:from>
    <xdr:to>
      <xdr:col>29</xdr:col>
      <xdr:colOff>533400</xdr:colOff>
      <xdr:row>94</xdr:row>
      <xdr:rowOff>38100</xdr:rowOff>
    </xdr:to>
    <xdr:pic>
      <xdr:nvPicPr>
        <xdr:cNvPr id="11"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72800" y="8572500"/>
          <a:ext cx="9591675" cy="7581900"/>
        </a:xfrm>
        <a:prstGeom prst="rect">
          <a:avLst/>
        </a:prstGeom>
      </xdr:spPr>
    </xdr:pic>
    <xdr:clientData/>
  </xdr:twoCellAnchor>
  <xdr:twoCellAnchor editAs="oneCell">
    <xdr:from>
      <xdr:col>31</xdr:col>
      <xdr:colOff>0</xdr:colOff>
      <xdr:row>50</xdr:row>
      <xdr:rowOff>0</xdr:rowOff>
    </xdr:from>
    <xdr:to>
      <xdr:col>45</xdr:col>
      <xdr:colOff>371475</xdr:colOff>
      <xdr:row>94</xdr:row>
      <xdr:rowOff>0</xdr:rowOff>
    </xdr:to>
    <xdr:pic>
      <xdr:nvPicPr>
        <xdr:cNvPr id="12" name="图片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402675" y="8572500"/>
          <a:ext cx="9972675" cy="7543800"/>
        </a:xfrm>
        <a:prstGeom prst="rect">
          <a:avLst/>
        </a:prstGeom>
      </xdr:spPr>
    </xdr:pic>
    <xdr:clientData/>
  </xdr:twoCellAnchor>
  <xdr:twoCellAnchor editAs="oneCell">
    <xdr:from>
      <xdr:col>31</xdr:col>
      <xdr:colOff>38100</xdr:colOff>
      <xdr:row>96</xdr:row>
      <xdr:rowOff>28575</xdr:rowOff>
    </xdr:from>
    <xdr:to>
      <xdr:col>45</xdr:col>
      <xdr:colOff>495300</xdr:colOff>
      <xdr:row>132</xdr:row>
      <xdr:rowOff>68385</xdr:rowOff>
    </xdr:to>
    <xdr:pic>
      <xdr:nvPicPr>
        <xdr:cNvPr id="15" name="图片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440775" y="16487775"/>
          <a:ext cx="10058400" cy="6212010"/>
        </a:xfrm>
        <a:prstGeom prst="rect">
          <a:avLst/>
        </a:prstGeom>
      </xdr:spPr>
    </xdr:pic>
    <xdr:clientData/>
  </xdr:twoCellAnchor>
  <xdr:twoCellAnchor editAs="oneCell">
    <xdr:from>
      <xdr:col>0</xdr:col>
      <xdr:colOff>0</xdr:colOff>
      <xdr:row>95</xdr:row>
      <xdr:rowOff>111900</xdr:rowOff>
    </xdr:from>
    <xdr:to>
      <xdr:col>14</xdr:col>
      <xdr:colOff>457200</xdr:colOff>
      <xdr:row>133</xdr:row>
      <xdr:rowOff>163227</xdr:rowOff>
    </xdr:to>
    <xdr:pic>
      <xdr:nvPicPr>
        <xdr:cNvPr id="16" name="图片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399650"/>
          <a:ext cx="10058400" cy="6566427"/>
        </a:xfrm>
        <a:prstGeom prst="rect">
          <a:avLst/>
        </a:prstGeom>
      </xdr:spPr>
    </xdr:pic>
    <xdr:clientData/>
  </xdr:twoCellAnchor>
  <xdr:twoCellAnchor editAs="oneCell">
    <xdr:from>
      <xdr:col>16</xdr:col>
      <xdr:colOff>114300</xdr:colOff>
      <xdr:row>96</xdr:row>
      <xdr:rowOff>99975</xdr:rowOff>
    </xdr:from>
    <xdr:to>
      <xdr:col>30</xdr:col>
      <xdr:colOff>428625</xdr:colOff>
      <xdr:row>131</xdr:row>
      <xdr:rowOff>117288</xdr:rowOff>
    </xdr:to>
    <xdr:pic>
      <xdr:nvPicPr>
        <xdr:cNvPr id="17" name="图片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87100" y="16559175"/>
          <a:ext cx="10058400" cy="6018063"/>
        </a:xfrm>
        <a:prstGeom prst="rect">
          <a:avLst/>
        </a:prstGeom>
      </xdr:spPr>
    </xdr:pic>
    <xdr:clientData/>
  </xdr:twoCellAnchor>
  <xdr:twoCellAnchor editAs="oneCell">
    <xdr:from>
      <xdr:col>15</xdr:col>
      <xdr:colOff>38100</xdr:colOff>
      <xdr:row>0</xdr:row>
      <xdr:rowOff>0</xdr:rowOff>
    </xdr:from>
    <xdr:to>
      <xdr:col>29</xdr:col>
      <xdr:colOff>352425</xdr:colOff>
      <xdr:row>40</xdr:row>
      <xdr:rowOff>165077</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325100" y="0"/>
          <a:ext cx="10058400" cy="7023077"/>
        </a:xfrm>
        <a:prstGeom prst="rect">
          <a:avLst/>
        </a:prstGeom>
      </xdr:spPr>
    </xdr:pic>
    <xdr:clientData/>
  </xdr:twoCellAnchor>
  <xdr:twoCellAnchor>
    <xdr:from>
      <xdr:col>12</xdr:col>
      <xdr:colOff>9525</xdr:colOff>
      <xdr:row>34</xdr:row>
      <xdr:rowOff>161925</xdr:rowOff>
    </xdr:from>
    <xdr:to>
      <xdr:col>19</xdr:col>
      <xdr:colOff>209550</xdr:colOff>
      <xdr:row>37</xdr:row>
      <xdr:rowOff>123825</xdr:rowOff>
    </xdr:to>
    <xdr:sp macro="" textlink="">
      <xdr:nvSpPr>
        <xdr:cNvPr id="4" name="矩形标注 3"/>
        <xdr:cNvSpPr/>
      </xdr:nvSpPr>
      <xdr:spPr>
        <a:xfrm>
          <a:off x="8239125" y="5991225"/>
          <a:ext cx="5000625" cy="476250"/>
        </a:xfrm>
        <a:prstGeom prst="wedgeRectCallout">
          <a:avLst>
            <a:gd name="adj1" fmla="val -67128"/>
            <a:gd name="adj2" fmla="val -2215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津滨高（挂）</a:t>
          </a:r>
          <a:r>
            <a:rPr lang="en-US" altLang="zh-CN" sz="1000">
              <a:solidFill>
                <a:sysClr val="windowText" lastClr="000000"/>
              </a:solidFill>
              <a:effectLst/>
              <a:latin typeface="+mn-lt"/>
              <a:ea typeface="+mn-ea"/>
              <a:cs typeface="+mn-cs"/>
            </a:rPr>
            <a:t>2018-2</a:t>
          </a:r>
          <a:r>
            <a:rPr lang="zh-CN" altLang="zh-CN" sz="1000">
              <a:solidFill>
                <a:sysClr val="windowText" lastClr="000000"/>
              </a:solidFill>
              <a:effectLst/>
              <a:latin typeface="+mn-lt"/>
              <a:ea typeface="+mn-ea"/>
              <a:cs typeface="+mn-cs"/>
            </a:rPr>
            <a:t>号（滨海置地）</a:t>
          </a:r>
        </a:p>
        <a:p>
          <a:r>
            <a:rPr lang="en-US" altLang="zh-CN" sz="1000">
              <a:solidFill>
                <a:sysClr val="windowText" lastClr="000000"/>
              </a:solidFill>
              <a:effectLst/>
              <a:latin typeface="+mn-lt"/>
              <a:ea typeface="+mn-ea"/>
              <a:cs typeface="+mn-cs"/>
            </a:rPr>
            <a:t>R2.6    691</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rPr>
            <a:t>     3988</a:t>
          </a:r>
          <a:r>
            <a:rPr lang="zh-CN" altLang="zh-CN" sz="1000">
              <a:solidFill>
                <a:sysClr val="windowText" lastClr="000000"/>
              </a:solidFill>
              <a:effectLst/>
            </a:rPr>
            <a:t>元</a:t>
          </a:r>
          <a:r>
            <a:rPr lang="en-US" altLang="zh-CN" sz="1000">
              <a:solidFill>
                <a:sysClr val="windowText" lastClr="000000"/>
              </a:solidFill>
              <a:effectLst/>
            </a:rPr>
            <a:t>/</a:t>
          </a:r>
          <a:r>
            <a:rPr lang="zh-CN" altLang="zh-CN" sz="1000">
              <a:solidFill>
                <a:sysClr val="windowText" lastClr="000000"/>
              </a:solidFill>
              <a:effectLst/>
            </a:rPr>
            <a:t>㎡——整体自持，安置房</a:t>
          </a:r>
          <a:endParaRPr lang="zh-CN" altLang="en-US" sz="1000">
            <a:solidFill>
              <a:sysClr val="windowText" lastClr="000000"/>
            </a:solidFill>
          </a:endParaRPr>
        </a:p>
      </xdr:txBody>
    </xdr:sp>
    <xdr:clientData/>
  </xdr:twoCellAnchor>
  <xdr:twoCellAnchor>
    <xdr:from>
      <xdr:col>12</xdr:col>
      <xdr:colOff>9525</xdr:colOff>
      <xdr:row>26</xdr:row>
      <xdr:rowOff>123825</xdr:rowOff>
    </xdr:from>
    <xdr:to>
      <xdr:col>19</xdr:col>
      <xdr:colOff>209550</xdr:colOff>
      <xdr:row>33</xdr:row>
      <xdr:rowOff>28575</xdr:rowOff>
    </xdr:to>
    <xdr:sp macro="" textlink="">
      <xdr:nvSpPr>
        <xdr:cNvPr id="3" name="矩形标注 2"/>
        <xdr:cNvSpPr/>
      </xdr:nvSpPr>
      <xdr:spPr>
        <a:xfrm>
          <a:off x="8239125" y="4581525"/>
          <a:ext cx="5000625" cy="1104900"/>
        </a:xfrm>
        <a:prstGeom prst="wedgeRectCallout">
          <a:avLst>
            <a:gd name="adj1" fmla="val -67509"/>
            <a:gd name="adj2" fmla="val 8879"/>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zh-CN" altLang="zh-CN" sz="1000">
              <a:solidFill>
                <a:sysClr val="windowText" lastClr="000000"/>
              </a:solidFill>
              <a:effectLst/>
              <a:latin typeface="+mn-lt"/>
              <a:ea typeface="+mn-ea"/>
              <a:cs typeface="+mn-cs"/>
            </a:rPr>
            <a:t>津滨高</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挂</a:t>
          </a:r>
          <a:r>
            <a:rPr lang="en-US" altLang="zh-CN" sz="1000">
              <a:solidFill>
                <a:sysClr val="windowText" lastClr="000000"/>
              </a:solidFill>
              <a:effectLst/>
              <a:latin typeface="+mn-lt"/>
              <a:ea typeface="+mn-ea"/>
              <a:cs typeface="+mn-cs"/>
            </a:rPr>
            <a:t>)2018-17</a:t>
          </a:r>
          <a:r>
            <a:rPr lang="zh-CN" altLang="zh-CN" sz="1000">
              <a:solidFill>
                <a:sysClr val="windowText" lastClr="000000"/>
              </a:solidFill>
              <a:effectLst/>
              <a:latin typeface="+mn-lt"/>
              <a:ea typeface="+mn-ea"/>
              <a:cs typeface="+mn-cs"/>
            </a:rPr>
            <a:t>号（振业）</a:t>
          </a:r>
        </a:p>
        <a:p>
          <a:r>
            <a:rPr lang="en-US" altLang="zh-CN" sz="1000">
              <a:solidFill>
                <a:sysClr val="windowText" lastClr="000000"/>
              </a:solidFill>
              <a:effectLst/>
              <a:latin typeface="+mn-lt"/>
              <a:ea typeface="+mn-ea"/>
              <a:cs typeface="+mn-cs"/>
            </a:rPr>
            <a:t>R2.2    1051</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8025</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㎡——另无偿移交幼儿园，溢价</a:t>
          </a:r>
          <a:r>
            <a:rPr lang="en-US" altLang="zh-CN" sz="1000">
              <a:solidFill>
                <a:sysClr val="windowText" lastClr="000000"/>
              </a:solidFill>
              <a:effectLst/>
              <a:latin typeface="+mn-lt"/>
              <a:ea typeface="+mn-ea"/>
              <a:cs typeface="+mn-cs"/>
            </a:rPr>
            <a:t>18%</a:t>
          </a:r>
          <a:r>
            <a:rPr lang="zh-CN" altLang="zh-CN" sz="1000">
              <a:solidFill>
                <a:sysClr val="windowText" lastClr="000000"/>
              </a:solidFill>
              <a:effectLst/>
              <a:latin typeface="+mn-lt"/>
              <a:ea typeface="+mn-ea"/>
              <a:cs typeface="+mn-cs"/>
            </a:rPr>
            <a:t> </a:t>
          </a:r>
          <a:endParaRPr lang="en-US" altLang="zh-CN" sz="1000">
            <a:solidFill>
              <a:sysClr val="windowText" lastClr="000000"/>
            </a:solidFill>
            <a:effectLst/>
            <a:latin typeface="+mn-lt"/>
            <a:ea typeface="+mn-ea"/>
            <a:cs typeface="+mn-cs"/>
          </a:endParaRPr>
        </a:p>
        <a:p>
          <a:r>
            <a:rPr lang="zh-CN" altLang="zh-CN" sz="1000" b="1">
              <a:solidFill>
                <a:srgbClr val="FF0000"/>
              </a:solidFill>
              <a:effectLst/>
              <a:latin typeface="+mn-lt"/>
              <a:ea typeface="+mn-ea"/>
              <a:cs typeface="+mn-cs"/>
            </a:rPr>
            <a:t>津滨高</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挂</a:t>
          </a:r>
          <a:r>
            <a:rPr lang="en-US" altLang="zh-CN" sz="1000" b="1">
              <a:solidFill>
                <a:srgbClr val="FF0000"/>
              </a:solidFill>
              <a:effectLst/>
              <a:latin typeface="+mn-lt"/>
              <a:ea typeface="+mn-ea"/>
              <a:cs typeface="+mn-cs"/>
            </a:rPr>
            <a:t>)2018-4</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5</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6</a:t>
          </a:r>
          <a:r>
            <a:rPr lang="zh-CN" altLang="zh-CN" sz="1000" b="1">
              <a:solidFill>
                <a:srgbClr val="FF0000"/>
              </a:solidFill>
              <a:effectLst/>
              <a:latin typeface="+mn-lt"/>
              <a:ea typeface="+mn-ea"/>
              <a:cs typeface="+mn-cs"/>
            </a:rPr>
            <a:t>、</a:t>
          </a:r>
          <a:r>
            <a:rPr lang="en-US" altLang="zh-CN" sz="1000" b="1">
              <a:solidFill>
                <a:srgbClr val="FF0000"/>
              </a:solidFill>
              <a:effectLst/>
              <a:latin typeface="+mn-lt"/>
              <a:ea typeface="+mn-ea"/>
              <a:cs typeface="+mn-cs"/>
            </a:rPr>
            <a:t>18</a:t>
          </a:r>
          <a:r>
            <a:rPr lang="zh-CN" altLang="zh-CN" sz="1000" b="1">
              <a:solidFill>
                <a:srgbClr val="FF0000"/>
              </a:solidFill>
              <a:effectLst/>
              <a:latin typeface="+mn-lt"/>
              <a:ea typeface="+mn-ea"/>
              <a:cs typeface="+mn-cs"/>
            </a:rPr>
            <a:t>号（新城，建设</a:t>
          </a:r>
          <a:r>
            <a:rPr lang="en-US" altLang="zh-CN" sz="1000" b="1">
              <a:solidFill>
                <a:srgbClr val="FF0000"/>
              </a:solidFill>
              <a:effectLst/>
              <a:latin typeface="+mn-lt"/>
              <a:ea typeface="+mn-ea"/>
              <a:cs typeface="+mn-cs"/>
            </a:rPr>
            <a:t>10</a:t>
          </a:r>
          <a:r>
            <a:rPr lang="zh-CN" altLang="zh-CN" sz="1000" b="1">
              <a:solidFill>
                <a:srgbClr val="FF0000"/>
              </a:solidFill>
              <a:effectLst/>
              <a:latin typeface="+mn-lt"/>
              <a:ea typeface="+mn-ea"/>
              <a:cs typeface="+mn-cs"/>
            </a:rPr>
            <a:t>万平以上集中式商业设施，</a:t>
          </a:r>
          <a:r>
            <a:rPr lang="en-US" altLang="zh-CN" sz="1000" b="1">
              <a:solidFill>
                <a:srgbClr val="FF0000"/>
              </a:solidFill>
              <a:effectLst/>
              <a:latin typeface="+mn-lt"/>
              <a:ea typeface="+mn-ea"/>
              <a:cs typeface="+mn-cs"/>
            </a:rPr>
            <a:t>20</a:t>
          </a:r>
          <a:r>
            <a:rPr lang="zh-CN" altLang="zh-CN" sz="1000" b="1">
              <a:solidFill>
                <a:srgbClr val="FF0000"/>
              </a:solidFill>
              <a:effectLst/>
              <a:latin typeface="+mn-lt"/>
              <a:ea typeface="+mn-ea"/>
              <a:cs typeface="+mn-cs"/>
            </a:rPr>
            <a:t>年自持）</a:t>
          </a:r>
        </a:p>
        <a:p>
          <a:r>
            <a:rPr lang="en-US" altLang="zh-CN" sz="1000" b="1">
              <a:solidFill>
                <a:srgbClr val="FF0000"/>
              </a:solidFill>
              <a:effectLst/>
              <a:latin typeface="+mn-lt"/>
              <a:ea typeface="+mn-ea"/>
              <a:cs typeface="+mn-cs"/>
            </a:rPr>
            <a:t>R2.2    740</a:t>
          </a:r>
          <a:r>
            <a:rPr lang="zh-CN" altLang="zh-CN" sz="1000" b="1">
              <a:solidFill>
                <a:srgbClr val="FF0000"/>
              </a:solidFill>
              <a:effectLst/>
              <a:latin typeface="+mn-lt"/>
              <a:ea typeface="+mn-ea"/>
              <a:cs typeface="+mn-cs"/>
            </a:rPr>
            <a:t>万元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亩</a:t>
          </a:r>
          <a:r>
            <a:rPr lang="en-US" altLang="zh-CN" sz="1000" b="1">
              <a:solidFill>
                <a:srgbClr val="FF0000"/>
              </a:solidFill>
              <a:effectLst/>
              <a:latin typeface="+mn-lt"/>
              <a:ea typeface="+mn-ea"/>
              <a:cs typeface="+mn-cs"/>
            </a:rPr>
            <a:t>     5051</a:t>
          </a:r>
          <a:r>
            <a:rPr lang="zh-CN" altLang="zh-CN" sz="1000" b="1">
              <a:solidFill>
                <a:srgbClr val="FF0000"/>
              </a:solidFill>
              <a:effectLst/>
              <a:latin typeface="+mn-lt"/>
              <a:ea typeface="+mn-ea"/>
              <a:cs typeface="+mn-cs"/>
            </a:rPr>
            <a:t>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a:t>
          </a:r>
        </a:p>
        <a:p>
          <a:r>
            <a:rPr lang="en-US" altLang="zh-CN" sz="1000">
              <a:solidFill>
                <a:sysClr val="windowText" lastClr="000000"/>
              </a:solidFill>
              <a:effectLst/>
              <a:latin typeface="+mn-lt"/>
              <a:ea typeface="+mn-ea"/>
              <a:cs typeface="+mn-cs"/>
            </a:rPr>
            <a:t>R2.1    629</a:t>
          </a:r>
          <a:r>
            <a:rPr lang="zh-CN" altLang="zh-CN" sz="1000">
              <a:solidFill>
                <a:sysClr val="windowText" lastClr="000000"/>
              </a:solidFill>
              <a:effectLst/>
              <a:latin typeface="+mn-lt"/>
              <a:ea typeface="+mn-ea"/>
              <a:cs typeface="+mn-cs"/>
            </a:rPr>
            <a:t>万元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亩</a:t>
          </a:r>
          <a:r>
            <a:rPr lang="en-US" altLang="zh-CN" sz="1000">
              <a:solidFill>
                <a:sysClr val="windowText" lastClr="000000"/>
              </a:solidFill>
              <a:effectLst/>
              <a:latin typeface="+mn-lt"/>
              <a:ea typeface="+mn-ea"/>
              <a:cs typeface="+mn-cs"/>
            </a:rPr>
            <a:t>     5065</a:t>
          </a:r>
          <a:r>
            <a:rPr lang="zh-CN" altLang="zh-CN" sz="1000">
              <a:solidFill>
                <a:sysClr val="windowText" lastClr="000000"/>
              </a:solidFill>
              <a:effectLst/>
              <a:latin typeface="+mn-lt"/>
              <a:ea typeface="+mn-ea"/>
              <a:cs typeface="+mn-cs"/>
            </a:rPr>
            <a:t>元</a:t>
          </a:r>
          <a:r>
            <a:rPr lang="en-US" altLang="zh-CN" sz="1000">
              <a:solidFill>
                <a:sysClr val="windowText" lastClr="000000"/>
              </a:solidFill>
              <a:effectLst/>
              <a:latin typeface="+mn-lt"/>
              <a:ea typeface="+mn-ea"/>
              <a:cs typeface="+mn-cs"/>
            </a:rPr>
            <a:t>/</a:t>
          </a:r>
          <a:r>
            <a:rPr lang="zh-CN" altLang="zh-CN" sz="1000">
              <a:solidFill>
                <a:sysClr val="windowText" lastClr="000000"/>
              </a:solidFill>
              <a:effectLst/>
              <a:latin typeface="+mn-lt"/>
              <a:ea typeface="+mn-ea"/>
              <a:cs typeface="+mn-cs"/>
            </a:rPr>
            <a:t>㎡——另有一宗</a:t>
          </a:r>
          <a:r>
            <a:rPr lang="en-US" altLang="zh-CN" sz="1000">
              <a:solidFill>
                <a:sysClr val="windowText" lastClr="000000"/>
              </a:solidFill>
              <a:effectLst/>
              <a:latin typeface="+mn-lt"/>
              <a:ea typeface="+mn-ea"/>
              <a:cs typeface="+mn-cs"/>
            </a:rPr>
            <a:t>R1</a:t>
          </a:r>
          <a:r>
            <a:rPr lang="zh-CN" altLang="zh-CN" sz="1000">
              <a:solidFill>
                <a:sysClr val="windowText" lastClr="000000"/>
              </a:solidFill>
              <a:effectLst/>
              <a:latin typeface="+mn-lt"/>
              <a:ea typeface="+mn-ea"/>
              <a:cs typeface="+mn-cs"/>
            </a:rPr>
            <a:t>的商服地块</a:t>
          </a:r>
        </a:p>
        <a:p>
          <a:r>
            <a:rPr lang="en-US" altLang="zh-CN" sz="1000" b="1">
              <a:solidFill>
                <a:srgbClr val="FF0000"/>
              </a:solidFill>
              <a:effectLst/>
              <a:latin typeface="+mn-lt"/>
              <a:ea typeface="+mn-ea"/>
              <a:cs typeface="+mn-cs"/>
            </a:rPr>
            <a:t>R1.9    589</a:t>
          </a:r>
          <a:r>
            <a:rPr lang="zh-CN" altLang="zh-CN" sz="1000" b="1">
              <a:solidFill>
                <a:srgbClr val="FF0000"/>
              </a:solidFill>
              <a:effectLst/>
              <a:latin typeface="+mn-lt"/>
              <a:ea typeface="+mn-ea"/>
              <a:cs typeface="+mn-cs"/>
            </a:rPr>
            <a:t>万元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亩</a:t>
          </a:r>
          <a:r>
            <a:rPr lang="en-US" altLang="zh-CN" sz="1000" b="1">
              <a:solidFill>
                <a:srgbClr val="FF0000"/>
              </a:solidFill>
              <a:effectLst/>
              <a:latin typeface="+mn-lt"/>
              <a:ea typeface="+mn-ea"/>
              <a:cs typeface="+mn-cs"/>
            </a:rPr>
            <a:t>     5285</a:t>
          </a:r>
          <a:r>
            <a:rPr lang="zh-CN" altLang="zh-CN" sz="1000" b="1">
              <a:solidFill>
                <a:srgbClr val="FF0000"/>
              </a:solidFill>
              <a:effectLst/>
              <a:latin typeface="+mn-lt"/>
              <a:ea typeface="+mn-ea"/>
              <a:cs typeface="+mn-cs"/>
            </a:rPr>
            <a:t>元</a:t>
          </a:r>
          <a:r>
            <a:rPr lang="en-US" altLang="zh-CN" sz="1000" b="1">
              <a:solidFill>
                <a:srgbClr val="FF0000"/>
              </a:solidFill>
              <a:effectLst/>
              <a:latin typeface="+mn-lt"/>
              <a:ea typeface="+mn-ea"/>
              <a:cs typeface="+mn-cs"/>
            </a:rPr>
            <a:t>/</a:t>
          </a:r>
          <a:r>
            <a:rPr lang="zh-CN" altLang="zh-CN" sz="1000" b="1">
              <a:solidFill>
                <a:srgbClr val="FF0000"/>
              </a:solidFill>
              <a:effectLst/>
              <a:latin typeface="+mn-lt"/>
              <a:ea typeface="+mn-ea"/>
              <a:cs typeface="+mn-cs"/>
            </a:rPr>
            <a:t>㎡——另无偿移交幼儿园</a:t>
          </a:r>
          <a:endParaRPr lang="zh-CN" altLang="en-US" sz="10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24066;&#28392;&#28023;&#39640;&#26032;&#21306;&#28392;&#28023;&#31185;&#25216;&#22253;&#20013;&#24515;&#24196;&#36335;&#20197;&#19996;&#12289;&#21019;&#26032;&#22823;&#36947;&#20197;&#21271;/&#39033;&#30446;&#36164;&#26009;/&#22825;&#27941;&#28196;&#40857;&#28246;&#22320;&#22359;&#39033;&#30446;&#32463;&#27982;&#27979;&#31639;05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NYQF"/>
      <sheetName val="@总体经济技术指标"/>
      <sheetName val="@成本费用预测"/>
      <sheetName val="@利润预测"/>
      <sheetName val="@项目实施进度计划表"/>
      <sheetName val="@投资分类占比表"/>
      <sheetName val="@资金来源占比表"/>
      <sheetName val="@销售收入估算"/>
      <sheetName val="@经营收入与销售税金及附加估算表"/>
      <sheetName val="资金来源与运用表"/>
      <sheetName val="项目损益表"/>
      <sheetName val="前期成本支付明细"/>
      <sheetName val="全部投资现金流量表"/>
      <sheetName val="敏感性分析"/>
      <sheetName val="销售收入减少5%现金流"/>
      <sheetName val="销售收入增加5%现金流"/>
      <sheetName val="开发建设投资增加5%"/>
      <sheetName val="开发建设投资减少5%"/>
      <sheetName val="投资增加5%同时收入减少5%"/>
      <sheetName val="单因素变化敏感性分析图"/>
    </sheetNames>
    <sheetDataSet>
      <sheetData sheetId="0" refreshError="1"/>
      <sheetData sheetId="1" refreshError="1"/>
      <sheetData sheetId="2">
        <row r="7">
          <cell r="C7">
            <v>188636.52000000002</v>
          </cell>
        </row>
      </sheetData>
      <sheetData sheetId="3" refreshError="1"/>
      <sheetData sheetId="4" refreshError="1"/>
      <sheetData sheetId="5" refreshError="1"/>
      <sheetData sheetId="6">
        <row r="4">
          <cell r="C4">
            <v>60000</v>
          </cell>
        </row>
      </sheetData>
      <sheetData sheetId="7">
        <row r="10">
          <cell r="E10">
            <v>137110.22</v>
          </cell>
        </row>
      </sheetData>
      <sheetData sheetId="8">
        <row r="27">
          <cell r="C27">
            <v>3114.5181029652617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hyperlink" Target="http://w.m.sohu.com/ao/272383328_124760" TargetMode="External"/><Relationship Id="rId1" Type="http://schemas.openxmlformats.org/officeDocument/2006/relationships/hyperlink" Target="https://baijiahao.baidu.com/s?id=1628503729359174807&amp;wfr=spider&amp;for=pc"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F33" sqref="A28:F33"/>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天津市滨海高新区滨海科技园（宗地编号：津滨高（挂）2019-1号）一宗城镇住宅、商服用地出让国有建设用地使用权抵押价格预评估</v>
      </c>
      <c r="AX2" s="2850"/>
      <c r="AZ2" s="2850"/>
      <c r="BA2" s="2851"/>
      <c r="BC2" s="2851"/>
    </row>
    <row r="3" spans="1:55" s="2852" customFormat="1">
      <c r="A3" s="2831" t="s">
        <v>2659</v>
      </c>
      <c r="B3" s="2834" t="str">
        <f>'预评函-封皮'!B40</f>
        <v>中诚信托有限责任公司</v>
      </c>
    </row>
    <row r="4" spans="1:55" s="2833" customFormat="1">
      <c r="A4" s="2831" t="s">
        <v>2660</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受贵公司委托，我公司对天津市滨海高新区滨海科技园（宗地编号：津滨高（挂）2019-1号）一宗城镇住宅、商服用地出让国有建设用地使用权抵押价格进行了预评估。</v>
      </c>
      <c r="AM6" s="2856"/>
    </row>
    <row r="7" spans="1:55" s="2830" customFormat="1">
      <c r="A7" s="2831" t="s">
        <v>2655</v>
      </c>
      <c r="B7" s="2832" t="str">
        <f>'预评函-1'!A6</f>
        <v>估价对象为天津国能生活服务有限责任公司使用的、位于天津市滨海高新区滨海科技园（宗地编号：津滨高（挂）2019-1号）一宗城镇住宅、商服用地出让国有建设用地使用权。根据《国有土地使用证》[]，估价对象（分摊）出让国有建设用地使用权面积为72391.8平方米。根据《建设工程规划许可证》[]、《出让合同》[]，估价对象规划建筑面积为187743.54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2019年8月21日</v>
      </c>
    </row>
    <row r="11" spans="1:55" s="2830" customFormat="1">
      <c r="A11" s="2831" t="s">
        <v>2663</v>
      </c>
      <c r="B11" s="2832" t="str">
        <f>'预评函-1'!A14</f>
        <v>根据《国有土地使用证》[]，本次评估估价对象证载（地类）用途为城镇住宅、商服用地。</v>
      </c>
    </row>
    <row r="12" spans="1:55" s="2830" customFormat="1">
      <c r="A12" s="2831" t="s">
        <v>2664</v>
      </c>
      <c r="B12" s="2832" t="str">
        <f>'预评函-1'!A15</f>
        <v>本次评估设定用途即为证载用途城镇住宅、商服用地。</v>
      </c>
    </row>
    <row r="13" spans="1:55" s="2830" customFormat="1">
      <c r="A13" s="2831" t="s">
        <v>2665</v>
      </c>
      <c r="B13" s="2832" t="str">
        <f>'预评函-1'!A17</f>
        <v>根据委托估价方介绍及评估专业人员现场勘查，本次评估估价对象实际土地开发程度为红线外市政基础设施达“七通”（即通路、通电、通讯、通上水、通下水、通热、燃气）、宗地红线内已开工建设。。</v>
      </c>
    </row>
    <row r="14" spans="1:55" s="2830" customFormat="1">
      <c r="A14" s="2831" t="s">
        <v>2666</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2662</v>
      </c>
      <c r="B15" s="2832" t="str">
        <f>'预评函-1'!A20</f>
        <v>根据《国有土地使用证》[]，估价对象（分摊）出让国有建设用地使用权面积为72391.8平方米。根据《建设工程规划许可证》[]、《出让合同》[]，估价对象规划建筑面积为187743.54平方米。</v>
      </c>
    </row>
    <row r="16" spans="1:55" s="2830" customFormat="1">
      <c r="A16" s="2831" t="s">
        <v>2667</v>
      </c>
      <c r="B16" s="2832" t="str">
        <f>'预评函-1'!A22</f>
        <v>本次估价对象为出让国有建设用地使用权，《国有土地使用证》[]证载土地终止日期为住宅2089年8月20日、商业2059年8月20日地下车库2069年8月20日。截至估价期日，出让国有建设用地使用权剩余土地使用年限为。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估价期日：2019年8月21日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t="str">
        <f>'预评函-2'!E5</f>
        <v>城镇住宅、商服用地</v>
      </c>
      <c r="AV32" s="2836"/>
    </row>
    <row r="33" spans="1:2">
      <c r="A33" s="2831" t="s">
        <v>2711</v>
      </c>
      <c r="B33" s="2832">
        <f>'预评函-2'!F5</f>
        <v>258</v>
      </c>
    </row>
    <row r="34" spans="1:2">
      <c r="A34" s="2831" t="s">
        <v>2712</v>
      </c>
      <c r="B34" s="2832" t="str">
        <f>'预评函-2'!G5</f>
        <v>城镇住宅、商服用地</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红线外七通、宗地红线内宗地内已开工建设</v>
      </c>
    </row>
    <row r="39" spans="1:2">
      <c r="A39" s="2831" t="s">
        <v>2717</v>
      </c>
      <c r="B39" s="2832" t="str">
        <f>'预评函-2'!L5</f>
        <v>红线外七通、宗地红线内场地平整</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72391.8</v>
      </c>
    </row>
    <row r="44" spans="1:2">
      <c r="A44" s="2831" t="s">
        <v>2738</v>
      </c>
      <c r="B44" s="2832" t="str">
        <f>'预评函-2'!O3</f>
        <v>规划建筑面积/㎡</v>
      </c>
    </row>
    <row r="45" spans="1:2">
      <c r="A45" s="2831" t="s">
        <v>2720</v>
      </c>
      <c r="B45" s="2832">
        <f>'预评函-2'!O5</f>
        <v>187743.54</v>
      </c>
    </row>
    <row r="46" spans="1:2">
      <c r="A46" s="2831" t="s">
        <v>2721</v>
      </c>
      <c r="B46" s="2832">
        <f ca="1">'预评函-2'!P5</f>
        <v>7772</v>
      </c>
    </row>
    <row r="47" spans="1:2">
      <c r="A47" s="2831" t="s">
        <v>2722</v>
      </c>
      <c r="B47" s="2832">
        <f ca="1">'预评函-2'!Q5</f>
        <v>2997</v>
      </c>
    </row>
    <row r="48" spans="1:2">
      <c r="A48" s="2831" t="s">
        <v>2723</v>
      </c>
      <c r="B48" s="2832">
        <f ca="1">'预评函-2'!R5</f>
        <v>56265</v>
      </c>
    </row>
    <row r="49" spans="1:2">
      <c r="A49" s="2831" t="s">
        <v>2739</v>
      </c>
      <c r="B49" s="2832" t="str">
        <f>'预评函-2'!A6</f>
        <v>抵押价格</v>
      </c>
    </row>
    <row r="50" spans="1:2">
      <c r="A50" s="2831" t="s">
        <v>2724</v>
      </c>
      <c r="B50" s="2832">
        <f ca="1">'预评函-2'!R6</f>
        <v>56265</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2.基础设施条件：估价对象实际开发程度为红线外七通、宗地红线内宗地内已开工建设；本次评估设定开发程度为红线外七通、宗地红线内场地平整。</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王鹏</v>
      </c>
    </row>
    <row r="70" spans="1:2">
      <c r="A70" s="2831" t="s">
        <v>2688</v>
      </c>
      <c r="B70" s="2838">
        <f ca="1">'预评函-3'!B20</f>
        <v>2002110030</v>
      </c>
    </row>
    <row r="71" spans="1:2">
      <c r="A71" s="2831" t="s">
        <v>2689</v>
      </c>
      <c r="B71" s="2832" t="str">
        <f>'预评函-3'!A21</f>
        <v>郑燚</v>
      </c>
    </row>
    <row r="72" spans="1:2" s="2846" customFormat="1" ht="15" thickBot="1">
      <c r="A72" s="2853" t="s">
        <v>2689</v>
      </c>
      <c r="B72" s="2859">
        <f ca="1">'预评函-3'!B21</f>
        <v>2014110011</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A20" sqref="A20:A28"/>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381" t="str">
        <f>IF(B10="北京市","北京市",C10)&amp;F10&amp;B16&amp;"国有建设用地使用权"&amp;B9&amp;"预评估"</f>
        <v>天津市滨海高新区滨海科技园（宗地编号：津滨高（挂）2019-1号）一宗城镇住宅、商服用地出让国有建设用地使用权抵押价格预评估</v>
      </c>
      <c r="C1" s="3382"/>
      <c r="D1" s="3382"/>
      <c r="E1" s="3382"/>
      <c r="F1" s="3382"/>
      <c r="G1" s="3382"/>
      <c r="H1" s="3382"/>
      <c r="I1" s="3383"/>
      <c r="J1" s="1676"/>
      <c r="K1" s="2417" t="str">
        <f>IF(B10="北京市","北京市",C10)&amp;F10&amp;B16&amp;"国有建设用地使用权"&amp;B9</f>
        <v>天津市滨海高新区滨海科技园（宗地编号：津滨高（挂）2019-1号）一宗城镇住宅、商服用地出让国有建设用地使用权抵押价格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天津市滨海高新区滨海科技园（宗地编号：津滨高（挂）2019-1号）一宗城镇住宅、商服用地出让国有建设用地使用权</v>
      </c>
      <c r="L2" s="1705"/>
      <c r="M2" s="1705"/>
      <c r="N2" s="1676"/>
      <c r="O2" s="1677"/>
      <c r="P2" s="1676"/>
      <c r="Q2" s="1676"/>
      <c r="R2" s="1676"/>
      <c r="S2" s="1676"/>
      <c r="T2" s="1676"/>
      <c r="U2" s="1676"/>
    </row>
    <row r="3" spans="1:21">
      <c r="A3" s="1643" t="s">
        <v>1939</v>
      </c>
      <c r="B3" s="1644"/>
      <c r="C3" s="1645" t="s">
        <v>1995</v>
      </c>
      <c r="D3" s="1644">
        <v>43698</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2998</v>
      </c>
      <c r="C4" s="1828">
        <f ca="1">SUMIF(土地估价师,B4,估价师及机构信息!E3:E24)</f>
        <v>2002110030</v>
      </c>
      <c r="D4" s="1825" t="s">
        <v>2999</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中诚信托有限责任公司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t="s">
        <v>3000</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t="str">
        <f>C11</f>
        <v>天津国能生活服务有限责任公司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387" t="s">
        <v>1944</v>
      </c>
      <c r="E8" s="1826" t="s">
        <v>3001</v>
      </c>
      <c r="F8" s="1654"/>
      <c r="G8" s="1642"/>
      <c r="H8" s="1642"/>
      <c r="I8" s="1689"/>
      <c r="J8" s="1676"/>
      <c r="K8" s="1756"/>
      <c r="L8" s="1705"/>
      <c r="M8" s="1705"/>
      <c r="N8" s="1676"/>
      <c r="O8" s="1677"/>
      <c r="P8" s="1676"/>
      <c r="Q8" s="1676"/>
      <c r="R8" s="1676"/>
      <c r="S8" s="1676"/>
      <c r="T8" s="1676"/>
      <c r="U8" s="1676"/>
    </row>
    <row r="9" spans="1:21" ht="15" thickBot="1">
      <c r="A9" s="1655" t="s">
        <v>1943</v>
      </c>
      <c r="B9" s="1656" t="s">
        <v>3001</v>
      </c>
      <c r="C9" s="1657"/>
      <c r="D9" s="3388"/>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3002</v>
      </c>
      <c r="C10" s="1658"/>
      <c r="D10" s="1649"/>
      <c r="E10" s="1659" t="s">
        <v>1946</v>
      </c>
      <c r="F10" s="1660" t="s">
        <v>3005</v>
      </c>
      <c r="G10" s="1727"/>
      <c r="H10" s="1728"/>
      <c r="I10" s="1649"/>
      <c r="J10" s="1676"/>
      <c r="K10" s="1756"/>
      <c r="L10" s="1705"/>
      <c r="M10" s="1705"/>
      <c r="N10" s="1676"/>
      <c r="O10" s="1677"/>
      <c r="P10" s="1676"/>
      <c r="Q10" s="1676"/>
      <c r="R10" s="1676"/>
      <c r="S10" s="1676"/>
      <c r="T10" s="1676"/>
      <c r="U10" s="1676"/>
    </row>
    <row r="11" spans="1:21" ht="42.75">
      <c r="A11" s="1679" t="s">
        <v>2000</v>
      </c>
      <c r="B11" s="1680" t="s">
        <v>3003</v>
      </c>
      <c r="C11" s="1661" t="s">
        <v>3007</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399" t="s">
        <v>3009</v>
      </c>
      <c r="C12" s="3400"/>
      <c r="D12" s="3401"/>
      <c r="E12" s="1681" t="s">
        <v>2061</v>
      </c>
      <c r="F12" s="3405" t="s">
        <v>2887</v>
      </c>
      <c r="G12" s="3406"/>
      <c r="H12" s="3406"/>
      <c r="I12" s="3407"/>
      <c r="J12" s="1676"/>
      <c r="K12" s="1756"/>
      <c r="L12" s="1705"/>
      <c r="M12" s="1705"/>
      <c r="N12" s="1676"/>
      <c r="O12" s="1677"/>
      <c r="P12" s="1676"/>
      <c r="Q12" s="1676"/>
      <c r="R12" s="1676"/>
      <c r="S12" s="1676"/>
      <c r="T12" s="1676"/>
      <c r="U12" s="1676"/>
    </row>
    <row r="13" spans="1:21">
      <c r="A13" s="1669" t="s">
        <v>2059</v>
      </c>
      <c r="B13" s="3384" t="str">
        <f>B12</f>
        <v>城镇住宅、商服用地</v>
      </c>
      <c r="C13" s="3385"/>
      <c r="D13" s="3386"/>
      <c r="E13" s="1681" t="s">
        <v>2061</v>
      </c>
      <c r="F13" s="3405" t="s">
        <v>2888</v>
      </c>
      <c r="G13" s="3406"/>
      <c r="H13" s="3406"/>
      <c r="I13" s="3407"/>
      <c r="J13" s="1676"/>
      <c r="K13" s="1756"/>
      <c r="L13" s="1705"/>
      <c r="M13" s="1705"/>
      <c r="N13" s="1676"/>
      <c r="O13" s="1677"/>
      <c r="P13" s="1676"/>
      <c r="Q13" s="1676"/>
      <c r="R13" s="1676"/>
      <c r="S13" s="1676"/>
      <c r="T13" s="1676"/>
      <c r="U13" s="1676"/>
    </row>
    <row r="14" spans="1:21">
      <c r="A14" s="1643" t="s">
        <v>2062</v>
      </c>
      <c r="B14" s="1681"/>
      <c r="C14" s="1827" t="s">
        <v>3010</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2988</v>
      </c>
      <c r="C16" s="1681" t="s">
        <v>1948</v>
      </c>
      <c r="D16" s="2608" t="s">
        <v>1949</v>
      </c>
      <c r="E16" s="1704" t="s">
        <v>3011</v>
      </c>
      <c r="F16" s="1704"/>
      <c r="G16" s="1704" t="s">
        <v>35</v>
      </c>
      <c r="H16" s="1704"/>
      <c r="I16" s="1668" t="s">
        <v>1954</v>
      </c>
      <c r="J16" s="1676"/>
      <c r="K16" s="2418" t="str">
        <f>IF(D17="","",D16&amp;TEXT(D17,"yyyy年m月d日;;"))</f>
        <v>住宅2089年8月20日</v>
      </c>
      <c r="L16" s="1681" t="str">
        <f>IF(OR(K16="",M16=""),"","、")</f>
        <v>、</v>
      </c>
      <c r="M16" s="2418" t="str">
        <f>IF(E17="","",E16&amp;TEXT(E17,"yyyy年m月d日;;"))</f>
        <v>商业2059年8月20日</v>
      </c>
      <c r="N16" s="1681" t="str">
        <f>IF(OR(M16="",O16=""),"","、")</f>
        <v/>
      </c>
      <c r="O16" s="2418" t="str">
        <f>IF(F17="","",F16&amp;TEXT(F17,"yyyy年m月d日;;"))</f>
        <v/>
      </c>
      <c r="P16" s="1681" t="str">
        <f>IF(OR(O16="",Q16=""),"","、")</f>
        <v/>
      </c>
      <c r="Q16" s="2418" t="str">
        <f>IF(G17="","",G16&amp;TEXT(G17,"yyyy年m月d日;;"))</f>
        <v>地下车库2069年8月20日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69265</v>
      </c>
      <c r="E17" s="1682">
        <v>58307</v>
      </c>
      <c r="F17" s="1682"/>
      <c r="G17" s="1682">
        <v>61960</v>
      </c>
      <c r="H17" s="1682"/>
      <c r="I17" s="1682"/>
      <c r="J17" s="1676"/>
      <c r="K17" s="2417" t="str">
        <f>CONCATENATE(K16,L16,M16,N16,O16,P16,Q16,R16,S16,T16,,U16)</f>
        <v>住宅2089年8月20日、商业2059年8月20日地下车库2069年8月20日</v>
      </c>
      <c r="L17" s="1705"/>
      <c r="M17" s="1705"/>
      <c r="N17" s="1676"/>
      <c r="O17" s="1677"/>
      <c r="P17" s="1676"/>
      <c r="Q17" s="1676"/>
      <c r="R17" s="1676"/>
      <c r="S17" s="1676"/>
      <c r="T17" s="1676"/>
      <c r="U17" s="1676"/>
    </row>
    <row r="18" spans="1:21">
      <c r="A18" s="1745"/>
      <c r="B18" s="1664"/>
      <c r="C18" s="1665" t="s">
        <v>1956</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40</v>
      </c>
      <c r="F19" s="1667" t="str">
        <f>IF(B16="出让",IF(F17="","",ROUNDDOWN(MIN((F17-$D$3)/365,F18),2)),F18)</f>
        <v/>
      </c>
      <c r="G19" s="1667">
        <f>IF(B16="出让",IF(G17="","",ROUNDDOWN(MIN((G17-$D$3)/365,G18),2)),G18)</f>
        <v>50</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402"/>
      <c r="E20" s="3403"/>
      <c r="F20" s="3403"/>
      <c r="G20" s="3403"/>
      <c r="H20" s="3403"/>
      <c r="I20" s="3404"/>
      <c r="J20" s="1676"/>
      <c r="K20" s="1756"/>
      <c r="L20" s="1705"/>
      <c r="M20" s="1705"/>
      <c r="N20" s="1676"/>
      <c r="O20" s="1677"/>
      <c r="P20" s="1676"/>
      <c r="Q20" s="1676"/>
      <c r="R20" s="1676"/>
      <c r="S20" s="1676"/>
      <c r="T20" s="1676"/>
      <c r="U20" s="1676"/>
    </row>
    <row r="21" spans="1:21">
      <c r="A21" s="1745" t="s">
        <v>1958</v>
      </c>
      <c r="B21" s="1746" t="s">
        <v>1959</v>
      </c>
      <c r="C21" s="1741">
        <f>'数据-汇总表'!E3</f>
        <v>187743.54</v>
      </c>
      <c r="D21" s="1742" t="s">
        <v>1960</v>
      </c>
      <c r="E21" s="3389" t="s">
        <v>1998</v>
      </c>
      <c r="F21" s="3390"/>
      <c r="G21" s="3390"/>
      <c r="H21" s="3390"/>
      <c r="I21" s="3391"/>
      <c r="J21" s="1676"/>
      <c r="K21" s="1756"/>
      <c r="L21" s="1705"/>
      <c r="M21" s="1705"/>
      <c r="N21" s="1676"/>
      <c r="O21" s="1677"/>
      <c r="P21" s="1676"/>
      <c r="Q21" s="1676"/>
      <c r="R21" s="1676"/>
      <c r="S21" s="1676"/>
      <c r="T21" s="1676"/>
      <c r="U21" s="1676"/>
    </row>
    <row r="22" spans="1:21">
      <c r="A22" s="3095" t="s">
        <v>952</v>
      </c>
      <c r="B22" s="1643" t="s">
        <v>1961</v>
      </c>
      <c r="C22" s="1668">
        <f>'数据-汇总表'!D3</f>
        <v>72391.8</v>
      </c>
      <c r="D22" s="1669" t="s">
        <v>1960</v>
      </c>
      <c r="E22" s="3389" t="s">
        <v>2889</v>
      </c>
      <c r="F22" s="3390"/>
      <c r="G22" s="3390"/>
      <c r="H22" s="3390"/>
      <c r="I22" s="3391"/>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392" t="s">
        <v>1966</v>
      </c>
      <c r="C24" s="3393"/>
      <c r="D24" s="3394" t="s">
        <v>1967</v>
      </c>
      <c r="E24" s="3395"/>
      <c r="F24" s="1690" t="s">
        <v>1968</v>
      </c>
      <c r="G24" s="1676"/>
      <c r="H24" s="1676"/>
      <c r="I24" s="1689"/>
      <c r="J24" s="1676"/>
      <c r="K24" s="3380"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38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38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366" t="s">
        <v>2001</v>
      </c>
      <c r="B31" s="1746" t="s">
        <v>2002</v>
      </c>
      <c r="C31" s="3408"/>
      <c r="D31" s="3409"/>
      <c r="E31" s="1676"/>
      <c r="F31" s="1676"/>
      <c r="G31" s="1676"/>
      <c r="H31" s="1676"/>
      <c r="I31" s="1689"/>
      <c r="J31" s="1676"/>
      <c r="K31" s="2420"/>
      <c r="L31" s="1676"/>
      <c r="M31" s="1676"/>
      <c r="N31" s="1676"/>
      <c r="O31" s="1676"/>
      <c r="P31" s="1676"/>
      <c r="Q31" s="1676"/>
      <c r="R31" s="1676"/>
      <c r="S31" s="1676"/>
      <c r="T31" s="1676"/>
      <c r="U31" s="1676"/>
    </row>
    <row r="32" spans="1:21">
      <c r="A32" s="3366"/>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66"/>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67"/>
      <c r="B34" s="1643" t="s">
        <v>2005</v>
      </c>
      <c r="C34" s="3368"/>
      <c r="D34" s="3369"/>
      <c r="E34" s="1676"/>
      <c r="F34" s="1676"/>
      <c r="G34" s="1676"/>
      <c r="H34" s="1676"/>
      <c r="I34" s="1689"/>
      <c r="J34" s="1676"/>
      <c r="K34" s="2420"/>
      <c r="L34" s="1676"/>
      <c r="M34" s="1676"/>
      <c r="N34" s="1676"/>
      <c r="O34" s="1676"/>
      <c r="P34" s="1676"/>
      <c r="Q34" s="1676"/>
      <c r="R34" s="1676"/>
      <c r="S34" s="1676"/>
      <c r="T34" s="1676"/>
      <c r="U34" s="1676"/>
    </row>
    <row r="35" spans="1:21" ht="28.5">
      <c r="A35" s="3370" t="s">
        <v>847</v>
      </c>
      <c r="B35" s="1704" t="s">
        <v>3012</v>
      </c>
      <c r="C35" s="1758" t="str">
        <f>IF(B35="场地平整","——","具体情况：")</f>
        <v>具体情况：</v>
      </c>
      <c r="D35" s="3372"/>
      <c r="E35" s="3373"/>
      <c r="F35" s="3373"/>
      <c r="G35" s="3373"/>
      <c r="H35" s="3373"/>
      <c r="I35" s="3374"/>
      <c r="J35" s="1676"/>
      <c r="K35" s="1757"/>
      <c r="L35" s="1705"/>
      <c r="M35" s="1705"/>
      <c r="N35" s="1676"/>
      <c r="O35" s="1677"/>
      <c r="P35" s="1676"/>
      <c r="Q35" s="1676"/>
      <c r="R35" s="1676"/>
      <c r="S35" s="1676"/>
      <c r="T35" s="1676"/>
      <c r="U35" s="1676"/>
    </row>
    <row r="36" spans="1:21">
      <c r="A36" s="3366"/>
      <c r="B36" s="3375" t="s">
        <v>2054</v>
      </c>
      <c r="C36" s="3376"/>
      <c r="D36" s="1774" t="s">
        <v>3013</v>
      </c>
      <c r="E36" s="3377"/>
      <c r="F36" s="3377"/>
      <c r="G36" s="1669" t="str">
        <f>IF(B35="场地未平整","估价结果处理","")</f>
        <v/>
      </c>
      <c r="H36" s="3378"/>
      <c r="I36" s="3378"/>
      <c r="J36" s="1676"/>
      <c r="K36" s="1757"/>
      <c r="L36" s="1705"/>
      <c r="M36" s="1705"/>
      <c r="N36" s="1676"/>
      <c r="O36" s="1677"/>
      <c r="P36" s="1676"/>
      <c r="Q36" s="1676"/>
      <c r="R36" s="1676"/>
      <c r="S36" s="1676"/>
      <c r="T36" s="1676"/>
      <c r="U36" s="1676"/>
    </row>
    <row r="37" spans="1:21" ht="28.5">
      <c r="A37" s="3366"/>
      <c r="B37" s="339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366"/>
      <c r="B38" s="3397"/>
      <c r="C38" s="1651" t="s">
        <v>850</v>
      </c>
      <c r="D38" s="1773">
        <f>ROUNDDOWN(MIN(('数据-取费表'!$B$2-D37)/365,D34),1)</f>
        <v>119.7</v>
      </c>
      <c r="E38" s="1709" t="s">
        <v>851</v>
      </c>
      <c r="F38" s="1676"/>
      <c r="G38" s="1676"/>
      <c r="H38" s="1676"/>
      <c r="I38" s="1689"/>
      <c r="J38" s="1676"/>
      <c r="K38" s="1757"/>
      <c r="L38" s="1676"/>
      <c r="M38" s="1676"/>
      <c r="N38" s="1676"/>
      <c r="O38" s="1676"/>
      <c r="P38" s="1676"/>
      <c r="Q38" s="1676"/>
      <c r="R38" s="1676"/>
      <c r="S38" s="1676"/>
      <c r="T38" s="1676"/>
      <c r="U38" s="1676"/>
    </row>
    <row r="39" spans="1:21">
      <c r="A39" s="3367"/>
      <c r="B39" s="3398"/>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t="s">
        <v>3014</v>
      </c>
      <c r="C40" s="1672" t="s">
        <v>3015</v>
      </c>
      <c r="D40" s="1672" t="s">
        <v>3016</v>
      </c>
      <c r="E40" s="1672" t="s">
        <v>3017</v>
      </c>
      <c r="F40" s="1672" t="s">
        <v>3018</v>
      </c>
      <c r="G40" s="1672" t="s">
        <v>3019</v>
      </c>
      <c r="H40" s="1672" t="s">
        <v>3020</v>
      </c>
      <c r="I40" s="1689"/>
      <c r="J40" s="1676"/>
      <c r="K40" s="1712">
        <f>COUNTIF(B40:H40,"——")</f>
        <v>0</v>
      </c>
      <c r="L40" s="1681" t="s">
        <v>1978</v>
      </c>
      <c r="M40" s="1678" t="s">
        <v>1979</v>
      </c>
      <c r="N40" s="1678" t="s">
        <v>1980</v>
      </c>
      <c r="O40" s="1678" t="s">
        <v>1981</v>
      </c>
      <c r="P40" s="1678" t="s">
        <v>1982</v>
      </c>
      <c r="Q40" s="1678" t="s">
        <v>1983</v>
      </c>
      <c r="R40" s="1678" t="s">
        <v>1984</v>
      </c>
      <c r="S40" s="3379" t="s">
        <v>1985</v>
      </c>
      <c r="T40" s="1713" t="str">
        <f>NUMBERSTRING(7-K40,1)&amp;"通"</f>
        <v>七通</v>
      </c>
      <c r="U40" s="1676"/>
    </row>
    <row r="41" spans="1:21">
      <c r="A41" s="1645"/>
      <c r="B41" s="3371" t="s">
        <v>1721</v>
      </c>
      <c r="C41" s="3371"/>
      <c r="D41" s="3371"/>
      <c r="E41" s="3371"/>
      <c r="F41" s="1714">
        <f>C10</f>
        <v>0</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通路、通电、通讯、通上水、通下水、通热</v>
      </c>
      <c r="R41" s="1716" t="str">
        <f>B40&amp;"、"&amp;C40&amp;"、"&amp;D40&amp;"、"&amp;E40&amp;"、"&amp;F40&amp;"、"&amp;G40&amp;"、"&amp;H40</f>
        <v>通路、通电、通讯、通上水、通下水、通热、燃气</v>
      </c>
      <c r="S41" s="3379"/>
      <c r="T41" s="1715" t="str">
        <f>IF(T40="一通",L41,IF(T40="二通",M41,IF(T40="三通",N41,IF(T40="四通",O41,IF(T40="五通",P41,IF(T40="六通",Q41,R41))))))</f>
        <v>通路、通电、通讯、通上水、通下水、通热、燃气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M7" sqref="AM7:AQ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2333</v>
      </c>
      <c r="BA2" s="2323" t="s">
        <v>2332</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72391.8</v>
      </c>
      <c r="B3" s="22">
        <f>IF(C3="否",G5-AT5,G5)</f>
        <v>187743.54</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187743.54</v>
      </c>
      <c r="H5" s="27">
        <f t="shared" ref="H5:AT5" si="0">SUM(H13:H641)</f>
        <v>169839.77000000002</v>
      </c>
      <c r="I5" s="27">
        <f t="shared" si="0"/>
        <v>119327.24000000002</v>
      </c>
      <c r="J5" s="27">
        <f t="shared" si="0"/>
        <v>0</v>
      </c>
      <c r="K5" s="27">
        <f t="shared" si="0"/>
        <v>3913.9399999999996</v>
      </c>
      <c r="L5" s="27">
        <f t="shared" si="0"/>
        <v>0</v>
      </c>
      <c r="M5" s="27">
        <f t="shared" si="0"/>
        <v>46598.59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17903.77</v>
      </c>
      <c r="AD5" s="27">
        <f t="shared" si="0"/>
        <v>7064.06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10839.71</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187743.54</v>
      </c>
      <c r="BA5" s="29">
        <f t="shared" si="1"/>
        <v>169839.77000000002</v>
      </c>
      <c r="BB5" s="29">
        <f t="shared" si="1"/>
        <v>119327.24000000002</v>
      </c>
      <c r="BC5" s="29">
        <f t="shared" si="1"/>
        <v>3913.9399999999996</v>
      </c>
      <c r="BD5" s="29">
        <f t="shared" si="1"/>
        <v>46598.59</v>
      </c>
      <c r="BE5" s="29">
        <f t="shared" si="1"/>
        <v>0</v>
      </c>
      <c r="BF5" s="29">
        <f t="shared" si="1"/>
        <v>0</v>
      </c>
      <c r="BG5" s="29">
        <f t="shared" si="1"/>
        <v>0</v>
      </c>
      <c r="BH5" s="29">
        <f t="shared" si="1"/>
        <v>0</v>
      </c>
      <c r="BI5" s="29">
        <f t="shared" si="1"/>
        <v>0</v>
      </c>
      <c r="BJ5" s="29">
        <f t="shared" si="1"/>
        <v>0</v>
      </c>
      <c r="BK5" s="29">
        <f t="shared" si="1"/>
        <v>0</v>
      </c>
      <c r="BL5" s="29">
        <f t="shared" si="1"/>
        <v>17903.77</v>
      </c>
      <c r="BM5" s="29">
        <f t="shared" si="1"/>
        <v>7064.06</v>
      </c>
      <c r="BN5" s="29">
        <f t="shared" si="1"/>
        <v>0</v>
      </c>
      <c r="BO5" s="29">
        <f t="shared" si="1"/>
        <v>0</v>
      </c>
      <c r="BP5" s="29">
        <f t="shared" si="1"/>
        <v>0</v>
      </c>
      <c r="BQ5" s="29">
        <f t="shared" si="1"/>
        <v>0</v>
      </c>
      <c r="BR5" s="29">
        <f t="shared" si="1"/>
        <v>10839.71</v>
      </c>
      <c r="BS5" s="29">
        <f t="shared" si="1"/>
        <v>0</v>
      </c>
      <c r="BT5" s="30">
        <f t="shared" si="1"/>
        <v>0</v>
      </c>
    </row>
    <row r="6" spans="1:72" s="37" customFormat="1" ht="12.75">
      <c r="A6" s="26" t="s">
        <v>169</v>
      </c>
      <c r="B6" s="31"/>
      <c r="C6" s="31"/>
      <c r="D6" s="32"/>
      <c r="E6" s="27">
        <f>H6+AC6+AT6</f>
        <v>72391.789999999994</v>
      </c>
      <c r="F6" s="27" t="s">
        <v>1</v>
      </c>
      <c r="G6" s="27" t="s">
        <v>2</v>
      </c>
      <c r="H6" s="33">
        <f>SUMIF(I$12:AB$12,"总值",I6:AB6)</f>
        <v>65488.299999999996</v>
      </c>
      <c r="I6" s="27">
        <f t="shared" ref="I6:AB6" si="2">ROUND($A$3*I5/$B$3,2)</f>
        <v>46011.24</v>
      </c>
      <c r="J6" s="27">
        <f t="shared" si="2"/>
        <v>0</v>
      </c>
      <c r="K6" s="27">
        <f t="shared" si="2"/>
        <v>1509.17</v>
      </c>
      <c r="L6" s="27">
        <f t="shared" si="2"/>
        <v>0</v>
      </c>
      <c r="M6" s="27">
        <f t="shared" si="2"/>
        <v>17967.89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6903.49</v>
      </c>
      <c r="AD6" s="27">
        <f t="shared" ref="AD6:AS6" si="3">ROUND($A$3*AD5/$B$3,2)</f>
        <v>2723.82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4179.67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72391.8</v>
      </c>
      <c r="AZ6" s="27" t="s">
        <v>3</v>
      </c>
      <c r="BA6" s="27">
        <f>ROUND($AY$6*BA5/$AZ$5,2)</f>
        <v>65488.31</v>
      </c>
      <c r="BB6" s="27">
        <f>ROUND($AY$6*BB5/$AZ$5,2)</f>
        <v>46011.24</v>
      </c>
      <c r="BC6" s="27">
        <f t="shared" ref="BC6:BH6" si="4">ROUND($AY$6*BC5/$AZ$5,2)</f>
        <v>1509.17</v>
      </c>
      <c r="BD6" s="27">
        <f t="shared" si="4"/>
        <v>17967.89</v>
      </c>
      <c r="BE6" s="27">
        <f t="shared" si="4"/>
        <v>0</v>
      </c>
      <c r="BF6" s="27">
        <f t="shared" si="4"/>
        <v>0</v>
      </c>
      <c r="BG6" s="27">
        <f t="shared" si="4"/>
        <v>0</v>
      </c>
      <c r="BH6" s="27">
        <f t="shared" si="4"/>
        <v>0</v>
      </c>
      <c r="BI6" s="27">
        <f t="shared" ref="BI6:BT6" si="5">ROUND($AY$6*BI5/$AZ$5,2)</f>
        <v>0</v>
      </c>
      <c r="BJ6" s="27">
        <f t="shared" si="5"/>
        <v>0</v>
      </c>
      <c r="BK6" s="27">
        <f t="shared" si="5"/>
        <v>0</v>
      </c>
      <c r="BL6" s="27">
        <f t="shared" si="5"/>
        <v>6903.49</v>
      </c>
      <c r="BM6" s="27">
        <f t="shared" si="5"/>
        <v>2723.82</v>
      </c>
      <c r="BN6" s="27">
        <f t="shared" si="5"/>
        <v>0</v>
      </c>
      <c r="BO6" s="27">
        <f t="shared" si="5"/>
        <v>0</v>
      </c>
      <c r="BP6" s="27">
        <f t="shared" si="5"/>
        <v>0</v>
      </c>
      <c r="BQ6" s="27">
        <f t="shared" si="5"/>
        <v>0</v>
      </c>
      <c r="BR6" s="27">
        <f t="shared" si="5"/>
        <v>4179.67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3022</v>
      </c>
      <c r="J9" s="51"/>
      <c r="K9" s="2969" t="s">
        <v>3022</v>
      </c>
      <c r="L9" s="51"/>
      <c r="M9" s="2969"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923</v>
      </c>
      <c r="J10" s="51"/>
      <c r="K10" s="2971" t="s">
        <v>3011</v>
      </c>
      <c r="L10" s="51"/>
      <c r="M10" s="2971" t="s">
        <v>3030</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0"/>
      <c r="AF11" s="2317" t="s">
        <v>2330</v>
      </c>
      <c r="AG11" s="1000"/>
      <c r="AH11" s="2317" t="s">
        <v>2329</v>
      </c>
      <c r="AI11" s="2318"/>
      <c r="AJ11" s="2317" t="s">
        <v>2329</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1678</v>
      </c>
      <c r="E13" s="27">
        <f t="shared" ref="E13:E20" si="6">IF($C$3="是",ROUND($A$3*G13/$B$3,2),ROUND($A$3*(G13-AT13)/$B$3,2))</f>
        <v>72391.8</v>
      </c>
      <c r="F13" s="81"/>
      <c r="G13" s="82">
        <f t="shared" ref="G13:G20" si="7">H13+AC13+AT13</f>
        <v>187743.54</v>
      </c>
      <c r="H13" s="33">
        <f t="shared" ref="H13:H20" si="8">SUMIF(I$12:AB$12,"总值",I13:AB13)</f>
        <v>169839.77000000002</v>
      </c>
      <c r="I13" s="2968">
        <f>SUM(面积表!D5:D26)</f>
        <v>119327.24000000002</v>
      </c>
      <c r="J13" s="2968"/>
      <c r="K13" s="2968">
        <f>面积表!D27+面积表!D28+面积表!C51</f>
        <v>3913.9399999999996</v>
      </c>
      <c r="L13" s="2968"/>
      <c r="M13" s="2968">
        <f>面积表!F37</f>
        <v>46598.59</v>
      </c>
      <c r="N13" s="83"/>
      <c r="O13" s="83"/>
      <c r="P13" s="83"/>
      <c r="Q13" s="83"/>
      <c r="R13" s="83"/>
      <c r="S13" s="83"/>
      <c r="T13" s="83"/>
      <c r="U13" s="83"/>
      <c r="V13" s="83"/>
      <c r="W13" s="83"/>
      <c r="X13" s="83"/>
      <c r="Y13" s="83"/>
      <c r="Z13" s="83"/>
      <c r="AA13" s="83"/>
      <c r="AB13" s="83"/>
      <c r="AC13" s="27">
        <f t="shared" ref="AC13:AC20" si="9">SUMIF(AD$12:AS$12,"总值",AD13:AS13)</f>
        <v>17903.77</v>
      </c>
      <c r="AD13" s="2972">
        <f>SUM(面积表!D29:D36)-面积表!C51</f>
        <v>7064.06</v>
      </c>
      <c r="AE13" s="2972"/>
      <c r="AF13" s="2972"/>
      <c r="AG13" s="2972"/>
      <c r="AH13" s="2972"/>
      <c r="AI13" s="2972"/>
      <c r="AJ13" s="2972"/>
      <c r="AK13" s="2972"/>
      <c r="AL13" s="2972"/>
      <c r="AM13" s="2972"/>
      <c r="AN13" s="2972">
        <f>面积表!G38</f>
        <v>10839.71</v>
      </c>
      <c r="AO13" s="2972"/>
      <c r="AP13" s="2972"/>
      <c r="AQ13" s="2972"/>
      <c r="AR13" s="2972"/>
      <c r="AS13" s="2972"/>
      <c r="AT13" s="2973"/>
      <c r="AU13" s="2974"/>
      <c r="AV13" s="17">
        <f t="shared" ref="AV13:AX20" si="10">A13</f>
        <v>0</v>
      </c>
      <c r="AW13" s="17">
        <f t="shared" si="10"/>
        <v>0</v>
      </c>
      <c r="AX13" s="17">
        <f t="shared" si="10"/>
        <v>0</v>
      </c>
      <c r="AY13" s="994">
        <f t="shared" ref="AY13:AY20" si="11">ROUND($AY$6*AZ13/$AZ$5,2)</f>
        <v>72391.8</v>
      </c>
      <c r="AZ13" s="27">
        <f t="shared" ref="AZ13:AZ20" si="12">BA13+BL13</f>
        <v>187743.54</v>
      </c>
      <c r="BA13" s="27">
        <f t="shared" ref="BA13:BA20" si="13">SUM(BB13:BK13)</f>
        <v>169839.77000000002</v>
      </c>
      <c r="BB13" s="27">
        <f t="shared" ref="BB13:BB20" si="14">IF($D13="是",I13-J13,0)</f>
        <v>119327.24000000002</v>
      </c>
      <c r="BC13" s="27">
        <f t="shared" ref="BC13:BC20" si="15">IF($D13="是",K13-L13,0)</f>
        <v>3913.9399999999996</v>
      </c>
      <c r="BD13" s="27">
        <f t="shared" ref="BD13:BD20" si="16">IF($D13="是",M13-N13,0)</f>
        <v>46598.59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17903.77</v>
      </c>
      <c r="BM13" s="27">
        <f t="shared" ref="BM13:BM20" si="25">IF($D13="是",AD13-AE13,0)</f>
        <v>7064.06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10839.71</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0" t="s">
        <v>0</v>
      </c>
      <c r="B1" s="3410" t="s">
        <v>4</v>
      </c>
      <c r="C1" s="3410" t="s">
        <v>5</v>
      </c>
      <c r="D1" s="3411" t="s">
        <v>40</v>
      </c>
      <c r="E1" s="3411" t="s">
        <v>41</v>
      </c>
      <c r="F1" s="3411"/>
      <c r="G1" s="3411"/>
      <c r="H1" s="3411"/>
      <c r="I1" s="3411"/>
      <c r="J1" s="3411"/>
      <c r="K1" s="3411"/>
      <c r="L1" s="3411"/>
      <c r="M1" s="3411"/>
    </row>
    <row r="2" spans="1:13" ht="27" customHeight="1">
      <c r="A2" s="3410"/>
      <c r="B2" s="3410"/>
      <c r="C2" s="3410"/>
      <c r="D2" s="3411"/>
      <c r="E2" s="3411" t="s">
        <v>24</v>
      </c>
      <c r="F2" s="3411" t="s">
        <v>25</v>
      </c>
      <c r="G2" s="3411"/>
      <c r="H2" s="3411"/>
      <c r="I2" s="3411"/>
      <c r="J2" s="3411" t="s">
        <v>26</v>
      </c>
      <c r="K2" s="3411"/>
      <c r="L2" s="3411"/>
      <c r="M2" s="3411"/>
    </row>
    <row r="3" spans="1:13" ht="28.5">
      <c r="A3" s="3410"/>
      <c r="B3" s="3410"/>
      <c r="C3" s="3410"/>
      <c r="D3" s="3411"/>
      <c r="E3" s="34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1" t="s">
        <v>42</v>
      </c>
      <c r="B9" s="3411"/>
      <c r="C9" s="34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71"/>
  <sheetViews>
    <sheetView topLeftCell="A13" workbookViewId="0">
      <selection activeCell="B46" sqref="B46:C46"/>
    </sheetView>
  </sheetViews>
  <sheetFormatPr defaultRowHeight="16.5"/>
  <cols>
    <col min="1" max="1" width="1.375" style="3320" customWidth="1"/>
    <col min="2" max="2" width="16" style="3320" customWidth="1"/>
    <col min="3" max="7" width="11.25" style="3320" customWidth="1"/>
    <col min="8" max="9" width="9" style="3320"/>
    <col min="10" max="10" width="10.625" style="3320" customWidth="1"/>
    <col min="11" max="11" width="15.25" style="3320" customWidth="1"/>
    <col min="12" max="21" width="9" style="3320"/>
    <col min="22" max="22" width="15.125" style="3320" customWidth="1"/>
    <col min="23" max="23" width="12.5" style="3320" customWidth="1"/>
    <col min="24" max="16384" width="9" style="3320"/>
  </cols>
  <sheetData>
    <row r="1" spans="2:11" ht="9" customHeight="1" thickBot="1"/>
    <row r="2" spans="2:11" s="3328" customFormat="1" ht="20.25" customHeight="1">
      <c r="B2" s="3420" t="s">
        <v>3445</v>
      </c>
      <c r="C2" s="3414" t="s">
        <v>3446</v>
      </c>
      <c r="D2" s="3414"/>
      <c r="E2" s="3414"/>
      <c r="F2" s="3414"/>
      <c r="G2" s="3414"/>
      <c r="H2" s="3414" t="s">
        <v>3495</v>
      </c>
      <c r="I2" s="3414"/>
      <c r="J2" s="3414" t="s">
        <v>3497</v>
      </c>
      <c r="K2" s="3415" t="s">
        <v>3498</v>
      </c>
    </row>
    <row r="3" spans="2:11" s="3328" customFormat="1" ht="20.25" customHeight="1">
      <c r="B3" s="3421"/>
      <c r="C3" s="3412" t="s">
        <v>3447</v>
      </c>
      <c r="D3" s="3412" t="s">
        <v>3509</v>
      </c>
      <c r="E3" s="3412" t="s">
        <v>3448</v>
      </c>
      <c r="F3" s="3412"/>
      <c r="G3" s="3412"/>
      <c r="H3" s="3412" t="s">
        <v>3449</v>
      </c>
      <c r="I3" s="3412" t="s">
        <v>3450</v>
      </c>
      <c r="J3" s="3412"/>
      <c r="K3" s="3416"/>
    </row>
    <row r="4" spans="2:11" s="3328" customFormat="1" ht="20.25" customHeight="1" thickBot="1">
      <c r="B4" s="3422"/>
      <c r="C4" s="3413"/>
      <c r="D4" s="3413"/>
      <c r="E4" s="3321" t="s">
        <v>3508</v>
      </c>
      <c r="F4" s="3321" t="s">
        <v>3507</v>
      </c>
      <c r="G4" s="3321" t="s">
        <v>3506</v>
      </c>
      <c r="H4" s="3413"/>
      <c r="I4" s="3413"/>
      <c r="J4" s="3413"/>
      <c r="K4" s="3417"/>
    </row>
    <row r="5" spans="2:11" ht="20.25" customHeight="1">
      <c r="B5" s="3322" t="s">
        <v>3485</v>
      </c>
      <c r="C5" s="3323">
        <f>D5+E5</f>
        <v>8355.68</v>
      </c>
      <c r="D5" s="3323">
        <v>7732.06</v>
      </c>
      <c r="E5" s="3323">
        <f>F5+G5</f>
        <v>623.62</v>
      </c>
      <c r="F5" s="3323">
        <v>0</v>
      </c>
      <c r="G5" s="3323">
        <v>623.62</v>
      </c>
      <c r="H5" s="3323">
        <v>11</v>
      </c>
      <c r="I5" s="3323">
        <v>1</v>
      </c>
      <c r="J5" s="3323" t="s">
        <v>3496</v>
      </c>
      <c r="K5" s="3324" t="s">
        <v>3499</v>
      </c>
    </row>
    <row r="6" spans="2:11" ht="20.25" customHeight="1">
      <c r="B6" s="3325" t="s">
        <v>3451</v>
      </c>
      <c r="C6" s="3323">
        <f t="shared" ref="C6:C37" si="0">D6+E6</f>
        <v>7742.28</v>
      </c>
      <c r="D6" s="3326">
        <v>7078.91</v>
      </c>
      <c r="E6" s="3326">
        <f t="shared" ref="E6:E37" si="1">F6+G6</f>
        <v>663.37</v>
      </c>
      <c r="F6" s="3326">
        <v>0</v>
      </c>
      <c r="G6" s="3326">
        <v>663.37</v>
      </c>
      <c r="H6" s="3326">
        <v>11</v>
      </c>
      <c r="I6" s="3326">
        <v>1</v>
      </c>
      <c r="J6" s="3326" t="s">
        <v>3496</v>
      </c>
      <c r="K6" s="3327" t="s">
        <v>3500</v>
      </c>
    </row>
    <row r="7" spans="2:11" ht="20.25" customHeight="1">
      <c r="B7" s="3325" t="s">
        <v>3452</v>
      </c>
      <c r="C7" s="3323">
        <f t="shared" si="0"/>
        <v>5128.5899999999992</v>
      </c>
      <c r="D7" s="3326">
        <v>4739.6899999999996</v>
      </c>
      <c r="E7" s="3326">
        <f t="shared" si="1"/>
        <v>388.9</v>
      </c>
      <c r="F7" s="3326">
        <v>0</v>
      </c>
      <c r="G7" s="3326">
        <v>388.9</v>
      </c>
      <c r="H7" s="3326">
        <v>11</v>
      </c>
      <c r="I7" s="3326">
        <v>1</v>
      </c>
      <c r="J7" s="3326" t="s">
        <v>3496</v>
      </c>
      <c r="K7" s="3327" t="s">
        <v>3499</v>
      </c>
    </row>
    <row r="8" spans="2:11" ht="20.25" customHeight="1">
      <c r="B8" s="3325" t="s">
        <v>3453</v>
      </c>
      <c r="C8" s="3323">
        <f t="shared" si="0"/>
        <v>5134.68</v>
      </c>
      <c r="D8" s="3326">
        <v>4743.8100000000004</v>
      </c>
      <c r="E8" s="3326">
        <f t="shared" si="1"/>
        <v>390.87</v>
      </c>
      <c r="F8" s="3326">
        <v>0</v>
      </c>
      <c r="G8" s="3326">
        <v>390.87</v>
      </c>
      <c r="H8" s="3326">
        <v>11</v>
      </c>
      <c r="I8" s="3326">
        <v>1</v>
      </c>
      <c r="J8" s="3326" t="s">
        <v>3496</v>
      </c>
      <c r="K8" s="3327" t="s">
        <v>3499</v>
      </c>
    </row>
    <row r="9" spans="2:11" ht="20.25" customHeight="1">
      <c r="B9" s="3325" t="s">
        <v>3454</v>
      </c>
      <c r="C9" s="3323">
        <f t="shared" si="0"/>
        <v>6353.04</v>
      </c>
      <c r="D9" s="3326">
        <v>5869.3</v>
      </c>
      <c r="E9" s="3326">
        <f t="shared" si="1"/>
        <v>483.74</v>
      </c>
      <c r="F9" s="3326">
        <v>0</v>
      </c>
      <c r="G9" s="3326">
        <v>483.74</v>
      </c>
      <c r="H9" s="3326">
        <v>11</v>
      </c>
      <c r="I9" s="3326">
        <v>1</v>
      </c>
      <c r="J9" s="3326" t="s">
        <v>3496</v>
      </c>
      <c r="K9" s="3327" t="s">
        <v>3499</v>
      </c>
    </row>
    <row r="10" spans="2:11" ht="20.25" customHeight="1">
      <c r="B10" s="3325" t="s">
        <v>3455</v>
      </c>
      <c r="C10" s="3323">
        <f t="shared" si="0"/>
        <v>8403.24</v>
      </c>
      <c r="D10" s="3326">
        <v>7732.06</v>
      </c>
      <c r="E10" s="3326">
        <f t="shared" si="1"/>
        <v>671.18</v>
      </c>
      <c r="F10" s="3326">
        <v>0</v>
      </c>
      <c r="G10" s="3326">
        <v>671.18</v>
      </c>
      <c r="H10" s="3326">
        <v>11</v>
      </c>
      <c r="I10" s="3326">
        <v>1</v>
      </c>
      <c r="J10" s="3326" t="s">
        <v>3496</v>
      </c>
      <c r="K10" s="3327" t="s">
        <v>3500</v>
      </c>
    </row>
    <row r="11" spans="2:11" ht="20.25" customHeight="1">
      <c r="B11" s="3325" t="s">
        <v>3456</v>
      </c>
      <c r="C11" s="3323">
        <f t="shared" si="0"/>
        <v>4796.4799999999996</v>
      </c>
      <c r="D11" s="3326">
        <v>4423.57</v>
      </c>
      <c r="E11" s="3326">
        <f t="shared" si="1"/>
        <v>372.91</v>
      </c>
      <c r="F11" s="3326">
        <v>0</v>
      </c>
      <c r="G11" s="3326">
        <v>372.91</v>
      </c>
      <c r="H11" s="3326">
        <v>11</v>
      </c>
      <c r="I11" s="3326">
        <v>1</v>
      </c>
      <c r="J11" s="3326" t="s">
        <v>3496</v>
      </c>
      <c r="K11" s="3327" t="s">
        <v>3499</v>
      </c>
    </row>
    <row r="12" spans="2:11" ht="20.25" customHeight="1">
      <c r="B12" s="3325" t="s">
        <v>3457</v>
      </c>
      <c r="C12" s="3323">
        <f t="shared" si="0"/>
        <v>4796.2699999999995</v>
      </c>
      <c r="D12" s="3326">
        <v>4423.57</v>
      </c>
      <c r="E12" s="3326">
        <f t="shared" si="1"/>
        <v>372.7</v>
      </c>
      <c r="F12" s="3326">
        <v>0</v>
      </c>
      <c r="G12" s="3326">
        <v>372.7</v>
      </c>
      <c r="H12" s="3326">
        <v>11</v>
      </c>
      <c r="I12" s="3326">
        <v>1</v>
      </c>
      <c r="J12" s="3326" t="s">
        <v>3496</v>
      </c>
      <c r="K12" s="3327" t="s">
        <v>3499</v>
      </c>
    </row>
    <row r="13" spans="2:11" ht="20.25" customHeight="1">
      <c r="B13" s="3325" t="s">
        <v>3458</v>
      </c>
      <c r="C13" s="3323">
        <f t="shared" si="0"/>
        <v>7207.37</v>
      </c>
      <c r="D13" s="3326">
        <v>6644.15</v>
      </c>
      <c r="E13" s="3326">
        <f t="shared" si="1"/>
        <v>563.22</v>
      </c>
      <c r="F13" s="3326">
        <v>0</v>
      </c>
      <c r="G13" s="3326">
        <v>563.22</v>
      </c>
      <c r="H13" s="3326">
        <v>11</v>
      </c>
      <c r="I13" s="3326">
        <v>1</v>
      </c>
      <c r="J13" s="3326" t="s">
        <v>3496</v>
      </c>
      <c r="K13" s="3327" t="s">
        <v>3499</v>
      </c>
    </row>
    <row r="14" spans="2:11" ht="20.25" customHeight="1">
      <c r="B14" s="3325" t="s">
        <v>3459</v>
      </c>
      <c r="C14" s="3323">
        <f t="shared" si="0"/>
        <v>6349.08</v>
      </c>
      <c r="D14" s="3326">
        <v>5855.75</v>
      </c>
      <c r="E14" s="3326">
        <f t="shared" si="1"/>
        <v>493.33</v>
      </c>
      <c r="F14" s="3326">
        <v>0</v>
      </c>
      <c r="G14" s="3326">
        <v>493.33</v>
      </c>
      <c r="H14" s="3326">
        <v>11</v>
      </c>
      <c r="I14" s="3326">
        <v>1</v>
      </c>
      <c r="J14" s="3326" t="s">
        <v>3496</v>
      </c>
      <c r="K14" s="3327" t="s">
        <v>3499</v>
      </c>
    </row>
    <row r="15" spans="2:11" ht="20.25" customHeight="1">
      <c r="B15" s="3325" t="s">
        <v>3460</v>
      </c>
      <c r="C15" s="3323">
        <f t="shared" si="0"/>
        <v>4801.12</v>
      </c>
      <c r="D15" s="3326">
        <v>4423.57</v>
      </c>
      <c r="E15" s="3326">
        <f t="shared" si="1"/>
        <v>377.55</v>
      </c>
      <c r="F15" s="3326">
        <v>0</v>
      </c>
      <c r="G15" s="3326">
        <v>377.55</v>
      </c>
      <c r="H15" s="3326">
        <v>11</v>
      </c>
      <c r="I15" s="3326">
        <v>1</v>
      </c>
      <c r="J15" s="3326" t="s">
        <v>3496</v>
      </c>
      <c r="K15" s="3327" t="s">
        <v>3499</v>
      </c>
    </row>
    <row r="16" spans="2:11" ht="20.25" customHeight="1">
      <c r="B16" s="3325" t="s">
        <v>3461</v>
      </c>
      <c r="C16" s="3323">
        <f t="shared" si="0"/>
        <v>5596.89</v>
      </c>
      <c r="D16" s="3326">
        <v>5175.67</v>
      </c>
      <c r="E16" s="3326">
        <f t="shared" si="1"/>
        <v>421.22</v>
      </c>
      <c r="F16" s="3326">
        <v>0</v>
      </c>
      <c r="G16" s="3326">
        <v>421.22</v>
      </c>
      <c r="H16" s="3326">
        <v>11</v>
      </c>
      <c r="I16" s="3326">
        <v>1</v>
      </c>
      <c r="J16" s="3326" t="s">
        <v>3496</v>
      </c>
      <c r="K16" s="3327" t="s">
        <v>3499</v>
      </c>
    </row>
    <row r="17" spans="2:11" ht="20.25" customHeight="1">
      <c r="B17" s="3325" t="s">
        <v>3462</v>
      </c>
      <c r="C17" s="3323">
        <f t="shared" si="0"/>
        <v>5134.68</v>
      </c>
      <c r="D17" s="3326">
        <v>4743.8100000000004</v>
      </c>
      <c r="E17" s="3326">
        <f t="shared" si="1"/>
        <v>390.87</v>
      </c>
      <c r="F17" s="3326">
        <v>0</v>
      </c>
      <c r="G17" s="3326">
        <v>390.87</v>
      </c>
      <c r="H17" s="3326">
        <v>11</v>
      </c>
      <c r="I17" s="3326">
        <v>1</v>
      </c>
      <c r="J17" s="3326" t="s">
        <v>3496</v>
      </c>
      <c r="K17" s="3327" t="s">
        <v>3499</v>
      </c>
    </row>
    <row r="18" spans="2:11" ht="20.25" customHeight="1">
      <c r="B18" s="3325" t="s">
        <v>3463</v>
      </c>
      <c r="C18" s="3323">
        <f t="shared" si="0"/>
        <v>5132.8</v>
      </c>
      <c r="D18" s="3326">
        <v>4743.8100000000004</v>
      </c>
      <c r="E18" s="3326">
        <f t="shared" si="1"/>
        <v>388.99</v>
      </c>
      <c r="F18" s="3326">
        <v>0</v>
      </c>
      <c r="G18" s="3326">
        <v>388.99</v>
      </c>
      <c r="H18" s="3326">
        <v>11</v>
      </c>
      <c r="I18" s="3326">
        <v>1</v>
      </c>
      <c r="J18" s="3326" t="s">
        <v>3496</v>
      </c>
      <c r="K18" s="3327" t="s">
        <v>3499</v>
      </c>
    </row>
    <row r="19" spans="2:11" ht="20.25" customHeight="1">
      <c r="B19" s="3325" t="s">
        <v>3464</v>
      </c>
      <c r="C19" s="3323">
        <f t="shared" si="0"/>
        <v>5670.32</v>
      </c>
      <c r="D19" s="3326">
        <v>5175.67</v>
      </c>
      <c r="E19" s="3326">
        <f t="shared" si="1"/>
        <v>494.65</v>
      </c>
      <c r="F19" s="3326">
        <v>0</v>
      </c>
      <c r="G19" s="3326">
        <v>494.65</v>
      </c>
      <c r="H19" s="3326">
        <v>11</v>
      </c>
      <c r="I19" s="3326">
        <v>1</v>
      </c>
      <c r="J19" s="3326" t="s">
        <v>3496</v>
      </c>
      <c r="K19" s="3327" t="s">
        <v>3500</v>
      </c>
    </row>
    <row r="20" spans="2:11" ht="20.25" customHeight="1">
      <c r="B20" s="3325" t="s">
        <v>3465</v>
      </c>
      <c r="C20" s="3323">
        <f t="shared" si="0"/>
        <v>4796.2699999999995</v>
      </c>
      <c r="D20" s="3326">
        <v>4423.57</v>
      </c>
      <c r="E20" s="3326">
        <f t="shared" si="1"/>
        <v>372.7</v>
      </c>
      <c r="F20" s="3326">
        <v>0</v>
      </c>
      <c r="G20" s="3326">
        <v>372.7</v>
      </c>
      <c r="H20" s="3326">
        <v>11</v>
      </c>
      <c r="I20" s="3326">
        <v>1</v>
      </c>
      <c r="J20" s="3326" t="s">
        <v>3496</v>
      </c>
      <c r="K20" s="3327" t="s">
        <v>3499</v>
      </c>
    </row>
    <row r="21" spans="2:11" ht="20.25" customHeight="1">
      <c r="B21" s="3325" t="s">
        <v>3466</v>
      </c>
      <c r="C21" s="3323">
        <f t="shared" si="0"/>
        <v>6490.8799999999992</v>
      </c>
      <c r="D21" s="3326">
        <v>5856.94</v>
      </c>
      <c r="E21" s="3326">
        <f t="shared" si="1"/>
        <v>633.94000000000005</v>
      </c>
      <c r="F21" s="3326">
        <v>0</v>
      </c>
      <c r="G21" s="3326">
        <v>633.94000000000005</v>
      </c>
      <c r="H21" s="3326">
        <v>8</v>
      </c>
      <c r="I21" s="3326">
        <v>1</v>
      </c>
      <c r="J21" s="3326" t="s">
        <v>3496</v>
      </c>
      <c r="K21" s="3327" t="s">
        <v>3499</v>
      </c>
    </row>
    <row r="22" spans="2:11" ht="20.25" customHeight="1">
      <c r="B22" s="3325" t="s">
        <v>3467</v>
      </c>
      <c r="C22" s="3323">
        <f t="shared" si="0"/>
        <v>5136.17</v>
      </c>
      <c r="D22" s="3326">
        <v>4743.8100000000004</v>
      </c>
      <c r="E22" s="3326">
        <f t="shared" si="1"/>
        <v>392.36</v>
      </c>
      <c r="F22" s="3326">
        <v>0</v>
      </c>
      <c r="G22" s="3326">
        <v>392.36</v>
      </c>
      <c r="H22" s="3326">
        <v>11</v>
      </c>
      <c r="I22" s="3326">
        <v>1</v>
      </c>
      <c r="J22" s="3326" t="s">
        <v>3496</v>
      </c>
      <c r="K22" s="3327" t="s">
        <v>3499</v>
      </c>
    </row>
    <row r="23" spans="2:11" ht="20.25" customHeight="1">
      <c r="B23" s="3325" t="s">
        <v>3468</v>
      </c>
      <c r="C23" s="3323">
        <f t="shared" si="0"/>
        <v>4798.37</v>
      </c>
      <c r="D23" s="3326">
        <v>4423.57</v>
      </c>
      <c r="E23" s="3326">
        <f t="shared" si="1"/>
        <v>374.8</v>
      </c>
      <c r="F23" s="3326">
        <v>0</v>
      </c>
      <c r="G23" s="3326">
        <v>374.8</v>
      </c>
      <c r="H23" s="3326">
        <v>11</v>
      </c>
      <c r="I23" s="3326">
        <v>1</v>
      </c>
      <c r="J23" s="3326" t="s">
        <v>3496</v>
      </c>
      <c r="K23" s="3327" t="s">
        <v>3499</v>
      </c>
    </row>
    <row r="24" spans="2:11" ht="20.25" customHeight="1">
      <c r="B24" s="3325" t="s">
        <v>3469</v>
      </c>
      <c r="C24" s="3323">
        <f t="shared" si="0"/>
        <v>4798.07</v>
      </c>
      <c r="D24" s="3326">
        <v>4423.57</v>
      </c>
      <c r="E24" s="3326">
        <f t="shared" si="1"/>
        <v>374.5</v>
      </c>
      <c r="F24" s="3326">
        <v>0</v>
      </c>
      <c r="G24" s="3326">
        <v>374.5</v>
      </c>
      <c r="H24" s="3326">
        <v>11</v>
      </c>
      <c r="I24" s="3326">
        <v>1</v>
      </c>
      <c r="J24" s="3326" t="s">
        <v>3496</v>
      </c>
      <c r="K24" s="3327" t="s">
        <v>3499</v>
      </c>
    </row>
    <row r="25" spans="2:11" ht="20.25" customHeight="1">
      <c r="B25" s="3325" t="s">
        <v>3470</v>
      </c>
      <c r="C25" s="3323">
        <f t="shared" si="0"/>
        <v>6490.29</v>
      </c>
      <c r="D25" s="3326">
        <v>5856.94</v>
      </c>
      <c r="E25" s="3326">
        <f t="shared" si="1"/>
        <v>633.35</v>
      </c>
      <c r="F25" s="3326">
        <v>0</v>
      </c>
      <c r="G25" s="3326">
        <v>633.35</v>
      </c>
      <c r="H25" s="3326">
        <v>8</v>
      </c>
      <c r="I25" s="3326">
        <v>1</v>
      </c>
      <c r="J25" s="3326" t="s">
        <v>3496</v>
      </c>
      <c r="K25" s="3327" t="s">
        <v>3499</v>
      </c>
    </row>
    <row r="26" spans="2:11" ht="20.25" customHeight="1">
      <c r="B26" s="3325" t="s">
        <v>3471</v>
      </c>
      <c r="C26" s="3323">
        <f t="shared" si="0"/>
        <v>6789.12</v>
      </c>
      <c r="D26" s="3326">
        <v>6093.44</v>
      </c>
      <c r="E26" s="3326">
        <f t="shared" si="1"/>
        <v>695.68</v>
      </c>
      <c r="F26" s="3326">
        <v>0</v>
      </c>
      <c r="G26" s="3326">
        <v>695.68</v>
      </c>
      <c r="H26" s="3326">
        <v>8</v>
      </c>
      <c r="I26" s="3326">
        <v>1</v>
      </c>
      <c r="J26" s="3326" t="s">
        <v>3496</v>
      </c>
      <c r="K26" s="3327" t="s">
        <v>3499</v>
      </c>
    </row>
    <row r="27" spans="2:11" ht="20.25" customHeight="1">
      <c r="B27" s="3325" t="s">
        <v>3472</v>
      </c>
      <c r="C27" s="3323">
        <f t="shared" si="0"/>
        <v>1110.6099999999999</v>
      </c>
      <c r="D27" s="3326">
        <v>1110.6099999999999</v>
      </c>
      <c r="E27" s="3326">
        <f t="shared" si="1"/>
        <v>0</v>
      </c>
      <c r="F27" s="3326">
        <v>0</v>
      </c>
      <c r="G27" s="3326">
        <v>0</v>
      </c>
      <c r="H27" s="3326">
        <v>2</v>
      </c>
      <c r="I27" s="3326">
        <v>0</v>
      </c>
      <c r="J27" s="3326" t="s">
        <v>3501</v>
      </c>
      <c r="K27" s="3327" t="s">
        <v>3503</v>
      </c>
    </row>
    <row r="28" spans="2:11" ht="20.25" customHeight="1">
      <c r="B28" s="3325" t="s">
        <v>3473</v>
      </c>
      <c r="C28" s="3323">
        <f t="shared" si="0"/>
        <v>1293.1299999999999</v>
      </c>
      <c r="D28" s="3326">
        <v>1027.8699999999999</v>
      </c>
      <c r="E28" s="3326">
        <f t="shared" si="1"/>
        <v>265.26</v>
      </c>
      <c r="F28" s="3326">
        <v>0</v>
      </c>
      <c r="G28" s="3326">
        <v>265.26</v>
      </c>
      <c r="H28" s="3326">
        <v>2</v>
      </c>
      <c r="I28" s="3326">
        <v>1</v>
      </c>
      <c r="J28" s="3326" t="s">
        <v>3501</v>
      </c>
      <c r="K28" s="3327" t="s">
        <v>3504</v>
      </c>
    </row>
    <row r="29" spans="2:11" ht="20.25" customHeight="1">
      <c r="B29" s="3325" t="s">
        <v>3474</v>
      </c>
      <c r="C29" s="3323">
        <f t="shared" si="0"/>
        <v>2676.45</v>
      </c>
      <c r="D29" s="3326">
        <v>2676.45</v>
      </c>
      <c r="E29" s="3326">
        <f t="shared" si="1"/>
        <v>0</v>
      </c>
      <c r="F29" s="3326">
        <v>0</v>
      </c>
      <c r="G29" s="3326">
        <v>0</v>
      </c>
      <c r="H29" s="3326">
        <v>3</v>
      </c>
      <c r="I29" s="3326">
        <v>0</v>
      </c>
      <c r="J29" s="3326" t="s">
        <v>3502</v>
      </c>
      <c r="K29" s="3327" t="s">
        <v>3503</v>
      </c>
    </row>
    <row r="30" spans="2:11" ht="20.25" customHeight="1">
      <c r="B30" s="3325" t="s">
        <v>3475</v>
      </c>
      <c r="C30" s="3323">
        <f t="shared" si="0"/>
        <v>5205.72</v>
      </c>
      <c r="D30" s="3326">
        <v>5205.72</v>
      </c>
      <c r="E30" s="3326">
        <f t="shared" si="1"/>
        <v>0</v>
      </c>
      <c r="F30" s="3326">
        <v>0</v>
      </c>
      <c r="G30" s="3326">
        <v>0</v>
      </c>
      <c r="H30" s="3326">
        <v>4</v>
      </c>
      <c r="I30" s="3326">
        <v>0</v>
      </c>
      <c r="J30" s="3326" t="s">
        <v>3502</v>
      </c>
      <c r="K30" s="3327" t="s">
        <v>3503</v>
      </c>
    </row>
    <row r="31" spans="2:11" ht="20.25" customHeight="1">
      <c r="B31" s="3325" t="s">
        <v>3476</v>
      </c>
      <c r="C31" s="3323">
        <f t="shared" si="0"/>
        <v>200</v>
      </c>
      <c r="D31" s="3326">
        <v>200</v>
      </c>
      <c r="E31" s="3326">
        <f t="shared" si="1"/>
        <v>0</v>
      </c>
      <c r="F31" s="3326">
        <v>0</v>
      </c>
      <c r="G31" s="3326">
        <v>0</v>
      </c>
      <c r="H31" s="3326">
        <v>1</v>
      </c>
      <c r="I31" s="3326">
        <v>0</v>
      </c>
      <c r="J31" s="3326" t="s">
        <v>3502</v>
      </c>
      <c r="K31" s="3327" t="s">
        <v>3503</v>
      </c>
    </row>
    <row r="32" spans="2:11" ht="20.25" customHeight="1">
      <c r="B32" s="3325" t="s">
        <v>3477</v>
      </c>
      <c r="C32" s="3323">
        <f t="shared" si="0"/>
        <v>192.4</v>
      </c>
      <c r="D32" s="3326">
        <v>192.4</v>
      </c>
      <c r="E32" s="3326">
        <f t="shared" si="1"/>
        <v>0</v>
      </c>
      <c r="F32" s="3326">
        <v>0</v>
      </c>
      <c r="G32" s="3326">
        <v>0</v>
      </c>
      <c r="H32" s="3326">
        <v>1</v>
      </c>
      <c r="I32" s="3326">
        <v>0</v>
      </c>
      <c r="J32" s="3326" t="s">
        <v>3502</v>
      </c>
      <c r="K32" s="3327" t="s">
        <v>3503</v>
      </c>
    </row>
    <row r="33" spans="2:11" ht="20.25" customHeight="1">
      <c r="B33" s="3325" t="s">
        <v>3478</v>
      </c>
      <c r="C33" s="3323">
        <f t="shared" si="0"/>
        <v>213.2</v>
      </c>
      <c r="D33" s="3326">
        <v>213.2</v>
      </c>
      <c r="E33" s="3326">
        <f t="shared" si="1"/>
        <v>0</v>
      </c>
      <c r="F33" s="3326">
        <v>0</v>
      </c>
      <c r="G33" s="3326">
        <v>0</v>
      </c>
      <c r="H33" s="3326">
        <v>1</v>
      </c>
      <c r="I33" s="3326">
        <v>0</v>
      </c>
      <c r="J33" s="3326" t="s">
        <v>3502</v>
      </c>
      <c r="K33" s="3327" t="s">
        <v>3503</v>
      </c>
    </row>
    <row r="34" spans="2:11" ht="20.25" customHeight="1">
      <c r="B34" s="3325" t="s">
        <v>3479</v>
      </c>
      <c r="C34" s="3323">
        <f t="shared" si="0"/>
        <v>128.69999999999999</v>
      </c>
      <c r="D34" s="3326">
        <v>128.69999999999999</v>
      </c>
      <c r="E34" s="3326">
        <f t="shared" si="1"/>
        <v>0</v>
      </c>
      <c r="F34" s="3326">
        <v>0</v>
      </c>
      <c r="G34" s="3326">
        <v>0</v>
      </c>
      <c r="H34" s="3326">
        <v>1</v>
      </c>
      <c r="I34" s="3326">
        <v>0</v>
      </c>
      <c r="J34" s="3326" t="s">
        <v>3502</v>
      </c>
      <c r="K34" s="3327" t="s">
        <v>3503</v>
      </c>
    </row>
    <row r="35" spans="2:11" ht="20.25" customHeight="1">
      <c r="B35" s="3325" t="s">
        <v>3480</v>
      </c>
      <c r="C35" s="3323">
        <f t="shared" si="0"/>
        <v>192.4</v>
      </c>
      <c r="D35" s="3326">
        <v>192.4</v>
      </c>
      <c r="E35" s="3326">
        <f t="shared" si="1"/>
        <v>0</v>
      </c>
      <c r="F35" s="3326">
        <v>0</v>
      </c>
      <c r="G35" s="3326">
        <v>0</v>
      </c>
      <c r="H35" s="3326">
        <v>1</v>
      </c>
      <c r="I35" s="3326">
        <v>0</v>
      </c>
      <c r="J35" s="3326" t="s">
        <v>3502</v>
      </c>
      <c r="K35" s="3327" t="s">
        <v>3503</v>
      </c>
    </row>
    <row r="36" spans="2:11" ht="20.25" customHeight="1">
      <c r="B36" s="3325" t="s">
        <v>3481</v>
      </c>
      <c r="C36" s="3323">
        <f t="shared" si="0"/>
        <v>30.65</v>
      </c>
      <c r="D36" s="3326">
        <v>30.65</v>
      </c>
      <c r="E36" s="3326">
        <f t="shared" si="1"/>
        <v>0</v>
      </c>
      <c r="F36" s="3326">
        <v>0</v>
      </c>
      <c r="G36" s="3326">
        <v>0</v>
      </c>
      <c r="H36" s="3326">
        <v>1</v>
      </c>
      <c r="I36" s="3326">
        <v>0</v>
      </c>
      <c r="J36" s="3326" t="s">
        <v>3502</v>
      </c>
      <c r="K36" s="3327" t="s">
        <v>3503</v>
      </c>
    </row>
    <row r="37" spans="2:11" ht="20.25" customHeight="1">
      <c r="B37" s="3325" t="s">
        <v>3482</v>
      </c>
      <c r="C37" s="3323">
        <f t="shared" si="0"/>
        <v>46598.59</v>
      </c>
      <c r="D37" s="3326">
        <v>0</v>
      </c>
      <c r="E37" s="3326">
        <f t="shared" si="1"/>
        <v>46598.59</v>
      </c>
      <c r="F37" s="3326">
        <v>46598.59</v>
      </c>
      <c r="G37" s="3326">
        <v>0</v>
      </c>
      <c r="H37" s="3326">
        <v>0</v>
      </c>
      <c r="I37" s="3326">
        <v>1</v>
      </c>
      <c r="J37" s="3326" t="s">
        <v>3483</v>
      </c>
      <c r="K37" s="3327" t="s">
        <v>3505</v>
      </c>
    </row>
    <row r="38" spans="2:11" ht="20.25" customHeight="1" thickBot="1">
      <c r="B38" s="3329" t="s">
        <v>3484</v>
      </c>
      <c r="C38" s="3330">
        <f>SUM(C5:C37)</f>
        <v>187743.54</v>
      </c>
      <c r="D38" s="3330">
        <f t="shared" ref="D38" si="2">SUM(D5:D37)</f>
        <v>130305.23999999999</v>
      </c>
      <c r="E38" s="3330">
        <f>SUM(E5:E37)</f>
        <v>57438.299999999996</v>
      </c>
      <c r="F38" s="3330">
        <f t="shared" ref="F38:G38" si="3">SUM(F5:F37)</f>
        <v>46598.59</v>
      </c>
      <c r="G38" s="3330">
        <f t="shared" si="3"/>
        <v>10839.71</v>
      </c>
      <c r="H38" s="3330" t="s">
        <v>3483</v>
      </c>
      <c r="I38" s="3330" t="s">
        <v>3483</v>
      </c>
      <c r="J38" s="3330"/>
      <c r="K38" s="3331"/>
    </row>
    <row r="39" spans="2:11" ht="17.25" thickBot="1"/>
    <row r="40" spans="2:11" ht="23.25" customHeight="1" thickBot="1">
      <c r="B40" s="3418" t="s">
        <v>3517</v>
      </c>
      <c r="C40" s="3419"/>
    </row>
    <row r="41" spans="2:11" ht="23.25" customHeight="1">
      <c r="B41" s="3318" t="s">
        <v>3488</v>
      </c>
      <c r="C41" s="3319" t="s">
        <v>3489</v>
      </c>
    </row>
    <row r="42" spans="2:11" ht="23.25" customHeight="1">
      <c r="B42" s="3317" t="s">
        <v>3518</v>
      </c>
      <c r="C42" s="3316">
        <v>515.45000000000005</v>
      </c>
    </row>
    <row r="43" spans="2:11" ht="23.25" customHeight="1">
      <c r="B43" s="3317" t="s">
        <v>3486</v>
      </c>
      <c r="C43" s="3316">
        <v>717.92</v>
      </c>
    </row>
    <row r="44" spans="2:11" ht="23.25" customHeight="1">
      <c r="B44" s="3317" t="s">
        <v>3519</v>
      </c>
      <c r="C44" s="3316">
        <v>30.64</v>
      </c>
    </row>
    <row r="45" spans="2:11" ht="23.25" customHeight="1">
      <c r="B45" s="3317" t="s">
        <v>3487</v>
      </c>
      <c r="C45" s="3316">
        <v>51.48</v>
      </c>
    </row>
    <row r="46" spans="2:11" ht="23.25" customHeight="1">
      <c r="B46" s="3317" t="s">
        <v>3520</v>
      </c>
      <c r="C46" s="3316">
        <v>1300.08</v>
      </c>
    </row>
    <row r="47" spans="2:11" ht="23.25" customHeight="1">
      <c r="B47" s="3317" t="s">
        <v>3523</v>
      </c>
      <c r="C47" s="3316">
        <v>60.89</v>
      </c>
    </row>
    <row r="48" spans="2:11" ht="23.25" customHeight="1">
      <c r="B48" s="3332" t="s">
        <v>3474</v>
      </c>
      <c r="C48" s="3333">
        <f>SUM(C42:C47)</f>
        <v>2676.4599999999996</v>
      </c>
    </row>
    <row r="49" spans="2:3" ht="23.25" customHeight="1">
      <c r="B49" s="3317" t="s">
        <v>3490</v>
      </c>
      <c r="C49" s="3316">
        <v>1200</v>
      </c>
    </row>
    <row r="50" spans="2:3" ht="23.25" customHeight="1">
      <c r="B50" s="3317" t="s">
        <v>3491</v>
      </c>
      <c r="C50" s="3316">
        <v>2501.7399999999998</v>
      </c>
    </row>
    <row r="51" spans="2:3" ht="23.25" customHeight="1">
      <c r="B51" s="3317" t="s">
        <v>3521</v>
      </c>
      <c r="C51" s="3316">
        <v>1775.46</v>
      </c>
    </row>
    <row r="52" spans="2:3" ht="23.25" customHeight="1">
      <c r="B52" s="3332" t="s">
        <v>3475</v>
      </c>
      <c r="C52" s="3333">
        <f>SUM(C49:C51)</f>
        <v>5477.2</v>
      </c>
    </row>
    <row r="53" spans="2:3" ht="23.25" customHeight="1">
      <c r="B53" s="3317" t="s">
        <v>3492</v>
      </c>
      <c r="C53" s="3316">
        <v>598</v>
      </c>
    </row>
    <row r="54" spans="2:3" ht="23.25" customHeight="1">
      <c r="B54" s="3332" t="s">
        <v>3522</v>
      </c>
      <c r="C54" s="3333">
        <f>C53</f>
        <v>598</v>
      </c>
    </row>
    <row r="55" spans="2:3" ht="23.25" customHeight="1">
      <c r="B55" s="3317" t="s">
        <v>3494</v>
      </c>
      <c r="C55" s="3316">
        <v>128.69999999999999</v>
      </c>
    </row>
    <row r="56" spans="2:3" ht="23.25" customHeight="1">
      <c r="B56" s="3332" t="s">
        <v>3493</v>
      </c>
      <c r="C56" s="3333">
        <f>C55</f>
        <v>128.69999999999999</v>
      </c>
    </row>
    <row r="57" spans="2:3" ht="23.25" customHeight="1">
      <c r="B57" s="3317" t="s">
        <v>3524</v>
      </c>
      <c r="C57" s="3316">
        <v>40</v>
      </c>
    </row>
    <row r="58" spans="2:3" ht="23.25" customHeight="1">
      <c r="B58" s="3332" t="s">
        <v>3525</v>
      </c>
      <c r="C58" s="3333">
        <f>C57</f>
        <v>40</v>
      </c>
    </row>
    <row r="59" spans="2:3" ht="23.25" customHeight="1">
      <c r="B59" s="3332" t="s">
        <v>3526</v>
      </c>
      <c r="C59" s="3333">
        <v>30.65</v>
      </c>
    </row>
    <row r="60" spans="2:3" ht="23.25" customHeight="1">
      <c r="B60" s="3317" t="s">
        <v>3510</v>
      </c>
      <c r="C60" s="3316">
        <v>50</v>
      </c>
    </row>
    <row r="61" spans="2:3" ht="23.25" customHeight="1">
      <c r="B61" s="3317" t="s">
        <v>3511</v>
      </c>
      <c r="C61" s="3316">
        <v>25</v>
      </c>
    </row>
    <row r="62" spans="2:3" ht="23.25" customHeight="1">
      <c r="B62" s="3317" t="s">
        <v>3512</v>
      </c>
      <c r="C62" s="3316">
        <v>90</v>
      </c>
    </row>
    <row r="63" spans="2:3" ht="23.25" customHeight="1">
      <c r="B63" s="3317" t="s">
        <v>3513</v>
      </c>
      <c r="C63" s="3316">
        <v>205</v>
      </c>
    </row>
    <row r="64" spans="2:3" ht="23.25" customHeight="1">
      <c r="B64" s="3317" t="s">
        <v>3514</v>
      </c>
      <c r="C64" s="3316">
        <v>110</v>
      </c>
    </row>
    <row r="65" spans="2:17" ht="23.25" customHeight="1">
      <c r="B65" s="3317" t="s">
        <v>3515</v>
      </c>
      <c r="C65" s="3316">
        <v>170</v>
      </c>
    </row>
    <row r="66" spans="2:17" ht="23.25" customHeight="1">
      <c r="B66" s="3317" t="s">
        <v>3516</v>
      </c>
      <c r="C66" s="3316">
        <v>70</v>
      </c>
    </row>
    <row r="67" spans="2:17" ht="23.25" customHeight="1" thickBot="1">
      <c r="B67" s="3334" t="s">
        <v>3450</v>
      </c>
      <c r="C67" s="3335">
        <f>SUM(C60:C66)</f>
        <v>720</v>
      </c>
    </row>
    <row r="68" spans="2:17" ht="23.25" customHeight="1" thickBot="1">
      <c r="B68" s="3336" t="s">
        <v>3484</v>
      </c>
      <c r="C68" s="3337">
        <f>C48+C52+C54+C56+C59+C58+C67</f>
        <v>9671.01</v>
      </c>
    </row>
    <row r="69" spans="2:17">
      <c r="Q69" s="3320" t="s">
        <v>3527</v>
      </c>
    </row>
    <row r="70" spans="2:17">
      <c r="Q70" s="3320" t="s">
        <v>3475</v>
      </c>
    </row>
    <row r="71" spans="2:17">
      <c r="Q71" s="3320" t="s">
        <v>3475</v>
      </c>
    </row>
  </sheetData>
  <mergeCells count="11">
    <mergeCell ref="H3:H4"/>
    <mergeCell ref="I3:I4"/>
    <mergeCell ref="J2:J4"/>
    <mergeCell ref="K2:K4"/>
    <mergeCell ref="B40:C40"/>
    <mergeCell ref="H2:I2"/>
    <mergeCell ref="D3:D4"/>
    <mergeCell ref="E3:G3"/>
    <mergeCell ref="C2:G2"/>
    <mergeCell ref="C3:C4"/>
    <mergeCell ref="B2:B4"/>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1" sqref="F11"/>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432" t="s">
        <v>203</v>
      </c>
      <c r="B2" s="3432"/>
      <c r="C2" s="3432"/>
      <c r="D2" s="1958" t="s">
        <v>204</v>
      </c>
      <c r="E2" s="106" t="s">
        <v>205</v>
      </c>
      <c r="F2" s="1967"/>
      <c r="G2" s="1192"/>
      <c r="H2" s="1193"/>
      <c r="I2" s="1194" t="s">
        <v>857</v>
      </c>
      <c r="J2" s="1967"/>
      <c r="K2" s="1967"/>
      <c r="L2" s="1967"/>
    </row>
    <row r="3" spans="1:16" ht="15.75" thickBot="1">
      <c r="A3" s="3433" t="s">
        <v>206</v>
      </c>
      <c r="B3" s="3433"/>
      <c r="C3" s="3433"/>
      <c r="D3" s="107">
        <f>'数据-基础表'!AY6</f>
        <v>72391.8</v>
      </c>
      <c r="E3" s="107">
        <f>'数据-基础表'!AZ5</f>
        <v>187743.54</v>
      </c>
      <c r="F3" s="1967"/>
      <c r="G3" s="279" t="s">
        <v>858</v>
      </c>
      <c r="H3" s="274" t="s">
        <v>859</v>
      </c>
      <c r="I3" s="1959">
        <f>ROUND('数据-基础表'!B3/'数据-基础表'!A3,2)</f>
        <v>2.59</v>
      </c>
      <c r="J3" s="1967"/>
      <c r="K3" s="1967"/>
      <c r="L3" s="1967"/>
    </row>
    <row r="4" spans="1:16" ht="15">
      <c r="A4" s="3434"/>
      <c r="B4" s="3435"/>
      <c r="C4" s="3436"/>
      <c r="D4" s="108" t="s">
        <v>204</v>
      </c>
      <c r="E4" s="109" t="s">
        <v>205</v>
      </c>
      <c r="F4" s="1967"/>
      <c r="G4" s="1195"/>
      <c r="H4" s="274" t="s">
        <v>860</v>
      </c>
      <c r="I4" s="1959">
        <f>ROUND(SUMIF('数据-基础表'!I9:AS9,"地上",'数据-基础表'!I5:AS5)/'数据-基础表'!A3,2)</f>
        <v>1.8</v>
      </c>
      <c r="J4" s="1967"/>
      <c r="K4" s="1967"/>
      <c r="L4" s="1967"/>
    </row>
    <row r="5" spans="1:16">
      <c r="A5" s="110" t="s">
        <v>207</v>
      </c>
      <c r="B5" s="3437" t="s">
        <v>230</v>
      </c>
      <c r="C5" s="3437"/>
      <c r="D5" s="111">
        <f>ROUND($D$3*E5/$E$3,2)</f>
        <v>46011.24</v>
      </c>
      <c r="E5" s="112">
        <f>SUMIF('数据-基础表'!$11:$11,"住宅",'数据-基础表'!$5:$5)</f>
        <v>119327.24000000002</v>
      </c>
      <c r="F5" s="1967"/>
      <c r="G5" s="279" t="s">
        <v>861</v>
      </c>
      <c r="H5" s="274" t="s">
        <v>859</v>
      </c>
      <c r="I5" s="1959">
        <f>ROUND(E31/D31,2)</f>
        <v>2.59</v>
      </c>
      <c r="J5" s="1967"/>
      <c r="K5" s="1967"/>
      <c r="L5" s="1967"/>
    </row>
    <row r="6" spans="1:16" ht="15" thickBot="1">
      <c r="A6" s="113"/>
      <c r="B6" s="3437" t="s">
        <v>208</v>
      </c>
      <c r="C6" s="3437"/>
      <c r="D6" s="111">
        <f>ROUND($D$3*E6/$E$3,2)</f>
        <v>26380.560000000001</v>
      </c>
      <c r="E6" s="112">
        <f>E3-E5</f>
        <v>68416.299999999988</v>
      </c>
      <c r="F6" s="1967"/>
      <c r="G6" s="1195"/>
      <c r="H6" s="274" t="s">
        <v>860</v>
      </c>
      <c r="I6" s="1959">
        <f>ROUND(F31/D31,2)</f>
        <v>1.8</v>
      </c>
      <c r="J6" s="1967"/>
      <c r="K6" s="1967"/>
      <c r="L6" s="1967"/>
    </row>
    <row r="7" spans="1:16" ht="15">
      <c r="A7" s="3429"/>
      <c r="B7" s="3430"/>
      <c r="C7" s="3431"/>
      <c r="D7" s="108" t="s">
        <v>204</v>
      </c>
      <c r="E7" s="114" t="s">
        <v>231</v>
      </c>
      <c r="F7" s="1967"/>
      <c r="G7" s="1150" t="s">
        <v>1645</v>
      </c>
      <c r="H7" s="1151"/>
      <c r="I7" s="1829"/>
      <c r="J7" s="1967"/>
      <c r="K7" s="1967"/>
      <c r="L7" s="1967"/>
    </row>
    <row r="8" spans="1:16">
      <c r="A8" s="110" t="s">
        <v>209</v>
      </c>
      <c r="B8" s="115" t="s">
        <v>210</v>
      </c>
      <c r="C8" s="111" t="s">
        <v>211</v>
      </c>
      <c r="D8" s="111">
        <f t="shared" ref="D8:D15" si="0">ROUND($D$3*E8/$E$3,2)</f>
        <v>47520.41</v>
      </c>
      <c r="E8" s="116">
        <f>SUMIF('数据-基础表'!BB10:BK10,"地上",'数据-基础表'!BB5:BK5)</f>
        <v>123241.18000000002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17967.89</v>
      </c>
      <c r="E13" s="116">
        <f>SUMPRODUCT(('数据-基础表'!BB10:BK10="地下")*('数据-基础表'!BB11:BK11="车库")*('数据-基础表'!BB5:BK5))</f>
        <v>46598.59</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65488.3</v>
      </c>
      <c r="E16" s="120">
        <f>SUM(E8:E15)</f>
        <v>169839.77000000002</v>
      </c>
      <c r="F16" s="1967"/>
      <c r="G16" s="1969"/>
      <c r="H16" s="966" t="s">
        <v>219</v>
      </c>
      <c r="I16" s="967"/>
      <c r="J16" s="1967"/>
      <c r="K16" s="3423" t="s">
        <v>2565</v>
      </c>
      <c r="L16" s="3424"/>
      <c r="M16" s="3424"/>
      <c r="N16" s="3424"/>
      <c r="O16" s="3424"/>
      <c r="P16" s="3425"/>
    </row>
    <row r="17" spans="1:19" ht="15">
      <c r="A17" s="121" t="s">
        <v>216</v>
      </c>
      <c r="B17" s="122" t="s">
        <v>217</v>
      </c>
      <c r="C17" s="2281" t="s">
        <v>2313</v>
      </c>
      <c r="D17" s="108" t="s">
        <v>204</v>
      </c>
      <c r="E17" s="124" t="s">
        <v>205</v>
      </c>
      <c r="F17" s="125"/>
      <c r="G17" s="1360"/>
      <c r="H17" s="968" t="s">
        <v>218</v>
      </c>
      <c r="I17" s="969" t="s">
        <v>2312</v>
      </c>
      <c r="J17" s="1967"/>
      <c r="K17" s="3426" t="s">
        <v>2566</v>
      </c>
      <c r="L17" s="3427"/>
      <c r="M17" s="3428"/>
      <c r="N17" s="3426" t="s">
        <v>2567</v>
      </c>
      <c r="O17" s="3427"/>
      <c r="P17" s="3428"/>
      <c r="R17" s="2282" t="s">
        <v>2311</v>
      </c>
      <c r="S17" s="144"/>
    </row>
    <row r="18" spans="1:19" ht="15">
      <c r="A18" s="117"/>
      <c r="B18" s="128"/>
      <c r="C18" s="129"/>
      <c r="D18" s="2604"/>
      <c r="E18" s="130" t="s">
        <v>220</v>
      </c>
      <c r="F18" s="131" t="s">
        <v>221</v>
      </c>
      <c r="G18" s="1361" t="s">
        <v>222</v>
      </c>
      <c r="H18" s="970" t="s">
        <v>223</v>
      </c>
      <c r="I18" s="971"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5" t="s">
        <v>3026</v>
      </c>
      <c r="D19" s="111">
        <f t="shared" ref="D19:D26" si="1">ROUND($D$3*E19/$E$3,2)</f>
        <v>46011.24</v>
      </c>
      <c r="E19" s="134">
        <f t="shared" ref="E19:E26" si="2">SUM(F19:G19)</f>
        <v>119327.24000000002</v>
      </c>
      <c r="F19" s="135">
        <f>'数据-基础表'!I13</f>
        <v>119327.24000000002</v>
      </c>
      <c r="G19" s="1362"/>
      <c r="H19" s="972">
        <f>ROUND($D$3*I19/$E$3,2)</f>
        <v>5660.4</v>
      </c>
      <c r="I19" s="116">
        <f>IF($I$17="自定义",P19,M19)</f>
        <v>14679.900000000001</v>
      </c>
      <c r="J19" s="1967"/>
      <c r="K19" s="2570">
        <f t="shared" ref="K19:K26" si="3">ROUND(E$28*E19/E$27,2)</f>
        <v>7615.84</v>
      </c>
      <c r="L19" s="274">
        <f t="shared" ref="L19:L26" si="4">ROUND(IF(COUNTIF(C19,"*住宅*")&gt;0,E$29*E19/E$32,0),2)</f>
        <v>7064.06</v>
      </c>
      <c r="M19" s="2571">
        <f>K19+L19</f>
        <v>14679.900000000001</v>
      </c>
      <c r="N19" s="2572"/>
      <c r="O19" s="2573"/>
      <c r="P19" s="2574">
        <f>N19+O19</f>
        <v>0</v>
      </c>
      <c r="R19" s="274">
        <f t="shared" ref="R19:S26" si="5">D19+H19</f>
        <v>51671.64</v>
      </c>
      <c r="S19" s="2284">
        <f t="shared" si="5"/>
        <v>134007.14000000001</v>
      </c>
    </row>
    <row r="20" spans="1:19">
      <c r="A20" s="138"/>
      <c r="B20" s="115" t="s">
        <v>226</v>
      </c>
      <c r="C20" s="2975" t="s">
        <v>3027</v>
      </c>
      <c r="D20" s="111">
        <f t="shared" si="1"/>
        <v>1509.17</v>
      </c>
      <c r="E20" s="134">
        <f t="shared" si="2"/>
        <v>3913.9399999999996</v>
      </c>
      <c r="F20" s="135">
        <f>'数据-基础表'!K13</f>
        <v>3913.9399999999996</v>
      </c>
      <c r="G20" s="1362"/>
      <c r="H20" s="972">
        <f t="shared" ref="H20:H26" si="6">ROUND($D$3*I20/$E$3,2)</f>
        <v>96.32</v>
      </c>
      <c r="I20" s="116">
        <f t="shared" ref="I20:I26" si="7">IF($I$17="自定义",P20,M20)</f>
        <v>249.8</v>
      </c>
      <c r="J20" s="1967"/>
      <c r="K20" s="2570">
        <f t="shared" si="3"/>
        <v>249.8</v>
      </c>
      <c r="L20" s="274">
        <f t="shared" si="4"/>
        <v>0</v>
      </c>
      <c r="M20" s="2571">
        <f t="shared" ref="M20:M26" si="8">K20+L20</f>
        <v>249.8</v>
      </c>
      <c r="N20" s="2572"/>
      <c r="O20" s="2573"/>
      <c r="P20" s="2574">
        <f t="shared" ref="P20:P26" si="9">N20+O20</f>
        <v>0</v>
      </c>
      <c r="R20" s="274">
        <f t="shared" si="5"/>
        <v>1605.49</v>
      </c>
      <c r="S20" s="2284">
        <f t="shared" si="5"/>
        <v>4163.74</v>
      </c>
    </row>
    <row r="21" spans="1:19">
      <c r="A21" s="138"/>
      <c r="B21" s="115" t="s">
        <v>226</v>
      </c>
      <c r="C21" s="2975" t="s">
        <v>3028</v>
      </c>
      <c r="D21" s="111">
        <f t="shared" si="1"/>
        <v>17967.89</v>
      </c>
      <c r="E21" s="134">
        <f t="shared" si="2"/>
        <v>46598.59</v>
      </c>
      <c r="F21" s="135"/>
      <c r="G21" s="1362">
        <f>'数据-基础表'!M13</f>
        <v>46598.59</v>
      </c>
      <c r="H21" s="972">
        <f t="shared" si="6"/>
        <v>1146.77</v>
      </c>
      <c r="I21" s="116">
        <f t="shared" si="7"/>
        <v>2974.07</v>
      </c>
      <c r="J21" s="1967"/>
      <c r="K21" s="2570">
        <f t="shared" si="3"/>
        <v>2974.07</v>
      </c>
      <c r="L21" s="274">
        <f t="shared" si="4"/>
        <v>0</v>
      </c>
      <c r="M21" s="2571">
        <f t="shared" si="8"/>
        <v>2974.07</v>
      </c>
      <c r="N21" s="2572"/>
      <c r="O21" s="2573"/>
      <c r="P21" s="2574">
        <f t="shared" si="9"/>
        <v>0</v>
      </c>
      <c r="R21" s="274">
        <f t="shared" si="5"/>
        <v>19114.66</v>
      </c>
      <c r="S21" s="2284">
        <f t="shared" si="5"/>
        <v>49572.659999999996</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29.25" thickBot="1">
      <c r="A27" s="138"/>
      <c r="B27" s="111"/>
      <c r="C27" s="127" t="s">
        <v>215</v>
      </c>
      <c r="D27" s="134">
        <f>SUM(D19:D26)</f>
        <v>65488.299999999996</v>
      </c>
      <c r="E27" s="143">
        <f>IF(SUM(E19:E26)='数据-基础表'!BA5,SUM(E19:E26),IF(F27="地上面积有误","面积有误","地下面积有误"))</f>
        <v>169839.77000000002</v>
      </c>
      <c r="F27" s="134">
        <f>IF(SUM(F19:F26)=E8,SUM(F19:F26),"地上面积有误")</f>
        <v>123241.18000000002</v>
      </c>
      <c r="G27" s="112">
        <f>SUM(G19:G26)</f>
        <v>46598.59</v>
      </c>
      <c r="H27" s="973">
        <f>SUM(H19:H26)</f>
        <v>6903.49</v>
      </c>
      <c r="I27" s="974">
        <f>SUM(I19:I26)</f>
        <v>17903.77</v>
      </c>
      <c r="J27" s="1967"/>
      <c r="K27" s="2579">
        <f>SUM(K19:K26)</f>
        <v>10839.710000000001</v>
      </c>
      <c r="L27" s="2580">
        <f>SUM(L19:L26)</f>
        <v>7064.06</v>
      </c>
      <c r="M27" s="2581">
        <f>SUM(M19:M26)</f>
        <v>17903.77</v>
      </c>
      <c r="N27" s="2579">
        <f t="shared" ref="N27:O27" si="10">SUM(N19:N26)</f>
        <v>0</v>
      </c>
      <c r="O27" s="2580">
        <f t="shared" si="10"/>
        <v>0</v>
      </c>
      <c r="P27" s="2582">
        <f>SUM(P19:P26)</f>
        <v>0</v>
      </c>
      <c r="R27" s="2288" t="str">
        <f>IF(SUM(R19:R26)=$D$3,SUM(R19:R26),SUM(R19:R26)&amp;"误差"&amp;ROUND(SUM(R19:R26)-$D$3,2))</f>
        <v>72391.79误差-0.01</v>
      </c>
      <c r="S27" s="274">
        <f>IF(SUM(S19:S26)=$E$3,SUM(S19:S26),SUM(S19:S26)&amp;"误差"&amp;ROUND(SUM(S19:S26)-E3,2))</f>
        <v>187743.54</v>
      </c>
    </row>
    <row r="28" spans="1:19">
      <c r="A28" s="138"/>
      <c r="B28" s="115" t="s">
        <v>227</v>
      </c>
      <c r="C28" s="136" t="s">
        <v>228</v>
      </c>
      <c r="D28" s="111">
        <f>ROUND($D$3*E28/$E$3,2)</f>
        <v>4179.67</v>
      </c>
      <c r="E28" s="134">
        <f>SUM(F28:G28)</f>
        <v>10839.71</v>
      </c>
      <c r="F28" s="144">
        <f>'数据-基础表'!BQ5+'数据-基础表'!BS5</f>
        <v>0</v>
      </c>
      <c r="G28" s="145">
        <f>'数据-基础表'!BR5+'数据-基础表'!BT5</f>
        <v>10839.71</v>
      </c>
      <c r="H28" s="1967"/>
      <c r="I28" s="1967"/>
      <c r="J28" s="1967"/>
      <c r="K28" s="1967"/>
      <c r="L28" s="1967"/>
    </row>
    <row r="29" spans="1:19">
      <c r="A29" s="138"/>
      <c r="B29" s="115" t="s">
        <v>227</v>
      </c>
      <c r="C29" s="2296" t="s">
        <v>2320</v>
      </c>
      <c r="D29" s="111">
        <f>ROUND($D$3*E29/$E$3,2)</f>
        <v>2723.82</v>
      </c>
      <c r="E29" s="134">
        <f>SUM(F29:G29)</f>
        <v>7064.06</v>
      </c>
      <c r="F29" s="144">
        <f>'数据-基础表'!BM5+'数据-基础表'!BO5</f>
        <v>7064.06</v>
      </c>
      <c r="G29" s="146">
        <f>'数据-基础表'!BN5+'数据-基础表'!BP5</f>
        <v>0</v>
      </c>
      <c r="H29" s="1967"/>
      <c r="I29" s="1967"/>
      <c r="J29" s="1967"/>
      <c r="K29" s="1967"/>
      <c r="L29" s="1967"/>
    </row>
    <row r="30" spans="1:19">
      <c r="A30" s="138"/>
      <c r="B30" s="111"/>
      <c r="C30" s="147" t="s">
        <v>215</v>
      </c>
      <c r="D30" s="134">
        <f>SUM(D28:D29)</f>
        <v>6903.49</v>
      </c>
      <c r="E30" s="134">
        <f>SUM(E28:E29)</f>
        <v>17903.77</v>
      </c>
      <c r="F30" s="134">
        <f>SUM(F28:F29)</f>
        <v>7064.06</v>
      </c>
      <c r="G30" s="112">
        <f>SUM(G28:G29)</f>
        <v>10839.71</v>
      </c>
      <c r="H30" s="1967"/>
      <c r="I30" s="1967"/>
      <c r="J30" s="1967"/>
      <c r="K30" s="1967"/>
      <c r="L30" s="1967"/>
    </row>
    <row r="31" spans="1:19" ht="32.25" customHeight="1" thickBot="1">
      <c r="A31" s="1364"/>
      <c r="B31" s="1365" t="s">
        <v>229</v>
      </c>
      <c r="C31" s="2313" t="s">
        <v>2322</v>
      </c>
      <c r="D31" s="1366">
        <f>D27+D30</f>
        <v>72391.789999999994</v>
      </c>
      <c r="E31" s="1366">
        <f>E27+E30</f>
        <v>187743.54</v>
      </c>
      <c r="F31" s="1367">
        <f>F27+F30</f>
        <v>130305.24000000002</v>
      </c>
      <c r="G31" s="1368">
        <f>G27+G30</f>
        <v>57438.299999999996</v>
      </c>
      <c r="H31" s="1967"/>
      <c r="I31" s="1967"/>
      <c r="J31" s="1967"/>
      <c r="K31" s="1967"/>
      <c r="L31" s="1967"/>
    </row>
    <row r="32" spans="1:19">
      <c r="A32" s="1967"/>
      <c r="B32" s="2325" t="s">
        <v>2321</v>
      </c>
      <c r="C32" s="2609"/>
      <c r="D32" s="1195"/>
      <c r="E32" s="1195">
        <f>SUMIF(C19:C26,"*住宅*",E19:E26)</f>
        <v>119327.24000000002</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43698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2826</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69265</v>
      </c>
      <c r="F6" s="174">
        <f>SUMIF(项目基本情况!D$15:I$15,C6,项目基本情况!D$19:I$19)</f>
        <v>70</v>
      </c>
      <c r="G6" s="175">
        <f>IF(ISERROR(ROUND(POWER(1+H6,D6-F6)*(POWER(1+H6,F6)-1)/(POWER(1+H6,D6)-1),3)),0,ROUND(POWER(1+H6,D6-F6)*(POWER(1+H6,F6)-1)/(POWER(1+H6,D6)-1),3))</f>
        <v>1</v>
      </c>
      <c r="H6" s="2976">
        <v>4.4999999999999998E-2</v>
      </c>
      <c r="I6" s="2976">
        <v>0.05</v>
      </c>
      <c r="J6" s="176"/>
      <c r="K6" s="179">
        <f>SUMIF('数据-汇总表'!C$19:C$33,'数据-取费表'!A6,'数据-汇总表'!E$19:E$33)</f>
        <v>119327.24000000002</v>
      </c>
      <c r="L6" s="2977">
        <v>3200</v>
      </c>
      <c r="M6" s="177">
        <f t="shared" ref="M6:M14" si="0">ROUND(K6*L6/10000,0)</f>
        <v>38185</v>
      </c>
      <c r="N6" s="2978">
        <v>0</v>
      </c>
      <c r="O6" s="177">
        <f>IF($N$5="成新度","——",ROUND(M6*N6,0))</f>
        <v>0</v>
      </c>
      <c r="P6" s="178">
        <f>IF($N$5="成新度","——",M6-O6)</f>
        <v>38185</v>
      </c>
      <c r="Q6" s="2979">
        <v>0.1</v>
      </c>
      <c r="R6" s="179">
        <f>SUMIF('数据-汇总表'!C$19:C$33,A6,'数据-汇总表'!R$19:R$33)</f>
        <v>51671.64</v>
      </c>
      <c r="S6" s="132">
        <f>IF('数据-汇总表'!$I$17="按面积比例",SUMIF('数据-汇总表'!C$19:C$33,A6,'数据-汇总表'!K$19:K$33),SUMIF('数据-汇总表'!C$19:C$33,A6,'数据-汇总表'!N$19:N$33))</f>
        <v>7615.84</v>
      </c>
      <c r="T6" s="2217">
        <f>IF($T$4="按面积比例",IF(ISERROR(ROUND($M$14*S6/S$16,0)),"0",ROUND($M$14*S6/S$16,0)),"需自行计算录入")</f>
        <v>1828</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t="str">
        <f>'数据-汇总表'!C20</f>
        <v>商业</v>
      </c>
      <c r="B7" s="2320" t="str">
        <f t="shared" ref="B7:B13" si="1">IF(A7=0,"","经营性")</f>
        <v>经营性</v>
      </c>
      <c r="C7" s="173" t="s">
        <v>3011</v>
      </c>
      <c r="D7" s="2291">
        <f>SUMIF(项目基本情况!D$15:I$15,C7,项目基本情况!D$18:I$18)</f>
        <v>40</v>
      </c>
      <c r="E7" s="2292">
        <f>IF(B7="","",SUMIF(项目基本情况!D$15:I$15,C7,项目基本情况!D$17:I$17))</f>
        <v>58307</v>
      </c>
      <c r="F7" s="174">
        <f>SUMIF(项目基本情况!D$15:I$15,C7,项目基本情况!D$19:I$19)</f>
        <v>40</v>
      </c>
      <c r="G7" s="175">
        <f t="shared" ref="G7:G11" si="2">IF(ISERROR(ROUND(POWER(1+H7,D7-F7)*(POWER(1+H7,F7)-1)/(POWER(1+H7,D7)-1),3)),0,ROUND(POWER(1+H7,D7-F7)*(POWER(1+H7,F7)-1)/(POWER(1+H7,D7)-1),3))</f>
        <v>1</v>
      </c>
      <c r="H7" s="2976">
        <v>0.05</v>
      </c>
      <c r="I7" s="2976">
        <v>5.5E-2</v>
      </c>
      <c r="J7" s="176"/>
      <c r="K7" s="179">
        <f>SUMIF('数据-汇总表'!C$19:C$33,'数据-取费表'!A7,'数据-汇总表'!E$19:E$33)</f>
        <v>3913.9399999999996</v>
      </c>
      <c r="L7" s="2977">
        <v>2400</v>
      </c>
      <c r="M7" s="177">
        <f t="shared" si="0"/>
        <v>939</v>
      </c>
      <c r="N7" s="2978">
        <v>0</v>
      </c>
      <c r="O7" s="177">
        <f t="shared" ref="O7:O14" si="3">IF($N$5="成新度","——",ROUND(M7*N7,0))</f>
        <v>0</v>
      </c>
      <c r="P7" s="178">
        <f t="shared" ref="P7:P14" si="4">IF($N$5="成新度","——",M7-O7)</f>
        <v>939</v>
      </c>
      <c r="Q7" s="2979">
        <v>0.2</v>
      </c>
      <c r="R7" s="179">
        <f>SUMIF('数据-汇总表'!C$19:C$33,A7,'数据-汇总表'!R$19:R$33)</f>
        <v>1605.49</v>
      </c>
      <c r="S7" s="132">
        <f>IF('数据-汇总表'!$I$17="按面积比例",SUMIF('数据-汇总表'!C$19:C$33,A7,'数据-汇总表'!K$19:K$33),SUMIF('数据-汇总表'!C$19:C$33,A7,'数据-汇总表'!N$19:N$33))</f>
        <v>249.8</v>
      </c>
      <c r="T7" s="2217">
        <f t="shared" ref="T7:T13" si="5">IF($T$4="按面积比例",IF(ISERROR(ROUND($M$14*S7/S$16,0)),"0",ROUND($M$14*S7/S$16,0)),"需自行计算录入")</f>
        <v>60</v>
      </c>
      <c r="U7" s="180">
        <v>2</v>
      </c>
      <c r="V7" s="181">
        <v>0.03</v>
      </c>
      <c r="W7" s="181">
        <v>0.1</v>
      </c>
      <c r="X7" s="2304"/>
      <c r="Y7" s="182">
        <v>1</v>
      </c>
      <c r="Z7" s="183"/>
      <c r="AA7" s="176"/>
      <c r="AB7" s="176"/>
      <c r="AC7" s="2307"/>
      <c r="AD7" s="184"/>
      <c r="AE7" s="970">
        <f t="shared" ref="AE7:AE13" ca="1" si="6">IF(AN7="",0,SUMIF(INDIRECT("'"&amp;AN7&amp;"'"&amp;"!E:E"),$AE$5,INDIRECT("'"&amp;AN7&amp;"'"&amp;"!F:F")))</f>
        <v>38</v>
      </c>
      <c r="AF7" s="141"/>
      <c r="AG7" s="1207">
        <f t="shared" ref="AG7:AG13" si="7">IF(AF7="",0,AE7-AF7)</f>
        <v>0</v>
      </c>
      <c r="AH7" s="141"/>
      <c r="AI7" s="187">
        <v>365</v>
      </c>
      <c r="AJ7" s="188"/>
      <c r="AK7" s="189">
        <v>1.4999999999999999E-2</v>
      </c>
      <c r="AL7" s="190">
        <v>1.5E-3</v>
      </c>
      <c r="AM7" s="2352">
        <v>0.01</v>
      </c>
      <c r="AN7" s="2354" t="s">
        <v>3046</v>
      </c>
      <c r="AO7" s="1983"/>
      <c r="AP7" s="1198">
        <f t="shared" ref="AP7:AP13" si="8">ROUND(1-1/(1+H7)^F7,3)</f>
        <v>0.85799999999999998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t="str">
        <f>'数据-汇总表'!C21</f>
        <v>地下车库</v>
      </c>
      <c r="B8" s="2320" t="str">
        <f t="shared" si="1"/>
        <v>经营性</v>
      </c>
      <c r="C8" s="173" t="s">
        <v>3030</v>
      </c>
      <c r="D8" s="2291">
        <f>SUMIF(项目基本情况!D$15:I$15,C8,项目基本情况!D$18:I$18)</f>
        <v>50</v>
      </c>
      <c r="E8" s="2292">
        <f>IF(B8="","",SUMIF(项目基本情况!D$15:I$15,C8,项目基本情况!D$17:I$17))</f>
        <v>61960</v>
      </c>
      <c r="F8" s="174">
        <f>SUMIF(项目基本情况!D$15:I$15,C8,项目基本情况!D$19:I$19)</f>
        <v>50</v>
      </c>
      <c r="G8" s="175">
        <f t="shared" si="2"/>
        <v>1</v>
      </c>
      <c r="H8" s="2976">
        <v>4.4999999999999998E-2</v>
      </c>
      <c r="I8" s="2976">
        <v>0.05</v>
      </c>
      <c r="J8" s="176"/>
      <c r="K8" s="179">
        <f>SUMIF('数据-汇总表'!C$19:C$33,'数据-取费表'!A8,'数据-汇总表'!E$19:E$33)</f>
        <v>46598.59</v>
      </c>
      <c r="L8" s="2977">
        <v>2400</v>
      </c>
      <c r="M8" s="177">
        <f>ROUND(K8*L8/10000,0)</f>
        <v>11184</v>
      </c>
      <c r="N8" s="2978">
        <v>0</v>
      </c>
      <c r="O8" s="177">
        <f t="shared" si="3"/>
        <v>0</v>
      </c>
      <c r="P8" s="178">
        <f t="shared" si="4"/>
        <v>11184</v>
      </c>
      <c r="Q8" s="2979">
        <v>0.03</v>
      </c>
      <c r="R8" s="179">
        <f>SUMIF('数据-汇总表'!C$19:C$33,A8,'数据-汇总表'!R$19:R$33)</f>
        <v>19114.66</v>
      </c>
      <c r="S8" s="132">
        <f>IF('数据-汇总表'!$I$17="按面积比例",SUMIF('数据-汇总表'!C$19:C$33,A8,'数据-汇总表'!K$19:K$33),SUMIF('数据-汇总表'!C$19:C$33,A8,'数据-汇总表'!N$19:N$33))</f>
        <v>2974.07</v>
      </c>
      <c r="T8" s="2217">
        <f t="shared" si="5"/>
        <v>714</v>
      </c>
      <c r="U8" s="3310">
        <v>400</v>
      </c>
      <c r="V8" s="181">
        <v>0.03</v>
      </c>
      <c r="W8" s="181">
        <v>0.1</v>
      </c>
      <c r="X8" s="2304"/>
      <c r="Y8" s="182">
        <v>1</v>
      </c>
      <c r="Z8" s="183"/>
      <c r="AA8" s="176"/>
      <c r="AB8" s="176"/>
      <c r="AC8" s="2307"/>
      <c r="AD8" s="184"/>
      <c r="AE8" s="970">
        <f t="shared" ca="1" si="6"/>
        <v>48</v>
      </c>
      <c r="AF8" s="141"/>
      <c r="AG8" s="1207">
        <f t="shared" si="7"/>
        <v>0</v>
      </c>
      <c r="AH8" s="141">
        <v>1456</v>
      </c>
      <c r="AI8" s="187">
        <v>12</v>
      </c>
      <c r="AJ8" s="188"/>
      <c r="AK8" s="189">
        <v>1.4999999999999999E-2</v>
      </c>
      <c r="AL8" s="190">
        <v>1.5E-3</v>
      </c>
      <c r="AM8" s="2352">
        <v>0.01</v>
      </c>
      <c r="AN8" s="2354" t="s">
        <v>3045</v>
      </c>
      <c r="AO8" s="1983"/>
      <c r="AP8" s="1198">
        <f t="shared" si="8"/>
        <v>0.88900000000000001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2314</v>
      </c>
      <c r="B14" s="2289" t="s">
        <v>1679</v>
      </c>
      <c r="C14" s="2290" t="s">
        <v>2314</v>
      </c>
      <c r="D14" s="2291"/>
      <c r="E14" s="2292"/>
      <c r="F14" s="174"/>
      <c r="G14" s="175"/>
      <c r="H14" s="2293"/>
      <c r="I14" s="2293"/>
      <c r="J14" s="2293"/>
      <c r="K14" s="179">
        <f>SUMIF('数据-汇总表'!C$19:C$33,'数据-取费表'!A14,'数据-汇总表'!E$19:E$33)</f>
        <v>10839.71</v>
      </c>
      <c r="L14" s="193">
        <v>2400</v>
      </c>
      <c r="M14" s="177">
        <f t="shared" si="0"/>
        <v>2602</v>
      </c>
      <c r="N14" s="194">
        <v>0</v>
      </c>
      <c r="O14" s="177">
        <f t="shared" si="3"/>
        <v>0</v>
      </c>
      <c r="P14" s="178">
        <f t="shared" si="4"/>
        <v>2602</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2316</v>
      </c>
      <c r="B15" s="2289" t="s">
        <v>1679</v>
      </c>
      <c r="C15" s="2290" t="s">
        <v>2315</v>
      </c>
      <c r="D15" s="2291"/>
      <c r="E15" s="2292"/>
      <c r="F15" s="174"/>
      <c r="G15" s="175"/>
      <c r="H15" s="2293"/>
      <c r="I15" s="2293"/>
      <c r="J15" s="2293"/>
      <c r="K15" s="179">
        <f>SUMIF('数据-汇总表'!C$19:C$33,'数据-取费表'!A15,'数据-汇总表'!E$19:E$33)</f>
        <v>7064.06</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187743.54</v>
      </c>
      <c r="L16" s="206">
        <f>ROUND(M16*10000/SUM(K6:K14),0)</f>
        <v>2928</v>
      </c>
      <c r="M16" s="206">
        <f>SUM(M6:M14)</f>
        <v>52910</v>
      </c>
      <c r="N16" s="207">
        <f>ROUND(SUMPRODUCT(M6:M14,N6:N14)/M16,3)</f>
        <v>0</v>
      </c>
      <c r="O16" s="206">
        <f>SUM(O6:O14)</f>
        <v>0</v>
      </c>
      <c r="P16" s="206">
        <f>SUM(P6:P14)</f>
        <v>52910</v>
      </c>
      <c r="Q16" s="208">
        <f>ROUND(SUMPRODUCT(Q6:Q13,K6:K13)/SUMPRODUCT((Q6:Q13&gt;0)*(K6:K13)),2)</f>
        <v>0.08</v>
      </c>
      <c r="R16" s="2294">
        <f>SUM(R6:R13)</f>
        <v>72391.789999999994</v>
      </c>
      <c r="S16" s="209">
        <f>SUM(S6:S13)</f>
        <v>10839.710000000001</v>
      </c>
      <c r="T16" s="210">
        <f>IF(SUMIF(T6:T13,"&lt;9E307")=M14,SUMIF(T6:T13,"&lt;9E307"),"有误，请检查")</f>
        <v>2602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0.93400000000000005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3438" t="s">
        <v>3031</v>
      </c>
      <c r="L18" s="3438" t="s">
        <v>3032</v>
      </c>
      <c r="M18" s="3438"/>
      <c r="N18" s="3438"/>
      <c r="O18" s="3438" t="s">
        <v>3033</v>
      </c>
      <c r="P18" s="3438"/>
      <c r="Q18" s="3208">
        <f>Q16/B20</f>
        <v>0.04</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438"/>
      <c r="L19" s="3198" t="s">
        <v>3034</v>
      </c>
      <c r="M19" s="3198" t="s">
        <v>3035</v>
      </c>
      <c r="N19" s="3198" t="s">
        <v>3036</v>
      </c>
      <c r="O19" s="3439"/>
      <c r="P19" s="3439"/>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3199" t="s">
        <v>3037</v>
      </c>
      <c r="L20" s="3200" t="s">
        <v>3038</v>
      </c>
      <c r="M20" s="3200" t="s">
        <v>3039</v>
      </c>
      <c r="N20" s="3200" t="s">
        <v>3040</v>
      </c>
      <c r="O20" s="3440" t="s">
        <v>3041</v>
      </c>
      <c r="P20" s="3441"/>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2338</v>
      </c>
      <c r="B27" s="227">
        <v>412</v>
      </c>
      <c r="C27" s="3024" t="s">
        <v>3021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2339</v>
      </c>
      <c r="B28" s="229">
        <v>480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0.03</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201"/>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mergeCells count="5">
    <mergeCell ref="K18:K19"/>
    <mergeCell ref="L18:N18"/>
    <mergeCell ref="O18:P18"/>
    <mergeCell ref="O19:P19"/>
    <mergeCell ref="O20:P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442" t="s">
        <v>1663</v>
      </c>
      <c r="B1" s="3443"/>
      <c r="C1" s="3443"/>
      <c r="D1" s="3443"/>
      <c r="E1" s="3443"/>
      <c r="F1" s="3443"/>
      <c r="G1" s="3443"/>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31" t="s">
        <v>2920</v>
      </c>
      <c r="D3" s="1992"/>
      <c r="E3" s="1223" t="s">
        <v>1666</v>
      </c>
      <c r="F3" s="1224" t="s">
        <v>1654</v>
      </c>
      <c r="G3" s="3035" t="s">
        <v>2919</v>
      </c>
      <c r="H3" s="1991"/>
      <c r="I3" s="1991"/>
      <c r="J3" s="1991"/>
      <c r="K3" s="1991"/>
      <c r="L3" s="1991"/>
      <c r="M3" s="1991"/>
      <c r="N3" s="1991"/>
      <c r="O3" s="1991"/>
      <c r="P3" s="1991"/>
      <c r="Q3" s="1991"/>
      <c r="R3" s="1991"/>
    </row>
    <row r="4" spans="1:18" ht="41.25">
      <c r="A4" s="1223"/>
      <c r="B4" s="1225" t="s">
        <v>1667</v>
      </c>
      <c r="C4" s="3032" t="s">
        <v>2921</v>
      </c>
      <c r="D4" s="1992"/>
      <c r="E4" s="1226"/>
      <c r="F4" s="1227" t="s">
        <v>1668</v>
      </c>
      <c r="G4" s="3033" t="s">
        <v>2916</v>
      </c>
      <c r="H4" s="1991"/>
      <c r="I4" s="1991"/>
      <c r="J4" s="1991"/>
      <c r="K4" s="1991"/>
      <c r="L4" s="1991"/>
      <c r="M4" s="1991"/>
      <c r="N4" s="1991"/>
      <c r="O4" s="1991"/>
      <c r="P4" s="1991"/>
      <c r="Q4" s="1991"/>
      <c r="R4" s="1991"/>
    </row>
    <row r="5" spans="1:18" ht="41.25">
      <c r="A5" s="1223"/>
      <c r="B5" s="1225" t="s">
        <v>1669</v>
      </c>
      <c r="C5" s="3032" t="s">
        <v>2922</v>
      </c>
      <c r="D5" s="1992"/>
      <c r="E5" s="1226"/>
      <c r="F5" s="1225" t="s">
        <v>2545</v>
      </c>
      <c r="G5" s="3033" t="s">
        <v>2917</v>
      </c>
      <c r="H5" s="1991"/>
      <c r="I5" s="1991"/>
      <c r="J5" s="1991"/>
      <c r="K5" s="1991"/>
      <c r="L5" s="1991"/>
      <c r="M5" s="1991"/>
      <c r="N5" s="1991"/>
      <c r="O5" s="1991"/>
      <c r="P5" s="1991"/>
      <c r="Q5" s="1991"/>
      <c r="R5" s="1991"/>
    </row>
    <row r="6" spans="1:18" ht="54">
      <c r="A6" s="1223"/>
      <c r="B6" s="1225" t="s">
        <v>1655</v>
      </c>
      <c r="C6" s="3033" t="s">
        <v>2916</v>
      </c>
      <c r="D6" s="1992"/>
      <c r="E6" s="1226"/>
      <c r="F6" s="1225" t="s">
        <v>2546</v>
      </c>
      <c r="G6" s="3033" t="s">
        <v>2914</v>
      </c>
      <c r="H6" s="1991"/>
      <c r="I6" s="1991"/>
      <c r="J6" s="1991"/>
      <c r="K6" s="1991"/>
      <c r="L6" s="1991"/>
      <c r="M6" s="1991"/>
      <c r="N6" s="1991"/>
      <c r="O6" s="1991"/>
      <c r="P6" s="1991"/>
      <c r="Q6" s="1991"/>
      <c r="R6" s="1991"/>
    </row>
    <row r="7" spans="1:18" ht="41.25" thickBot="1">
      <c r="A7" s="1223"/>
      <c r="B7" s="1225" t="s">
        <v>2545</v>
      </c>
      <c r="C7" s="3033" t="s">
        <v>2917</v>
      </c>
      <c r="D7" s="1993"/>
      <c r="E7" s="1228"/>
      <c r="F7" s="1229" t="s">
        <v>1670</v>
      </c>
      <c r="G7" s="3036" t="s">
        <v>2918</v>
      </c>
      <c r="H7" s="1991"/>
      <c r="I7" s="1991"/>
      <c r="J7" s="1991"/>
      <c r="K7" s="1991"/>
      <c r="L7" s="1991"/>
      <c r="M7" s="1991"/>
      <c r="N7" s="1991"/>
      <c r="O7" s="1991"/>
      <c r="P7" s="1991"/>
      <c r="Q7" s="1991"/>
      <c r="R7" s="1991"/>
    </row>
    <row r="8" spans="1:18" ht="27">
      <c r="A8" s="1223"/>
      <c r="B8" s="1225" t="s">
        <v>2546</v>
      </c>
      <c r="C8" s="3033" t="s">
        <v>2914</v>
      </c>
      <c r="D8" s="1993"/>
      <c r="E8" s="1993"/>
      <c r="F8" s="1538"/>
      <c r="G8" s="1538"/>
      <c r="H8" s="1991"/>
      <c r="I8" s="1991"/>
      <c r="J8" s="1991"/>
      <c r="K8" s="1991"/>
      <c r="L8" s="1991"/>
      <c r="M8" s="1991"/>
      <c r="N8" s="1991"/>
      <c r="O8" s="1991"/>
      <c r="P8" s="1991"/>
      <c r="Q8" s="1991"/>
      <c r="R8" s="1991"/>
    </row>
    <row r="9" spans="1:18" ht="40.5">
      <c r="A9" s="1223"/>
      <c r="B9" s="1225" t="s">
        <v>1656</v>
      </c>
      <c r="C9" s="3032" t="s">
        <v>2915</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8"/>
      <c r="E13" s="2540"/>
      <c r="F13" s="2540"/>
      <c r="G13" s="2540"/>
    </row>
    <row r="14" spans="1:18" ht="14.25" thickBot="1">
      <c r="A14" s="1232"/>
      <c r="B14" s="1233"/>
      <c r="C14" s="1234" t="s">
        <v>1664</v>
      </c>
      <c r="D14" s="1992"/>
      <c r="E14" s="1235"/>
      <c r="F14" s="1235"/>
      <c r="G14" s="1217" t="s">
        <v>1665</v>
      </c>
    </row>
    <row r="15" spans="1:18" ht="54">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0.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0.5">
      <c r="A17" s="2551"/>
      <c r="B17" s="1239" t="s">
        <v>1669</v>
      </c>
      <c r="C17" s="1240" t="str">
        <f>C5</f>
        <v>估价对象位于XX商圈，周边办公楼项目较多，入驻率高，办公集聚程度较好</v>
      </c>
      <c r="D17" s="1993"/>
      <c r="E17" s="2548"/>
      <c r="F17" s="1241" t="s">
        <v>1674</v>
      </c>
      <c r="G17" s="2748"/>
    </row>
    <row r="18" spans="1:7" ht="54">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27">
      <c r="A19" s="2551"/>
      <c r="B19" s="1241" t="s">
        <v>1659</v>
      </c>
      <c r="C19" s="2748"/>
      <c r="D19" s="1992"/>
      <c r="E19" s="2548"/>
      <c r="F19" s="1225" t="s">
        <v>2545</v>
      </c>
      <c r="G19" s="1003" t="str">
        <f>G5</f>
        <v>估价对象所在区域公共配套设施齐备情况</v>
      </c>
    </row>
    <row r="20" spans="1:7" ht="40.5">
      <c r="A20" s="2551"/>
      <c r="B20" s="1241" t="s">
        <v>1660</v>
      </c>
      <c r="C20" s="1240" t="str">
        <f>C9</f>
        <v>区域自然环境：；人文环境；综合评价环境状况一般</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1661</v>
      </c>
      <c r="G21" s="3037"/>
    </row>
    <row r="22" spans="1:7" ht="27">
      <c r="A22" s="2551"/>
      <c r="B22" s="1225" t="s">
        <v>2546</v>
      </c>
      <c r="C22" s="1003" t="str">
        <f>C8</f>
        <v>估价对象所在区域基础设施水平</v>
      </c>
      <c r="D22" s="1992"/>
      <c r="E22" s="2548"/>
      <c r="F22" s="1241" t="s">
        <v>1671</v>
      </c>
      <c r="G22" s="2748"/>
    </row>
    <row r="23" spans="1:7" ht="15" thickBot="1">
      <c r="A23" s="2551"/>
      <c r="B23" s="1241" t="s">
        <v>1661</v>
      </c>
      <c r="C23" s="3037"/>
      <c r="E23" s="2549"/>
      <c r="F23" s="1242" t="s">
        <v>1675</v>
      </c>
      <c r="G23" s="3038"/>
    </row>
    <row r="24" spans="1:7" ht="14.25"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2842</v>
      </c>
      <c r="B1" s="2995">
        <f>SUM(B14:B23)</f>
        <v>187743.54</v>
      </c>
      <c r="C1" s="2996"/>
      <c r="D1" s="2996"/>
      <c r="E1" s="2996"/>
      <c r="F1" s="2996"/>
    </row>
    <row r="2" spans="1:9" ht="16.5">
      <c r="A2" s="2995" t="s">
        <v>2843</v>
      </c>
      <c r="B2" s="2995">
        <f>SUM(C14:C23)</f>
        <v>72391.8</v>
      </c>
      <c r="C2" s="2996"/>
      <c r="D2" s="2996"/>
      <c r="E2" s="2996"/>
      <c r="F2" s="2996"/>
    </row>
    <row r="3" spans="1:9" ht="16.5">
      <c r="A3" s="2995" t="s">
        <v>2844</v>
      </c>
      <c r="B3" s="2997">
        <f>项目基本情况!D3</f>
        <v>43698</v>
      </c>
      <c r="C3" s="2996"/>
      <c r="D3" s="2996"/>
      <c r="E3" s="2996"/>
      <c r="F3" s="2996"/>
    </row>
    <row r="4" spans="1:9" ht="33">
      <c r="A4" s="2995" t="s">
        <v>2845</v>
      </c>
      <c r="B4" s="2995" t="s">
        <v>2846</v>
      </c>
      <c r="C4" s="2995" t="s">
        <v>2847</v>
      </c>
      <c r="D4" s="2995" t="s">
        <v>2848</v>
      </c>
      <c r="E4" s="2996"/>
      <c r="F4" s="2996"/>
    </row>
    <row r="5" spans="1:9" ht="16.5">
      <c r="A5" s="2995" t="s">
        <v>2849</v>
      </c>
      <c r="B5" s="2995">
        <f ca="1">SUM(D14:D23)</f>
        <v>56265</v>
      </c>
      <c r="C5" s="2995">
        <f ca="1">ROUND(B5*10000/$B$1,0)</f>
        <v>2997</v>
      </c>
      <c r="D5" s="2995">
        <f ca="1">ROUND(B5*10000/$B$2,0)</f>
        <v>7772</v>
      </c>
      <c r="E5" s="2996"/>
      <c r="F5" s="2996"/>
    </row>
    <row r="6" spans="1:9" ht="16.5">
      <c r="A6" s="2995" t="s">
        <v>2850</v>
      </c>
      <c r="B6" s="2995">
        <f ca="1">SUM(G14:G23)</f>
        <v>56265</v>
      </c>
      <c r="C6" s="2995">
        <f t="shared" ref="C6:C8" ca="1" si="0">ROUND(B6*10000/$B$1,0)</f>
        <v>2997</v>
      </c>
      <c r="D6" s="2995">
        <f t="shared" ref="D6:D8" ca="1" si="1">ROUND(B6*10000/$B$2,0)</f>
        <v>7772</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187743.54</v>
      </c>
      <c r="C14" s="2999">
        <f>结果表!K38</f>
        <v>72391.8</v>
      </c>
      <c r="D14" s="2999">
        <f ca="1">结果表!C42</f>
        <v>56265</v>
      </c>
      <c r="E14" s="2999">
        <f ca="1">ROUND(D14*10000/B14,0)</f>
        <v>2997</v>
      </c>
      <c r="F14" s="2999">
        <f ca="1">ROUND(D14*10000/C14,0)</f>
        <v>7772</v>
      </c>
      <c r="G14" s="2999">
        <f ca="1">结果表!C44</f>
        <v>56265</v>
      </c>
      <c r="H14" s="2999" t="str">
        <f>结果表!C45</f>
        <v>——</v>
      </c>
      <c r="I14" s="2999" t="str">
        <f>结果表!C46</f>
        <v>——</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66"/>
  <sheetViews>
    <sheetView workbookViewId="0">
      <selection activeCell="C9" sqref="C9"/>
    </sheetView>
  </sheetViews>
  <sheetFormatPr defaultRowHeight="14.25"/>
  <cols>
    <col min="1" max="1" width="5.125" style="2893" customWidth="1"/>
    <col min="2" max="2" width="29.125" style="2893" customWidth="1"/>
    <col min="3" max="3" width="25.375" style="2893" customWidth="1"/>
    <col min="4" max="4" width="13.75" style="3193" customWidth="1"/>
    <col min="5" max="5" width="12.625" style="2893" customWidth="1"/>
    <col min="6" max="6" width="13.5" style="2893" customWidth="1"/>
    <col min="7" max="7" width="12.125" style="2893" customWidth="1"/>
    <col min="8" max="8" width="12.75" style="2893" bestFit="1" customWidth="1"/>
    <col min="9" max="9" width="9.625" style="2893"/>
    <col min="10" max="10" width="12.75" style="2893" bestFit="1" customWidth="1"/>
    <col min="11" max="11" width="9" style="2893"/>
  </cols>
  <sheetData>
    <row r="1" spans="1:11" ht="22.5">
      <c r="A1" s="3446" t="s">
        <v>3300</v>
      </c>
      <c r="B1" s="3446"/>
      <c r="C1" s="3446"/>
      <c r="D1" s="3446"/>
      <c r="E1" s="3446"/>
      <c r="F1" s="3219"/>
    </row>
    <row r="2" spans="1:11" ht="13.5">
      <c r="A2" s="3447"/>
      <c r="B2" s="3447"/>
      <c r="C2" s="3448" t="s">
        <v>3301</v>
      </c>
      <c r="D2" s="3448"/>
      <c r="E2" s="3448"/>
      <c r="F2" s="3220"/>
    </row>
    <row r="3" spans="1:11" ht="13.5">
      <c r="A3" s="3449" t="s">
        <v>2374</v>
      </c>
      <c r="B3" s="3452"/>
      <c r="C3" s="3455" t="s">
        <v>3302</v>
      </c>
      <c r="D3" s="3458" t="s">
        <v>3303</v>
      </c>
      <c r="E3" s="3460" t="s">
        <v>3304</v>
      </c>
      <c r="F3" s="3221"/>
    </row>
    <row r="4" spans="1:11" ht="13.5">
      <c r="A4" s="3450"/>
      <c r="B4" s="3453"/>
      <c r="C4" s="3456"/>
      <c r="D4" s="3459"/>
      <c r="E4" s="3461"/>
    </row>
    <row r="5" spans="1:11" ht="13.5">
      <c r="A5" s="3451"/>
      <c r="B5" s="3454"/>
      <c r="C5" s="3457"/>
      <c r="D5" s="3222" t="s">
        <v>3305</v>
      </c>
      <c r="E5" s="3223" t="s">
        <v>3306</v>
      </c>
      <c r="F5" s="3224"/>
      <c r="G5" s="3225"/>
    </row>
    <row r="6" spans="1:11" ht="15">
      <c r="A6" s="3226">
        <v>1</v>
      </c>
      <c r="B6" s="3227" t="s">
        <v>3307</v>
      </c>
      <c r="C6" s="3228">
        <f>H10</f>
        <v>72391.8</v>
      </c>
      <c r="D6" s="3229"/>
      <c r="E6" s="3230"/>
      <c r="F6" s="3231"/>
      <c r="G6" s="3232"/>
      <c r="H6" s="3232"/>
      <c r="I6" s="3232"/>
      <c r="J6" s="3232"/>
      <c r="K6" s="3232"/>
    </row>
    <row r="7" spans="1:11" ht="15">
      <c r="A7" s="3226">
        <v>2</v>
      </c>
      <c r="B7" s="3227" t="s">
        <v>3308</v>
      </c>
      <c r="C7" s="3228">
        <f>C8+C9</f>
        <v>188636.52000000002</v>
      </c>
      <c r="D7" s="3229"/>
      <c r="E7" s="3230"/>
      <c r="F7" s="3231"/>
      <c r="G7" s="3232"/>
      <c r="H7" s="3232"/>
      <c r="I7" s="3232"/>
      <c r="J7" s="3232"/>
      <c r="K7" s="3232"/>
    </row>
    <row r="8" spans="1:11" ht="15">
      <c r="A8" s="3226">
        <v>3</v>
      </c>
      <c r="B8" s="3227" t="s">
        <v>3309</v>
      </c>
      <c r="C8" s="3228">
        <f>H12</f>
        <v>130305.24</v>
      </c>
      <c r="D8" s="3229"/>
      <c r="E8" s="3230"/>
      <c r="F8" s="3231"/>
      <c r="G8" s="3232"/>
      <c r="H8" s="3232"/>
      <c r="I8" s="3232"/>
      <c r="J8" s="3232"/>
      <c r="K8" s="3232"/>
    </row>
    <row r="9" spans="1:11" ht="15">
      <c r="A9" s="3226">
        <v>4</v>
      </c>
      <c r="B9" s="3227" t="s">
        <v>3310</v>
      </c>
      <c r="C9" s="3228">
        <f>H16</f>
        <v>58331.28</v>
      </c>
      <c r="D9" s="3229"/>
      <c r="E9" s="3230"/>
      <c r="F9" s="3233"/>
      <c r="G9" s="3232"/>
      <c r="H9" s="3232"/>
      <c r="I9" s="3232"/>
      <c r="J9" s="3232"/>
      <c r="K9" s="3232"/>
    </row>
    <row r="10" spans="1:11" ht="15">
      <c r="A10" s="3234"/>
      <c r="B10" s="3235"/>
      <c r="C10" s="3236"/>
      <c r="D10" s="3237">
        <v>1</v>
      </c>
      <c r="E10" s="3238">
        <v>2</v>
      </c>
      <c r="F10" s="3190"/>
      <c r="G10" s="3191" t="s">
        <v>3024</v>
      </c>
      <c r="H10" s="3192">
        <f>72391.8</f>
        <v>72391.8</v>
      </c>
    </row>
    <row r="11" spans="1:11">
      <c r="A11" s="3239" t="s">
        <v>3023</v>
      </c>
      <c r="B11" s="3239" t="s">
        <v>3311</v>
      </c>
      <c r="C11" s="3239"/>
      <c r="D11" s="3239">
        <f>D12+D15+D19+D30+D34+SUM(D43:D46)</f>
        <v>109049.220858024</v>
      </c>
      <c r="E11" s="3239">
        <f>E12+E15+E19+E30+E34+SUM(E43:E46)</f>
        <v>5780.9156851167518</v>
      </c>
      <c r="G11" s="3191" t="s">
        <v>3312</v>
      </c>
      <c r="H11" s="3191">
        <v>1.8</v>
      </c>
    </row>
    <row r="12" spans="1:11">
      <c r="A12" s="3240" t="s">
        <v>3313</v>
      </c>
      <c r="B12" s="3241" t="s">
        <v>3314</v>
      </c>
      <c r="C12" s="3242"/>
      <c r="D12" s="3243">
        <f>SUM(D13:D14)</f>
        <v>37949.599999999999</v>
      </c>
      <c r="E12" s="3243">
        <f>D12/C7*10000</f>
        <v>2011.7843564968225</v>
      </c>
      <c r="F12" s="3244"/>
      <c r="G12" s="3191" t="s">
        <v>3315</v>
      </c>
      <c r="H12" s="3191">
        <v>130305.24</v>
      </c>
      <c r="I12" s="3190"/>
      <c r="J12" s="3190"/>
      <c r="K12" s="3190"/>
    </row>
    <row r="13" spans="1:11" ht="15">
      <c r="A13" s="3245">
        <v>1</v>
      </c>
      <c r="B13" s="3246" t="s">
        <v>3316</v>
      </c>
      <c r="C13" s="3246" t="s">
        <v>3317</v>
      </c>
      <c r="D13" s="3247">
        <v>36490</v>
      </c>
      <c r="E13" s="3248">
        <f>D13/C7*10000</f>
        <v>1934.4080350930983</v>
      </c>
      <c r="F13" s="3249"/>
      <c r="G13" s="3191" t="s">
        <v>3318</v>
      </c>
      <c r="H13" s="3193">
        <v>10103.06</v>
      </c>
      <c r="I13" s="3194"/>
      <c r="J13" s="3194"/>
      <c r="K13" s="3194"/>
    </row>
    <row r="14" spans="1:11" ht="15">
      <c r="A14" s="3245">
        <v>2</v>
      </c>
      <c r="B14" s="3246" t="s">
        <v>3319</v>
      </c>
      <c r="C14" s="3246" t="s">
        <v>3320</v>
      </c>
      <c r="D14" s="3247">
        <f>D13*0.04</f>
        <v>1459.6000000000001</v>
      </c>
      <c r="E14" s="3248">
        <f>D14/C7*10000</f>
        <v>77.376321403723949</v>
      </c>
      <c r="F14" s="3194"/>
      <c r="G14" s="3191" t="s">
        <v>3025</v>
      </c>
      <c r="H14" s="2893">
        <f>120202.18</f>
        <v>120202.18</v>
      </c>
      <c r="I14" s="3194"/>
      <c r="J14" s="3194"/>
      <c r="K14" s="3194"/>
    </row>
    <row r="15" spans="1:11">
      <c r="A15" s="3250" t="s">
        <v>3321</v>
      </c>
      <c r="B15" s="3251" t="s">
        <v>3322</v>
      </c>
      <c r="C15" s="3252"/>
      <c r="D15" s="3253">
        <f>SUM(D16:D18)</f>
        <v>3444.0643260000002</v>
      </c>
      <c r="E15" s="3239">
        <f>SUM(E16:E18)</f>
        <v>182.58</v>
      </c>
      <c r="F15" s="3190"/>
      <c r="G15" s="3191" t="s">
        <v>3323</v>
      </c>
      <c r="H15" s="2893">
        <v>1481</v>
      </c>
      <c r="I15" s="3190"/>
      <c r="J15" s="3190"/>
      <c r="K15" s="3190"/>
    </row>
    <row r="16" spans="1:11" ht="15">
      <c r="A16" s="3254">
        <v>1</v>
      </c>
      <c r="B16" s="3255" t="s">
        <v>3324</v>
      </c>
      <c r="C16" s="3246" t="s">
        <v>3325</v>
      </c>
      <c r="D16" s="3247">
        <f>C7*180/10000</f>
        <v>3395.4573600000003</v>
      </c>
      <c r="E16" s="3256">
        <f>ROUND(D16*10000/C7,2)</f>
        <v>180</v>
      </c>
      <c r="F16" s="3257"/>
      <c r="G16" s="3191" t="s">
        <v>3326</v>
      </c>
      <c r="H16" s="2893">
        <v>58331.28</v>
      </c>
      <c r="I16" s="3190"/>
      <c r="J16" s="3190"/>
      <c r="K16" s="3190"/>
    </row>
    <row r="17" spans="1:11" ht="15">
      <c r="A17" s="3254">
        <v>2</v>
      </c>
      <c r="B17" s="3236" t="s">
        <v>3327</v>
      </c>
      <c r="C17" s="3246" t="s">
        <v>3328</v>
      </c>
      <c r="D17" s="3247">
        <f>0.2*C6/10000</f>
        <v>1.4478360000000001</v>
      </c>
      <c r="E17" s="3256">
        <f>ROUND(D17*10000/C7,2)</f>
        <v>0.08</v>
      </c>
      <c r="F17" s="3249"/>
      <c r="G17" s="3190"/>
      <c r="H17" s="3190"/>
      <c r="I17" s="3258"/>
      <c r="J17" s="3190"/>
      <c r="K17" s="3190"/>
    </row>
    <row r="18" spans="1:11" ht="15">
      <c r="A18" s="3254">
        <v>3</v>
      </c>
      <c r="B18" s="3236" t="s">
        <v>3329</v>
      </c>
      <c r="C18" s="3246" t="s">
        <v>3330</v>
      </c>
      <c r="D18" s="3247">
        <f>2.5*C7/10000</f>
        <v>47.159130000000005</v>
      </c>
      <c r="E18" s="3256">
        <f>ROUND(D18*10000/C7,2)</f>
        <v>2.5</v>
      </c>
      <c r="F18" s="3249"/>
      <c r="G18" s="3190"/>
      <c r="H18" s="3190"/>
      <c r="I18" s="3190"/>
      <c r="J18" s="3190"/>
      <c r="K18" s="3190"/>
    </row>
    <row r="19" spans="1:11" ht="15">
      <c r="A19" s="3250" t="s">
        <v>3331</v>
      </c>
      <c r="B19" s="3251" t="s">
        <v>3332</v>
      </c>
      <c r="C19" s="3259"/>
      <c r="D19" s="3253">
        <f>SUM(D20:D29)</f>
        <v>8171.0180400000008</v>
      </c>
      <c r="E19" s="3253">
        <f>ROUND(D19*10000/C7,2)</f>
        <v>433.16</v>
      </c>
      <c r="F19" s="3249"/>
      <c r="G19" s="3260" t="s">
        <v>3333</v>
      </c>
      <c r="H19" s="3244">
        <f>D12+D15+D19+D30+D34</f>
        <v>96968.7964412</v>
      </c>
      <c r="I19" s="3190"/>
      <c r="J19" s="3244">
        <f>H19+D43+D44+D45</f>
        <v>106911.00084119999</v>
      </c>
      <c r="K19" s="3190"/>
    </row>
    <row r="20" spans="1:11" ht="15">
      <c r="A20" s="3245">
        <v>1</v>
      </c>
      <c r="B20" s="3246" t="s">
        <v>3334</v>
      </c>
      <c r="C20" s="3246" t="s">
        <v>3335</v>
      </c>
      <c r="D20" s="3235">
        <f>13.5*C6/10000</f>
        <v>97.728930000000005</v>
      </c>
      <c r="E20" s="3248">
        <f>ROUND(D20*10000/C7,2)</f>
        <v>5.18</v>
      </c>
      <c r="F20" s="3249"/>
      <c r="G20" s="3260" t="s">
        <v>3336</v>
      </c>
      <c r="H20" s="3261">
        <f>D12</f>
        <v>37949.599999999999</v>
      </c>
      <c r="I20" s="3194"/>
      <c r="J20" s="3194"/>
      <c r="K20" s="3194"/>
    </row>
    <row r="21" spans="1:11" ht="15">
      <c r="A21" s="3245">
        <v>2</v>
      </c>
      <c r="B21" s="3246" t="s">
        <v>3337</v>
      </c>
      <c r="C21" s="3246" t="s">
        <v>3338</v>
      </c>
      <c r="D21" s="3262">
        <f>10*C7/10000</f>
        <v>188.63652000000002</v>
      </c>
      <c r="E21" s="3248">
        <f>ROUND(D21*10000/C7,2)</f>
        <v>10</v>
      </c>
      <c r="F21" s="3249"/>
      <c r="G21" s="3260" t="s">
        <v>3339</v>
      </c>
      <c r="H21" s="3261">
        <f>D15+D19+D30+D34</f>
        <v>59019.196441200002</v>
      </c>
      <c r="I21" s="3194"/>
      <c r="J21" s="3263"/>
      <c r="K21" s="3194"/>
    </row>
    <row r="22" spans="1:11" ht="15">
      <c r="A22" s="3245">
        <v>3</v>
      </c>
      <c r="B22" s="3246" t="s">
        <v>3340</v>
      </c>
      <c r="C22" s="3246" t="s">
        <v>3341</v>
      </c>
      <c r="D22" s="3235">
        <f>5*C6/10000</f>
        <v>36.195900000000002</v>
      </c>
      <c r="E22" s="3248">
        <f>ROUND(D22*10000/C7,2)</f>
        <v>1.92</v>
      </c>
      <c r="F22" s="3249"/>
      <c r="G22" s="3260" t="s">
        <v>3342</v>
      </c>
      <c r="H22" s="3260">
        <f>H20*70%+H21*60%</f>
        <v>61976.237864719995</v>
      </c>
      <c r="I22" s="3194"/>
      <c r="J22" s="3263">
        <f>H20/H19</f>
        <v>0.39135888443260097</v>
      </c>
      <c r="K22" s="3194"/>
    </row>
    <row r="23" spans="1:11" ht="15">
      <c r="A23" s="3245">
        <v>4</v>
      </c>
      <c r="B23" s="3246" t="s">
        <v>3343</v>
      </c>
      <c r="C23" s="3246" t="s">
        <v>3344</v>
      </c>
      <c r="D23" s="3235">
        <f>5*C7/10000</f>
        <v>94.318260000000009</v>
      </c>
      <c r="E23" s="3248">
        <f>ROUND(D23*10000/C7,2)</f>
        <v>5</v>
      </c>
      <c r="F23" s="3249"/>
      <c r="G23" s="3194"/>
      <c r="H23" s="3194"/>
      <c r="I23" s="3194"/>
      <c r="J23" s="3194"/>
      <c r="K23" s="3194"/>
    </row>
    <row r="24" spans="1:11" ht="15">
      <c r="A24" s="3245">
        <v>5</v>
      </c>
      <c r="B24" s="3246" t="s">
        <v>3345</v>
      </c>
      <c r="C24" s="3246" t="s">
        <v>3346</v>
      </c>
      <c r="D24" s="3235">
        <f>50*C7/10000</f>
        <v>943.18259999999998</v>
      </c>
      <c r="E24" s="3248">
        <f>ROUND(D24*10000/C7,2)</f>
        <v>50</v>
      </c>
      <c r="F24" s="3249"/>
      <c r="G24" s="3194"/>
      <c r="H24" s="3194"/>
      <c r="I24" s="3194"/>
      <c r="J24" s="3194"/>
      <c r="K24" s="3194"/>
    </row>
    <row r="25" spans="1:11" ht="15">
      <c r="A25" s="3245">
        <v>6</v>
      </c>
      <c r="B25" s="3246" t="s">
        <v>3347</v>
      </c>
      <c r="C25" s="3246" t="s">
        <v>3348</v>
      </c>
      <c r="D25" s="3235">
        <f>400*C8/10000</f>
        <v>5212.2096000000001</v>
      </c>
      <c r="E25" s="3248">
        <f>ROUND(D25*10000/C7,2)</f>
        <v>276.31</v>
      </c>
      <c r="F25" s="3249"/>
      <c r="G25" s="3194"/>
      <c r="H25" s="3194"/>
      <c r="I25" s="3194"/>
      <c r="J25" s="3194"/>
      <c r="K25" s="3194"/>
    </row>
    <row r="26" spans="1:11" ht="15">
      <c r="A26" s="3245">
        <v>7</v>
      </c>
      <c r="B26" s="3246" t="s">
        <v>3349</v>
      </c>
      <c r="C26" s="3246" t="s">
        <v>3350</v>
      </c>
      <c r="D26" s="3262">
        <f>50*C7/10000</f>
        <v>943.18259999999998</v>
      </c>
      <c r="E26" s="3248">
        <f>ROUND(D26*10000/C7,2)</f>
        <v>50</v>
      </c>
      <c r="F26" s="3249"/>
      <c r="G26" s="3194"/>
      <c r="H26" s="3194"/>
      <c r="I26" s="3194"/>
      <c r="J26" s="3194"/>
      <c r="K26" s="3194"/>
    </row>
    <row r="27" spans="1:11" ht="15">
      <c r="A27" s="3245">
        <v>8</v>
      </c>
      <c r="B27" s="3246" t="s">
        <v>3351</v>
      </c>
      <c r="C27" s="3246" t="s">
        <v>3352</v>
      </c>
      <c r="D27" s="3262">
        <f>D30*0.005</f>
        <v>221.21283</v>
      </c>
      <c r="E27" s="3248">
        <f>ROUND(D27*10000/C7,2)</f>
        <v>11.73</v>
      </c>
      <c r="F27" s="3249"/>
      <c r="G27" s="3194"/>
      <c r="H27" s="3194"/>
      <c r="I27" s="3194"/>
      <c r="J27" s="3194"/>
      <c r="K27" s="3194"/>
    </row>
    <row r="28" spans="1:11" ht="15">
      <c r="A28" s="3245">
        <v>9</v>
      </c>
      <c r="B28" s="3246" t="s">
        <v>3353</v>
      </c>
      <c r="C28" s="3246" t="s">
        <v>3354</v>
      </c>
      <c r="D28" s="3262">
        <f>50*C6/10000</f>
        <v>361.959</v>
      </c>
      <c r="E28" s="3248">
        <f>ROUND(D28*10000/C7,2)</f>
        <v>19.190000000000001</v>
      </c>
      <c r="F28" s="3249"/>
      <c r="G28" s="3194"/>
      <c r="H28" s="3194"/>
      <c r="I28" s="3194"/>
      <c r="J28" s="3194"/>
      <c r="K28" s="3194"/>
    </row>
    <row r="29" spans="1:11" ht="15">
      <c r="A29" s="3245">
        <v>10</v>
      </c>
      <c r="B29" s="3246" t="s">
        <v>3355</v>
      </c>
      <c r="C29" s="3246" t="s">
        <v>3356</v>
      </c>
      <c r="D29" s="3262">
        <f>10*C6/10000</f>
        <v>72.391800000000003</v>
      </c>
      <c r="E29" s="3248">
        <f>ROUND(D29*10000/C7,2)</f>
        <v>3.84</v>
      </c>
      <c r="F29" s="3249"/>
      <c r="G29" s="3194"/>
      <c r="H29" s="3194"/>
      <c r="I29" s="3194"/>
      <c r="J29" s="3194"/>
      <c r="K29" s="3194"/>
    </row>
    <row r="30" spans="1:11" ht="15.75">
      <c r="A30" s="3264" t="s">
        <v>3357</v>
      </c>
      <c r="B30" s="3265" t="s">
        <v>3358</v>
      </c>
      <c r="C30" s="3266" t="s">
        <v>3023</v>
      </c>
      <c r="D30" s="3253">
        <f>SUM(D31:D33)</f>
        <v>44242.565999999999</v>
      </c>
      <c r="E30" s="3239">
        <f>ROUND(D30*10000/C7,2)</f>
        <v>2345.39</v>
      </c>
      <c r="F30" s="3249"/>
      <c r="G30" s="3190"/>
      <c r="H30" s="3190"/>
      <c r="I30" s="3190"/>
      <c r="J30" s="3190"/>
      <c r="K30" s="3190"/>
    </row>
    <row r="31" spans="1:11" ht="15">
      <c r="A31" s="3245">
        <v>1</v>
      </c>
      <c r="B31" s="3246" t="s">
        <v>3359</v>
      </c>
      <c r="C31" s="3246" t="s">
        <v>3360</v>
      </c>
      <c r="D31" s="3262">
        <f>1500*C8/10000</f>
        <v>19545.786</v>
      </c>
      <c r="E31" s="3267">
        <f>ROUND(D31*10000/C8,2)</f>
        <v>1500</v>
      </c>
      <c r="F31" s="3249"/>
      <c r="G31" s="3194"/>
      <c r="H31" s="3194"/>
      <c r="I31" s="3194"/>
      <c r="J31" s="3194"/>
      <c r="K31" s="3194"/>
    </row>
    <row r="32" spans="1:11" ht="15">
      <c r="A32" s="3245">
        <v>2</v>
      </c>
      <c r="B32" s="3246" t="s">
        <v>3361</v>
      </c>
      <c r="C32" s="3246" t="s">
        <v>3362</v>
      </c>
      <c r="D32" s="3189">
        <f>C9*2000/10000</f>
        <v>11666.255999999999</v>
      </c>
      <c r="E32" s="3267">
        <f>ROUND(D32*10000/C9,2)</f>
        <v>2000</v>
      </c>
      <c r="F32" s="3249"/>
      <c r="G32" s="3194"/>
      <c r="H32" s="3194"/>
      <c r="I32" s="3194"/>
      <c r="J32" s="3194"/>
      <c r="K32" s="3194"/>
    </row>
    <row r="33" spans="1:11" ht="15">
      <c r="A33" s="3245">
        <v>2</v>
      </c>
      <c r="B33" s="3246" t="s">
        <v>3363</v>
      </c>
      <c r="C33" s="3246" t="s">
        <v>3364</v>
      </c>
      <c r="D33" s="3189">
        <f>1000*C8/10000</f>
        <v>13030.523999999999</v>
      </c>
      <c r="E33" s="3267">
        <f>ROUND(D33*10000/C8,2)</f>
        <v>1000</v>
      </c>
      <c r="F33" s="3249"/>
      <c r="G33" s="3194"/>
      <c r="H33" s="3194"/>
      <c r="I33" s="3194"/>
      <c r="J33" s="3194"/>
      <c r="K33" s="3194"/>
    </row>
    <row r="34" spans="1:11" ht="15">
      <c r="A34" s="3250" t="s">
        <v>3365</v>
      </c>
      <c r="B34" s="3268" t="s">
        <v>3366</v>
      </c>
      <c r="C34" s="3269"/>
      <c r="D34" s="3270">
        <f>SUM(D35:D42)</f>
        <v>3161.5480752000003</v>
      </c>
      <c r="E34" s="3270">
        <f>ROUND(D34*10000/C7,2)</f>
        <v>167.6</v>
      </c>
      <c r="F34" s="3249"/>
      <c r="G34" s="3190"/>
      <c r="H34" s="3190"/>
      <c r="I34" s="3190"/>
      <c r="J34" s="3190"/>
      <c r="K34" s="3190"/>
    </row>
    <row r="35" spans="1:11" ht="15">
      <c r="A35" s="3245">
        <v>1</v>
      </c>
      <c r="B35" s="3271" t="s">
        <v>3367</v>
      </c>
      <c r="C35" s="3246" t="s">
        <v>3368</v>
      </c>
      <c r="D35" s="3272">
        <f>9*C7/10000</f>
        <v>169.77286800000002</v>
      </c>
      <c r="E35" s="3248">
        <f>ROUND(D35*10000/C7,2)</f>
        <v>9</v>
      </c>
      <c r="F35" s="3249"/>
      <c r="G35" s="3194"/>
      <c r="H35" s="3194"/>
      <c r="I35" s="3194"/>
      <c r="J35" s="3194"/>
      <c r="K35" s="3194"/>
    </row>
    <row r="36" spans="1:11" ht="15">
      <c r="A36" s="3245">
        <v>2</v>
      </c>
      <c r="B36" s="3271" t="s">
        <v>3369</v>
      </c>
      <c r="C36" s="3246" t="s">
        <v>3370</v>
      </c>
      <c r="D36" s="3272">
        <f>9.1*C7/10000</f>
        <v>171.65923320000002</v>
      </c>
      <c r="E36" s="3248">
        <f>ROUND(D36*10000/C7,2)</f>
        <v>9.1</v>
      </c>
      <c r="F36" s="3249"/>
      <c r="G36" s="3194"/>
      <c r="H36" s="3194"/>
      <c r="I36" s="3194"/>
      <c r="J36" s="3194"/>
      <c r="K36" s="3194"/>
    </row>
    <row r="37" spans="1:11" ht="15">
      <c r="A37" s="3245">
        <v>3</v>
      </c>
      <c r="B37" s="3271" t="s">
        <v>3371</v>
      </c>
      <c r="C37" s="3246" t="s">
        <v>3372</v>
      </c>
      <c r="D37" s="3272">
        <f>9.7*C7/10000</f>
        <v>182.97742439999999</v>
      </c>
      <c r="E37" s="3248">
        <f>ROUND(D37*10000/C7,2)</f>
        <v>9.6999999999999993</v>
      </c>
      <c r="F37" s="3249"/>
      <c r="G37" s="3194"/>
      <c r="H37" s="3194"/>
      <c r="I37" s="3194"/>
      <c r="J37" s="3194"/>
      <c r="K37" s="3194"/>
    </row>
    <row r="38" spans="1:11" ht="15">
      <c r="A38" s="3245">
        <v>4</v>
      </c>
      <c r="B38" s="3271" t="s">
        <v>3373</v>
      </c>
      <c r="C38" s="3246" t="s">
        <v>3374</v>
      </c>
      <c r="D38" s="3272">
        <f>50*C7/10000</f>
        <v>943.18259999999998</v>
      </c>
      <c r="E38" s="3248">
        <f>ROUND(D38*10000/C7,2)</f>
        <v>50</v>
      </c>
      <c r="F38" s="3249">
        <v>39.5</v>
      </c>
      <c r="G38" s="3194"/>
      <c r="H38" s="3194"/>
      <c r="I38" s="3194"/>
      <c r="J38" s="3194"/>
      <c r="K38" s="3194"/>
    </row>
    <row r="39" spans="1:11" ht="15">
      <c r="A39" s="3245">
        <v>5</v>
      </c>
      <c r="B39" s="3271" t="s">
        <v>3375</v>
      </c>
      <c r="C39" s="3246" t="s">
        <v>3376</v>
      </c>
      <c r="D39" s="3272">
        <f>30*C7/10000</f>
        <v>565.90956000000006</v>
      </c>
      <c r="E39" s="3248">
        <f>ROUND(D39*10000/C7,2)</f>
        <v>30</v>
      </c>
      <c r="F39" s="3249"/>
      <c r="G39" s="3194"/>
      <c r="H39" s="3194"/>
      <c r="I39" s="3194"/>
      <c r="J39" s="3194"/>
      <c r="K39" s="3194"/>
    </row>
    <row r="40" spans="1:11" ht="15">
      <c r="A40" s="3273" t="s">
        <v>3377</v>
      </c>
      <c r="B40" s="3274" t="s">
        <v>3378</v>
      </c>
      <c r="C40" s="3275" t="s">
        <v>3379</v>
      </c>
      <c r="D40" s="3276">
        <v>0</v>
      </c>
      <c r="E40" s="3248">
        <f>ROUND(D40*10000/C8,2)</f>
        <v>0</v>
      </c>
      <c r="F40" s="3249"/>
    </row>
    <row r="41" spans="1:11" ht="15">
      <c r="A41" s="3277">
        <v>6</v>
      </c>
      <c r="B41" s="3271" t="s">
        <v>3380</v>
      </c>
      <c r="C41" s="3278" t="s">
        <v>3381</v>
      </c>
      <c r="D41" s="3272">
        <f>9.8*C7/10000</f>
        <v>184.86378960000005</v>
      </c>
      <c r="E41" s="3248">
        <f>ROUND(D41*10000/C7,2)</f>
        <v>9.8000000000000007</v>
      </c>
      <c r="F41" s="3249"/>
    </row>
    <row r="42" spans="1:11" ht="15">
      <c r="A42" s="3277">
        <v>7</v>
      </c>
      <c r="B42" s="3271" t="s">
        <v>3382</v>
      </c>
      <c r="C42" s="3246" t="s">
        <v>3383</v>
      </c>
      <c r="D42" s="3272">
        <f>50*C7/10000</f>
        <v>943.18259999999998</v>
      </c>
      <c r="E42" s="3248">
        <f>ROUND(D42*10000/C7,2)</f>
        <v>50</v>
      </c>
      <c r="F42" s="3249"/>
    </row>
    <row r="43" spans="1:11" ht="15">
      <c r="A43" s="3279" t="s">
        <v>3384</v>
      </c>
      <c r="B43" s="3265" t="s">
        <v>3385</v>
      </c>
      <c r="C43" s="3280" t="s">
        <v>3386</v>
      </c>
      <c r="D43" s="3276">
        <f>'[1]@销售收入估算'!E10*1%</f>
        <v>1371.1022</v>
      </c>
      <c r="E43" s="3281">
        <f>ROUND(D43*10000/C7,2)</f>
        <v>72.680000000000007</v>
      </c>
      <c r="F43" s="3249"/>
    </row>
    <row r="44" spans="1:11" ht="15">
      <c r="A44" s="3279" t="s">
        <v>3387</v>
      </c>
      <c r="B44" s="3265" t="s">
        <v>3388</v>
      </c>
      <c r="C44" s="3280" t="s">
        <v>3386</v>
      </c>
      <c r="D44" s="3276">
        <f>D43</f>
        <v>1371.1022</v>
      </c>
      <c r="E44" s="3281">
        <f>ROUND(D44*10000/C7,2)</f>
        <v>72.680000000000007</v>
      </c>
      <c r="F44" s="3249"/>
    </row>
    <row r="45" spans="1:11" ht="24">
      <c r="A45" s="3279" t="s">
        <v>3389</v>
      </c>
      <c r="B45" s="3265" t="s">
        <v>3390</v>
      </c>
      <c r="C45" s="3280" t="s">
        <v>3391</v>
      </c>
      <c r="D45" s="3276">
        <f>'[1]@资金来源占比表'!C4*6%*2</f>
        <v>7200</v>
      </c>
      <c r="E45" s="3281">
        <f>ROUND(D45*10000/C7,2)</f>
        <v>381.69</v>
      </c>
      <c r="F45" s="3249"/>
    </row>
    <row r="46" spans="1:11" ht="15">
      <c r="A46" s="3282" t="s">
        <v>3392</v>
      </c>
      <c r="B46" s="3283" t="s">
        <v>3393</v>
      </c>
      <c r="C46" s="3284" t="s">
        <v>3394</v>
      </c>
      <c r="D46" s="3285">
        <f>E47*2%</f>
        <v>2138.2200168239997</v>
      </c>
      <c r="E46" s="3286">
        <f>D46/C7*10000</f>
        <v>113.35132861992999</v>
      </c>
      <c r="F46" s="3249"/>
    </row>
    <row r="47" spans="1:11" ht="15.75">
      <c r="A47" s="3287" t="s">
        <v>3395</v>
      </c>
      <c r="B47" s="3288"/>
      <c r="C47" s="3289"/>
      <c r="D47" s="3290"/>
      <c r="E47" s="3291">
        <f>SUM(D12,D15,D19,D30,D34,D43,D44,D45)</f>
        <v>106911.00084119999</v>
      </c>
      <c r="F47" s="3292"/>
    </row>
    <row r="48" spans="1:11" ht="18.75">
      <c r="A48" s="3293">
        <v>1</v>
      </c>
      <c r="B48" s="3444" t="s">
        <v>3396</v>
      </c>
      <c r="C48" s="3444"/>
      <c r="D48" s="3444"/>
      <c r="E48" s="3444"/>
      <c r="F48" s="3294"/>
    </row>
    <row r="49" spans="1:6" ht="15">
      <c r="A49" s="3295">
        <v>2</v>
      </c>
      <c r="B49" s="3444" t="s">
        <v>3397</v>
      </c>
      <c r="C49" s="3444"/>
      <c r="D49" s="3296"/>
      <c r="E49" s="3294"/>
      <c r="F49" s="3294"/>
    </row>
    <row r="50" spans="1:6" ht="15">
      <c r="A50" s="3295">
        <v>3</v>
      </c>
      <c r="B50" s="3444" t="s">
        <v>3398</v>
      </c>
      <c r="C50" s="3445"/>
      <c r="D50" s="3445"/>
      <c r="E50" s="3445"/>
      <c r="F50" s="3297"/>
    </row>
    <row r="51" spans="1:6" ht="15">
      <c r="A51" s="3295">
        <v>4</v>
      </c>
      <c r="B51" s="3444" t="s">
        <v>3399</v>
      </c>
      <c r="C51" s="3444"/>
      <c r="D51" s="3444"/>
      <c r="E51" s="3444"/>
      <c r="F51" s="3298"/>
    </row>
    <row r="52" spans="1:6">
      <c r="A52" s="3299"/>
      <c r="B52" s="3299"/>
      <c r="C52" s="3299"/>
      <c r="D52" s="3300"/>
      <c r="E52" s="3194"/>
      <c r="F52" s="3301"/>
    </row>
    <row r="53" spans="1:6">
      <c r="A53" s="3299"/>
      <c r="B53" s="3299"/>
      <c r="C53" s="3299"/>
      <c r="D53" s="3300"/>
      <c r="E53" s="3301"/>
      <c r="F53" s="3301"/>
    </row>
    <row r="54" spans="1:6">
      <c r="A54" s="3299"/>
      <c r="B54" s="3299"/>
      <c r="C54" s="3299"/>
      <c r="D54" s="3300"/>
      <c r="E54" s="3194"/>
      <c r="F54" s="3301"/>
    </row>
    <row r="55" spans="1:6">
      <c r="A55" s="3299"/>
      <c r="B55" s="3299"/>
      <c r="C55" s="3299"/>
      <c r="D55" s="3302"/>
      <c r="E55" s="3303"/>
      <c r="F55" s="3303"/>
    </row>
    <row r="56" spans="1:6">
      <c r="A56" s="3299"/>
      <c r="B56" s="3299"/>
      <c r="C56" s="3299"/>
      <c r="D56" s="3300"/>
      <c r="E56" s="3194"/>
      <c r="F56" s="3194"/>
    </row>
    <row r="57" spans="1:6">
      <c r="A57" s="3299"/>
      <c r="B57" s="3299"/>
      <c r="C57" s="3299"/>
      <c r="D57" s="3300"/>
      <c r="E57" s="3194"/>
      <c r="F57" s="3301"/>
    </row>
    <row r="58" spans="1:6">
      <c r="A58" s="3299"/>
      <c r="B58" s="3299"/>
      <c r="C58" s="3299"/>
      <c r="D58" s="3300"/>
      <c r="E58" s="3301"/>
      <c r="F58" s="3301"/>
    </row>
    <row r="59" spans="1:6">
      <c r="A59" s="3299"/>
      <c r="B59" s="3299"/>
      <c r="C59" s="3299"/>
      <c r="D59" s="3300"/>
      <c r="E59" s="3194"/>
      <c r="F59" s="3301"/>
    </row>
    <row r="60" spans="1:6">
      <c r="A60" s="3299"/>
      <c r="B60" s="3299"/>
      <c r="C60" s="3299"/>
      <c r="D60" s="3302"/>
      <c r="E60" s="3303"/>
      <c r="F60" s="3303"/>
    </row>
    <row r="61" spans="1:6">
      <c r="A61" s="3299"/>
      <c r="B61" s="3299"/>
      <c r="C61" s="3299"/>
      <c r="D61" s="3300"/>
      <c r="E61" s="3194"/>
      <c r="F61" s="3194"/>
    </row>
    <row r="62" spans="1:6">
      <c r="A62" s="3299"/>
      <c r="B62" s="3299"/>
      <c r="C62" s="3299"/>
      <c r="D62" s="3300"/>
      <c r="E62" s="3194"/>
      <c r="F62" s="3301"/>
    </row>
    <row r="63" spans="1:6">
      <c r="A63" s="3299"/>
      <c r="B63" s="3299"/>
      <c r="C63" s="3299"/>
      <c r="D63" s="3300"/>
      <c r="E63" s="3301"/>
      <c r="F63" s="3301"/>
    </row>
    <row r="64" spans="1:6">
      <c r="A64" s="3299"/>
      <c r="B64" s="3299"/>
      <c r="C64" s="3299"/>
      <c r="D64" s="3300"/>
      <c r="E64" s="3194"/>
      <c r="F64" s="3301"/>
    </row>
    <row r="65" spans="1:6">
      <c r="A65" s="3299"/>
      <c r="B65" s="3299"/>
      <c r="C65" s="3299"/>
      <c r="D65" s="3302"/>
      <c r="E65" s="3303"/>
      <c r="F65" s="3303"/>
    </row>
    <row r="66" spans="1:6">
      <c r="A66" s="3299"/>
      <c r="B66" s="3299"/>
      <c r="C66" s="3299"/>
      <c r="D66" s="3300"/>
      <c r="E66" s="3194"/>
      <c r="F66" s="3194"/>
    </row>
    <row r="67" spans="1:6">
      <c r="A67" s="3299"/>
      <c r="B67" s="3299"/>
      <c r="C67" s="3299"/>
      <c r="D67" s="3300"/>
      <c r="E67" s="3194"/>
      <c r="F67" s="3301"/>
    </row>
    <row r="68" spans="1:6">
      <c r="A68" s="3299"/>
      <c r="B68" s="3299"/>
      <c r="C68" s="3299"/>
      <c r="D68" s="3300"/>
      <c r="E68" s="3301"/>
      <c r="F68" s="3301"/>
    </row>
    <row r="69" spans="1:6">
      <c r="A69" s="3299"/>
      <c r="B69" s="3299"/>
      <c r="C69" s="3299"/>
      <c r="D69" s="3300"/>
      <c r="E69" s="3194"/>
      <c r="F69" s="3301"/>
    </row>
    <row r="70" spans="1:6">
      <c r="A70" s="3299"/>
      <c r="B70" s="3299"/>
      <c r="C70" s="3299"/>
      <c r="D70" s="3302"/>
      <c r="E70" s="3303"/>
      <c r="F70" s="3303"/>
    </row>
    <row r="71" spans="1:6">
      <c r="A71" s="3299"/>
      <c r="B71" s="3299"/>
      <c r="C71" s="3299"/>
      <c r="D71" s="3300"/>
      <c r="E71" s="3194"/>
      <c r="F71" s="3194"/>
    </row>
    <row r="72" spans="1:6">
      <c r="A72" s="3299"/>
      <c r="B72" s="3299"/>
      <c r="C72" s="3299"/>
      <c r="D72" s="3300"/>
      <c r="E72" s="3194"/>
      <c r="F72" s="3301"/>
    </row>
    <row r="73" spans="1:6">
      <c r="A73" s="3299"/>
      <c r="B73" s="3299"/>
      <c r="C73" s="3299"/>
      <c r="D73" s="3300"/>
      <c r="E73" s="3301"/>
      <c r="F73" s="3301"/>
    </row>
    <row r="74" spans="1:6">
      <c r="A74" s="3299"/>
      <c r="B74" s="3299"/>
      <c r="C74" s="3299"/>
      <c r="D74" s="3300"/>
      <c r="E74" s="3194"/>
      <c r="F74" s="3301"/>
    </row>
    <row r="75" spans="1:6">
      <c r="A75" s="3299"/>
      <c r="B75" s="3299"/>
      <c r="C75" s="3299"/>
      <c r="D75" s="3302"/>
      <c r="E75" s="3303"/>
      <c r="F75" s="3303"/>
    </row>
    <row r="76" spans="1:6">
      <c r="A76" s="3299"/>
      <c r="B76" s="3299"/>
      <c r="C76" s="3299"/>
      <c r="D76" s="3300"/>
      <c r="E76" s="3194"/>
      <c r="F76" s="3194"/>
    </row>
    <row r="77" spans="1:6">
      <c r="A77" s="3299"/>
      <c r="B77" s="3299"/>
      <c r="C77" s="3299"/>
      <c r="D77" s="3300"/>
      <c r="E77" s="3194"/>
      <c r="F77" s="3301"/>
    </row>
    <row r="78" spans="1:6">
      <c r="A78" s="3299"/>
      <c r="B78" s="3299"/>
      <c r="C78" s="3299"/>
      <c r="D78" s="3300"/>
      <c r="E78" s="3301"/>
      <c r="F78" s="3301"/>
    </row>
    <row r="79" spans="1:6">
      <c r="A79" s="3299"/>
      <c r="B79" s="3299"/>
      <c r="C79" s="3299"/>
      <c r="D79" s="3300"/>
      <c r="E79" s="3194"/>
      <c r="F79" s="3301"/>
    </row>
    <row r="80" spans="1:6">
      <c r="A80" s="3299"/>
      <c r="B80" s="3299"/>
      <c r="C80" s="3299"/>
      <c r="D80" s="3302"/>
      <c r="E80" s="3303"/>
      <c r="F80" s="3303"/>
    </row>
    <row r="81" spans="1:6">
      <c r="A81" s="3299"/>
      <c r="B81" s="3299"/>
      <c r="C81" s="3299"/>
      <c r="D81" s="3300"/>
      <c r="E81" s="3194"/>
      <c r="F81" s="3194"/>
    </row>
    <row r="82" spans="1:6">
      <c r="A82" s="3299"/>
      <c r="B82" s="3299"/>
      <c r="C82" s="3299"/>
      <c r="D82" s="3300"/>
      <c r="E82" s="3194"/>
      <c r="F82" s="3301"/>
    </row>
    <row r="83" spans="1:6">
      <c r="A83" s="3299"/>
      <c r="B83" s="3299"/>
      <c r="C83" s="3299"/>
      <c r="D83" s="3300"/>
      <c r="E83" s="3301"/>
      <c r="F83" s="3301"/>
    </row>
    <row r="84" spans="1:6">
      <c r="A84" s="3299"/>
      <c r="B84" s="3299"/>
      <c r="C84" s="3299"/>
      <c r="D84" s="3300"/>
      <c r="E84" s="3194"/>
      <c r="F84" s="3301"/>
    </row>
    <row r="85" spans="1:6">
      <c r="A85" s="3299"/>
      <c r="B85" s="3299"/>
      <c r="C85" s="3299"/>
      <c r="D85" s="3302"/>
      <c r="E85" s="3303"/>
      <c r="F85" s="3303"/>
    </row>
    <row r="86" spans="1:6">
      <c r="A86" s="3299"/>
      <c r="B86" s="3299"/>
      <c r="C86" s="3299"/>
      <c r="D86" s="3300"/>
      <c r="E86" s="3194"/>
      <c r="F86" s="3194"/>
    </row>
    <row r="87" spans="1:6">
      <c r="A87" s="3194"/>
      <c r="B87" s="3194"/>
      <c r="C87" s="3194"/>
      <c r="D87" s="3296"/>
      <c r="E87" s="3194"/>
      <c r="F87" s="3194"/>
    </row>
    <row r="88" spans="1:6">
      <c r="A88" s="3194"/>
      <c r="B88" s="3194"/>
      <c r="C88" s="3194"/>
      <c r="D88" s="3296"/>
      <c r="E88" s="3194"/>
      <c r="F88" s="3194"/>
    </row>
    <row r="89" spans="1:6">
      <c r="A89" s="3194"/>
      <c r="B89" s="3194"/>
      <c r="C89" s="3194"/>
      <c r="D89" s="3296"/>
      <c r="E89" s="3194"/>
      <c r="F89" s="3194"/>
    </row>
    <row r="90" spans="1:6">
      <c r="A90" s="3194"/>
      <c r="B90" s="3194"/>
      <c r="C90" s="3194"/>
      <c r="D90" s="3296"/>
      <c r="E90" s="3194"/>
      <c r="F90" s="3194"/>
    </row>
    <row r="91" spans="1:6">
      <c r="A91" s="3194"/>
      <c r="B91" s="3194"/>
      <c r="C91" s="3194"/>
      <c r="D91" s="3296"/>
      <c r="E91" s="3194"/>
      <c r="F91" s="3194"/>
    </row>
    <row r="92" spans="1:6">
      <c r="A92" s="3194"/>
      <c r="B92" s="3194"/>
      <c r="C92" s="3194"/>
      <c r="D92" s="3296"/>
      <c r="E92" s="3194"/>
      <c r="F92" s="3194"/>
    </row>
    <row r="93" spans="1:6">
      <c r="A93" s="3194"/>
      <c r="B93" s="3194"/>
      <c r="C93" s="3194"/>
      <c r="D93" s="3296"/>
      <c r="E93" s="3194"/>
      <c r="F93" s="3194"/>
    </row>
    <row r="94" spans="1:6">
      <c r="A94" s="3194"/>
      <c r="B94" s="3194"/>
      <c r="C94" s="3194"/>
      <c r="D94" s="3296"/>
      <c r="E94" s="3194"/>
      <c r="F94" s="3194"/>
    </row>
    <row r="95" spans="1:6">
      <c r="A95" s="3194"/>
      <c r="B95" s="3194"/>
      <c r="C95" s="3194"/>
      <c r="D95" s="3296"/>
      <c r="E95" s="3194"/>
      <c r="F95" s="3194"/>
    </row>
    <row r="96" spans="1:6">
      <c r="A96" s="3194"/>
      <c r="B96" s="3194"/>
      <c r="C96" s="3194"/>
      <c r="D96" s="3296"/>
      <c r="E96" s="3194"/>
      <c r="F96" s="3194"/>
    </row>
    <row r="97" spans="1:6">
      <c r="A97" s="3194"/>
      <c r="B97" s="3194"/>
      <c r="C97" s="3194"/>
      <c r="D97" s="3296"/>
      <c r="E97" s="3194"/>
      <c r="F97" s="3194"/>
    </row>
    <row r="98" spans="1:6">
      <c r="A98" s="3194"/>
      <c r="B98" s="3194"/>
      <c r="C98" s="3194"/>
      <c r="D98" s="3296"/>
      <c r="E98" s="3194"/>
      <c r="F98" s="3194"/>
    </row>
    <row r="99" spans="1:6">
      <c r="A99" s="3194"/>
      <c r="B99" s="3194"/>
      <c r="C99" s="3194"/>
      <c r="D99" s="3296"/>
      <c r="E99" s="3194"/>
      <c r="F99" s="3194"/>
    </row>
    <row r="100" spans="1:6">
      <c r="A100" s="3194"/>
      <c r="B100" s="3194"/>
      <c r="C100" s="3194"/>
      <c r="D100" s="3296"/>
      <c r="E100" s="3194"/>
      <c r="F100" s="3194"/>
    </row>
    <row r="101" spans="1:6">
      <c r="A101" s="3194"/>
      <c r="B101" s="3194"/>
      <c r="C101" s="3194"/>
      <c r="D101" s="3296"/>
      <c r="E101" s="3194"/>
      <c r="F101" s="3194"/>
    </row>
    <row r="102" spans="1:6">
      <c r="A102" s="3194"/>
      <c r="B102" s="3194"/>
      <c r="C102" s="3194"/>
      <c r="D102" s="3296"/>
      <c r="E102" s="3194"/>
      <c r="F102" s="3194"/>
    </row>
    <row r="103" spans="1:6">
      <c r="A103" s="3194"/>
      <c r="B103" s="3194"/>
      <c r="C103" s="3194"/>
      <c r="D103" s="3296"/>
      <c r="E103" s="3194"/>
      <c r="F103" s="3194"/>
    </row>
    <row r="104" spans="1:6">
      <c r="A104" s="3194"/>
      <c r="B104" s="3194"/>
      <c r="C104" s="3194"/>
      <c r="D104" s="3296"/>
      <c r="E104" s="3194"/>
      <c r="F104" s="3194"/>
    </row>
    <row r="105" spans="1:6">
      <c r="A105" s="3194"/>
      <c r="B105" s="3194"/>
      <c r="C105" s="3194"/>
      <c r="D105" s="3296"/>
      <c r="E105" s="3194"/>
      <c r="F105" s="3194"/>
    </row>
    <row r="106" spans="1:6">
      <c r="A106" s="3194"/>
      <c r="B106" s="3194"/>
      <c r="C106" s="3194"/>
      <c r="D106" s="3296"/>
      <c r="E106" s="3194"/>
      <c r="F106" s="3194"/>
    </row>
    <row r="107" spans="1:6">
      <c r="A107" s="3194"/>
      <c r="B107" s="3194"/>
      <c r="C107" s="3194"/>
      <c r="D107" s="3296"/>
      <c r="E107" s="3194"/>
      <c r="F107" s="3194"/>
    </row>
    <row r="108" spans="1:6">
      <c r="A108" s="3194"/>
      <c r="B108" s="3194"/>
      <c r="C108" s="3194"/>
      <c r="D108" s="3296"/>
      <c r="E108" s="3194"/>
      <c r="F108" s="3194"/>
    </row>
    <row r="125" spans="1:6">
      <c r="A125" s="3195"/>
      <c r="B125" s="3195"/>
      <c r="C125" s="3195"/>
      <c r="D125" s="3304"/>
      <c r="E125" s="3196"/>
      <c r="F125" s="3195"/>
    </row>
    <row r="126" spans="1:6">
      <c r="A126" s="3195"/>
      <c r="B126" s="3195"/>
      <c r="C126" s="3195"/>
      <c r="D126" s="3304"/>
      <c r="E126" s="3196"/>
      <c r="F126" s="3195"/>
    </row>
    <row r="127" spans="1:6">
      <c r="A127" s="3195"/>
      <c r="B127" s="3195"/>
      <c r="C127" s="3195"/>
      <c r="D127" s="3304"/>
      <c r="E127" s="3196"/>
      <c r="F127" s="3195"/>
    </row>
    <row r="128" spans="1:6">
      <c r="A128" s="3195"/>
      <c r="B128" s="3195"/>
      <c r="C128" s="3195"/>
      <c r="D128" s="3304"/>
      <c r="E128" s="3196"/>
      <c r="F128" s="3195"/>
    </row>
    <row r="129" spans="1:6">
      <c r="A129" s="3195"/>
      <c r="B129" s="3195"/>
      <c r="C129" s="3195"/>
      <c r="D129" s="3304"/>
      <c r="E129" s="3196"/>
      <c r="F129" s="3195"/>
    </row>
    <row r="130" spans="1:6">
      <c r="A130" s="3195"/>
      <c r="B130" s="3195"/>
      <c r="C130" s="3195"/>
      <c r="D130" s="3304"/>
      <c r="E130" s="3196"/>
      <c r="F130" s="3195"/>
    </row>
    <row r="131" spans="1:6">
      <c r="A131" s="3195"/>
      <c r="B131" s="3195"/>
      <c r="C131" s="3195"/>
      <c r="D131" s="3304"/>
      <c r="E131" s="3196"/>
      <c r="F131" s="3195"/>
    </row>
    <row r="133" spans="1:6">
      <c r="A133" s="3195"/>
      <c r="B133" s="3195"/>
      <c r="C133" s="3195"/>
      <c r="D133" s="3305"/>
      <c r="E133" s="3197"/>
      <c r="F133" s="3195"/>
    </row>
    <row r="134" spans="1:6">
      <c r="A134" s="3195"/>
      <c r="B134" s="3195"/>
      <c r="C134" s="3195"/>
      <c r="D134" s="3305"/>
      <c r="E134" s="3197"/>
      <c r="F134" s="3195"/>
    </row>
    <row r="135" spans="1:6">
      <c r="A135" s="3195"/>
      <c r="B135" s="3195"/>
      <c r="C135" s="3195"/>
      <c r="D135" s="3305"/>
      <c r="E135" s="3197"/>
      <c r="F135" s="3195"/>
    </row>
    <row r="136" spans="1:6">
      <c r="A136" s="3195"/>
      <c r="B136" s="3195"/>
      <c r="C136" s="3195"/>
      <c r="D136" s="3305"/>
      <c r="E136" s="3197"/>
      <c r="F136" s="3195"/>
    </row>
    <row r="137" spans="1:6">
      <c r="A137" s="3195"/>
      <c r="B137" s="3195"/>
      <c r="C137" s="3195"/>
      <c r="D137" s="3305"/>
      <c r="E137" s="3197"/>
      <c r="F137" s="3195"/>
    </row>
    <row r="138" spans="1:6">
      <c r="A138" s="3195"/>
      <c r="B138" s="3195"/>
      <c r="C138" s="3195"/>
      <c r="D138" s="3305"/>
      <c r="E138" s="3197"/>
      <c r="F138" s="3195"/>
    </row>
    <row r="139" spans="1:6">
      <c r="A139" s="3195"/>
      <c r="B139" s="3195"/>
      <c r="C139" s="3195"/>
      <c r="D139" s="3305"/>
      <c r="E139" s="3197"/>
      <c r="F139" s="3195"/>
    </row>
    <row r="140" spans="1:6">
      <c r="A140" s="3195"/>
      <c r="B140" s="3195"/>
      <c r="C140" s="3195"/>
      <c r="D140" s="3305"/>
      <c r="E140" s="3197"/>
      <c r="F140" s="3195"/>
    </row>
    <row r="141" spans="1:6">
      <c r="A141" s="3195"/>
      <c r="B141" s="3195"/>
      <c r="C141" s="3195"/>
      <c r="D141" s="3305"/>
      <c r="E141" s="3197"/>
      <c r="F141" s="3195"/>
    </row>
    <row r="142" spans="1:6">
      <c r="A142" s="3195"/>
      <c r="B142" s="3195"/>
      <c r="C142" s="3195"/>
      <c r="D142" s="3305"/>
      <c r="E142" s="3197"/>
      <c r="F142" s="3195"/>
    </row>
    <row r="143" spans="1:6">
      <c r="A143" s="3195"/>
      <c r="B143" s="3195"/>
      <c r="C143" s="3195"/>
      <c r="D143" s="3305"/>
      <c r="E143" s="3197"/>
      <c r="F143" s="3195"/>
    </row>
    <row r="144" spans="1:6">
      <c r="A144" s="3195"/>
      <c r="B144" s="3195"/>
      <c r="C144" s="3195"/>
      <c r="D144" s="3305"/>
      <c r="E144" s="3197"/>
      <c r="F144" s="3195"/>
    </row>
    <row r="145" spans="1:6">
      <c r="A145" s="3195"/>
      <c r="B145" s="3195"/>
      <c r="C145" s="3195"/>
      <c r="D145" s="3305"/>
      <c r="E145" s="3197"/>
      <c r="F145" s="3195"/>
    </row>
    <row r="146" spans="1:6">
      <c r="A146" s="3195"/>
      <c r="B146" s="3195"/>
      <c r="C146" s="3195"/>
      <c r="D146" s="3305"/>
      <c r="E146" s="3197"/>
      <c r="F146" s="3195"/>
    </row>
    <row r="147" spans="1:6">
      <c r="A147" s="3195"/>
      <c r="B147" s="3195"/>
      <c r="C147" s="3195"/>
      <c r="D147" s="3305"/>
      <c r="E147" s="3197"/>
      <c r="F147" s="3195"/>
    </row>
    <row r="148" spans="1:6">
      <c r="A148" s="3195"/>
      <c r="B148" s="3195"/>
      <c r="C148" s="3195"/>
      <c r="D148" s="3305"/>
      <c r="E148" s="3197"/>
      <c r="F148" s="3195"/>
    </row>
    <row r="149" spans="1:6">
      <c r="A149" s="3195"/>
      <c r="B149" s="3195"/>
      <c r="C149" s="3195"/>
      <c r="D149" s="3305"/>
      <c r="E149" s="3197"/>
      <c r="F149" s="3195"/>
    </row>
    <row r="150" spans="1:6">
      <c r="A150" s="3195"/>
      <c r="B150" s="3195"/>
      <c r="C150" s="3195"/>
      <c r="D150" s="3305"/>
      <c r="E150" s="3197"/>
      <c r="F150" s="3195"/>
    </row>
    <row r="151" spans="1:6">
      <c r="A151" s="3195"/>
      <c r="B151" s="3195"/>
      <c r="C151" s="3195"/>
      <c r="D151" s="3305"/>
      <c r="E151" s="3197"/>
      <c r="F151" s="3195"/>
    </row>
    <row r="152" spans="1:6">
      <c r="A152" s="3195"/>
      <c r="B152" s="3195"/>
      <c r="C152" s="3195"/>
      <c r="D152" s="3305"/>
      <c r="E152" s="3197"/>
      <c r="F152" s="3195"/>
    </row>
    <row r="153" spans="1:6">
      <c r="A153" s="3195"/>
      <c r="B153" s="3195"/>
      <c r="C153" s="3195"/>
      <c r="D153" s="3305"/>
      <c r="E153" s="3197"/>
      <c r="F153" s="3195"/>
    </row>
    <row r="154" spans="1:6">
      <c r="A154" s="3195"/>
      <c r="B154" s="3195"/>
      <c r="C154" s="3195"/>
      <c r="D154" s="3305"/>
      <c r="E154" s="3197"/>
      <c r="F154" s="3195"/>
    </row>
    <row r="155" spans="1:6">
      <c r="A155" s="3195"/>
      <c r="B155" s="3195"/>
      <c r="C155" s="3195"/>
      <c r="D155" s="3305"/>
      <c r="E155" s="3197"/>
      <c r="F155" s="3195"/>
    </row>
    <row r="156" spans="1:6">
      <c r="A156" s="3195"/>
      <c r="B156" s="3195"/>
      <c r="C156" s="3195"/>
      <c r="D156" s="3305"/>
      <c r="E156" s="3197"/>
      <c r="F156" s="3195"/>
    </row>
    <row r="157" spans="1:6">
      <c r="A157" s="3195"/>
      <c r="B157" s="3195"/>
      <c r="C157" s="3195"/>
      <c r="D157" s="3305"/>
      <c r="E157" s="3197"/>
      <c r="F157" s="3195"/>
    </row>
    <row r="158" spans="1:6">
      <c r="A158" s="3195"/>
      <c r="B158" s="3195"/>
      <c r="C158" s="3195"/>
      <c r="D158" s="3305"/>
      <c r="E158" s="3197"/>
      <c r="F158" s="3195"/>
    </row>
    <row r="159" spans="1:6">
      <c r="A159" s="3195"/>
      <c r="B159" s="3195"/>
      <c r="C159" s="3195"/>
      <c r="D159" s="3305"/>
      <c r="E159" s="3197"/>
      <c r="F159" s="3195"/>
    </row>
    <row r="160" spans="1:6">
      <c r="A160" s="3195"/>
      <c r="B160" s="3195"/>
      <c r="C160" s="3195"/>
      <c r="D160" s="3305"/>
      <c r="E160" s="3197"/>
      <c r="F160" s="3195"/>
    </row>
    <row r="161" spans="1:6">
      <c r="A161" s="3195"/>
      <c r="B161" s="3195"/>
      <c r="C161" s="3195"/>
      <c r="D161" s="3305"/>
      <c r="E161" s="3197"/>
      <c r="F161" s="3195"/>
    </row>
    <row r="162" spans="1:6">
      <c r="A162" s="3195"/>
      <c r="B162" s="3195"/>
      <c r="C162" s="3195"/>
      <c r="D162" s="3305"/>
      <c r="E162" s="3197"/>
      <c r="F162" s="3195"/>
    </row>
    <row r="163" spans="1:6">
      <c r="A163" s="3195"/>
      <c r="B163" s="3195"/>
      <c r="C163" s="3195"/>
      <c r="D163" s="3305"/>
      <c r="E163" s="3197"/>
      <c r="F163" s="3195"/>
    </row>
    <row r="164" spans="1:6">
      <c r="A164" s="3195"/>
      <c r="B164" s="3195"/>
      <c r="C164" s="3195"/>
      <c r="D164" s="3305"/>
      <c r="E164" s="3197"/>
      <c r="F164" s="3195"/>
    </row>
    <row r="165" spans="1:6">
      <c r="A165" s="3195"/>
      <c r="B165" s="3195"/>
      <c r="C165" s="3195"/>
      <c r="D165" s="3305"/>
      <c r="E165" s="3197"/>
      <c r="F165" s="3195"/>
    </row>
    <row r="166" spans="1:6">
      <c r="A166" s="3195"/>
      <c r="B166" s="3195"/>
      <c r="C166" s="3195"/>
      <c r="D166" s="3305"/>
      <c r="E166" s="3197"/>
      <c r="F166" s="3195"/>
    </row>
  </sheetData>
  <mergeCells count="12">
    <mergeCell ref="B48:E48"/>
    <mergeCell ref="B49:C49"/>
    <mergeCell ref="B50:E50"/>
    <mergeCell ref="B51:E51"/>
    <mergeCell ref="A1:E1"/>
    <mergeCell ref="A2:B2"/>
    <mergeCell ref="C2:E2"/>
    <mergeCell ref="A3:A5"/>
    <mergeCell ref="B3:B5"/>
    <mergeCell ref="C3:C5"/>
    <mergeCell ref="D3:D4"/>
    <mergeCell ref="E3:E4"/>
  </mergeCells>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2055</v>
      </c>
      <c r="B1" s="1760"/>
      <c r="C1" s="1788" t="s">
        <v>2056</v>
      </c>
      <c r="D1" s="1789" t="s">
        <v>3078</v>
      </c>
      <c r="E1" s="1788" t="s">
        <v>2057</v>
      </c>
      <c r="F1" s="1790" t="s">
        <v>3079</v>
      </c>
      <c r="G1" s="310"/>
      <c r="H1" s="310"/>
      <c r="I1" s="310"/>
      <c r="J1" s="2012"/>
      <c r="K1" s="2012"/>
      <c r="L1" s="2012"/>
      <c r="M1" s="2012"/>
      <c r="N1" s="2012"/>
      <c r="O1" s="2012"/>
      <c r="P1" s="2012"/>
      <c r="Q1" s="2012"/>
      <c r="R1" s="2012"/>
      <c r="S1" s="2012"/>
      <c r="T1" s="2012"/>
      <c r="U1" s="2012"/>
      <c r="V1" s="2012"/>
    </row>
    <row r="2" spans="1:22" ht="21.75" customHeight="1" thickBot="1">
      <c r="A2" s="3498" t="str">
        <f>项目基本情况!K2</f>
        <v>天津市滨海高新区滨海科技园（宗地编号：津滨高（挂）2019-1号）一宗城镇住宅、商服用地出让国有建设用地使用权</v>
      </c>
      <c r="B2" s="3499"/>
      <c r="C2" s="3500"/>
      <c r="D2" s="3500"/>
      <c r="E2" s="3500"/>
      <c r="F2" s="3500"/>
      <c r="G2" s="3499"/>
      <c r="H2" s="3499"/>
      <c r="I2" s="3501"/>
      <c r="J2" s="2013"/>
      <c r="K2" s="2012"/>
      <c r="L2" s="2012"/>
      <c r="M2" s="2012"/>
      <c r="N2" s="2012"/>
      <c r="O2" s="2012"/>
      <c r="P2" s="2012"/>
      <c r="Q2" s="2012"/>
      <c r="R2" s="2012"/>
      <c r="S2" s="2012"/>
      <c r="T2" s="2012"/>
      <c r="U2" s="2012"/>
      <c r="V2" s="2012"/>
    </row>
    <row r="3" spans="1:22" ht="14.25">
      <c r="A3" s="3491" t="s">
        <v>298</v>
      </c>
      <c r="B3" s="3492"/>
      <c r="C3" s="3492"/>
      <c r="D3" s="3492"/>
      <c r="E3" s="3492"/>
      <c r="F3" s="3492"/>
      <c r="G3" s="3492"/>
      <c r="H3" s="3492"/>
      <c r="I3" s="3492"/>
      <c r="J3" s="2013"/>
      <c r="K3" s="2012"/>
      <c r="L3" s="2012"/>
      <c r="M3" s="2012"/>
      <c r="N3" s="2012"/>
      <c r="O3" s="2012"/>
      <c r="P3" s="2012"/>
      <c r="Q3" s="2012"/>
      <c r="R3" s="2012"/>
      <c r="S3" s="2012"/>
      <c r="T3" s="2012"/>
      <c r="U3" s="2012"/>
      <c r="V3" s="2012"/>
    </row>
    <row r="4" spans="1:22" ht="14.25">
      <c r="A4" s="257" t="s">
        <v>299</v>
      </c>
      <c r="B4" s="258" t="s">
        <v>300</v>
      </c>
      <c r="C4" s="259" t="s">
        <v>3077</v>
      </c>
      <c r="D4" s="259" t="s">
        <v>3076</v>
      </c>
      <c r="E4" s="3463" t="s">
        <v>301</v>
      </c>
      <c r="F4" s="3464"/>
      <c r="G4" s="3464"/>
      <c r="H4" s="3464"/>
      <c r="I4" s="3493"/>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462" t="s">
        <v>302</v>
      </c>
      <c r="B5" s="3488">
        <v>25</v>
      </c>
      <c r="C5" s="3486"/>
      <c r="D5" s="3490"/>
      <c r="E5" s="260" t="s">
        <v>303</v>
      </c>
      <c r="F5" s="261"/>
      <c r="G5" s="261"/>
      <c r="H5" s="261"/>
      <c r="I5" s="262"/>
      <c r="J5" s="2013"/>
      <c r="K5" s="2012"/>
      <c r="L5" s="2012"/>
      <c r="M5" s="2012"/>
      <c r="N5" s="2012"/>
      <c r="O5" s="2012"/>
      <c r="P5" s="2012"/>
      <c r="Q5" s="2012"/>
      <c r="R5" s="2012"/>
      <c r="S5" s="2012"/>
      <c r="T5" s="2012"/>
      <c r="U5" s="2012"/>
      <c r="V5" s="2012"/>
    </row>
    <row r="6" spans="1:22" ht="14.25">
      <c r="A6" s="3462"/>
      <c r="B6" s="3488"/>
      <c r="C6" s="3489"/>
      <c r="D6" s="3490"/>
      <c r="E6" s="260" t="s">
        <v>304</v>
      </c>
      <c r="F6" s="261"/>
      <c r="G6" s="261"/>
      <c r="H6" s="261"/>
      <c r="I6" s="262"/>
      <c r="J6" s="2013"/>
      <c r="K6" s="2012"/>
      <c r="L6" s="2012"/>
      <c r="M6" s="2012"/>
      <c r="N6" s="2012"/>
      <c r="O6" s="2012"/>
      <c r="P6" s="2012"/>
      <c r="Q6" s="2012"/>
      <c r="R6" s="2012"/>
      <c r="S6" s="2012"/>
      <c r="T6" s="2012"/>
      <c r="U6" s="2012"/>
      <c r="V6" s="2012"/>
    </row>
    <row r="7" spans="1:22" ht="14.25">
      <c r="A7" s="3462"/>
      <c r="B7" s="3488"/>
      <c r="C7" s="3487"/>
      <c r="D7" s="3490"/>
      <c r="E7" s="260" t="s">
        <v>305</v>
      </c>
      <c r="F7" s="261"/>
      <c r="G7" s="261"/>
      <c r="H7" s="261"/>
      <c r="I7" s="262"/>
      <c r="J7" s="2013"/>
      <c r="K7" s="2012"/>
      <c r="L7" s="2012"/>
      <c r="M7" s="2012"/>
      <c r="N7" s="2012"/>
      <c r="O7" s="2012"/>
      <c r="P7" s="2012"/>
      <c r="Q7" s="2012"/>
      <c r="R7" s="2012"/>
      <c r="S7" s="2012"/>
      <c r="T7" s="2012"/>
      <c r="U7" s="2012"/>
      <c r="V7" s="2012"/>
    </row>
    <row r="8" spans="1:22" ht="14.25">
      <c r="A8" s="3462" t="s">
        <v>306</v>
      </c>
      <c r="B8" s="3488">
        <v>15</v>
      </c>
      <c r="C8" s="3486"/>
      <c r="D8" s="3490"/>
      <c r="E8" s="260" t="s">
        <v>307</v>
      </c>
      <c r="F8" s="261"/>
      <c r="G8" s="261"/>
      <c r="H8" s="261"/>
      <c r="I8" s="262"/>
      <c r="J8" s="2013"/>
      <c r="K8" s="2012"/>
      <c r="L8" s="2012"/>
      <c r="M8" s="2012"/>
      <c r="N8" s="2012"/>
      <c r="O8" s="2012"/>
      <c r="P8" s="2012"/>
      <c r="Q8" s="2012"/>
      <c r="R8" s="2012"/>
      <c r="S8" s="2012"/>
      <c r="T8" s="2012"/>
      <c r="U8" s="2012"/>
      <c r="V8" s="2012"/>
    </row>
    <row r="9" spans="1:22" ht="14.25">
      <c r="A9" s="3462"/>
      <c r="B9" s="3488"/>
      <c r="C9" s="3487"/>
      <c r="D9" s="3490"/>
      <c r="E9" s="260" t="s">
        <v>308</v>
      </c>
      <c r="F9" s="261"/>
      <c r="G9" s="261"/>
      <c r="H9" s="261"/>
      <c r="I9" s="262"/>
      <c r="J9" s="2013"/>
      <c r="K9" s="2012"/>
      <c r="L9" s="2012"/>
      <c r="M9" s="2012"/>
      <c r="N9" s="2012"/>
      <c r="O9" s="2012"/>
      <c r="P9" s="2012"/>
      <c r="Q9" s="2012"/>
      <c r="R9" s="2012"/>
      <c r="S9" s="2012"/>
      <c r="T9" s="2012"/>
      <c r="U9" s="2012"/>
      <c r="V9" s="2012"/>
    </row>
    <row r="10" spans="1:22" ht="14.25">
      <c r="A10" s="3462" t="s">
        <v>309</v>
      </c>
      <c r="B10" s="3488">
        <v>15</v>
      </c>
      <c r="C10" s="3486"/>
      <c r="D10" s="3490"/>
      <c r="E10" s="260" t="s">
        <v>310</v>
      </c>
      <c r="F10" s="261"/>
      <c r="G10" s="261"/>
      <c r="H10" s="261"/>
      <c r="I10" s="262"/>
      <c r="J10" s="2013"/>
      <c r="K10" s="2012"/>
      <c r="L10" s="2012"/>
      <c r="M10" s="2012"/>
      <c r="N10" s="2012"/>
      <c r="O10" s="2012"/>
      <c r="P10" s="2012"/>
      <c r="Q10" s="2012"/>
      <c r="R10" s="2012"/>
      <c r="S10" s="2012"/>
      <c r="T10" s="2012"/>
      <c r="U10" s="2012"/>
      <c r="V10" s="2012"/>
    </row>
    <row r="11" spans="1:22" ht="14.25">
      <c r="A11" s="3462"/>
      <c r="B11" s="3488"/>
      <c r="C11" s="3487"/>
      <c r="D11" s="3490"/>
      <c r="E11" s="260" t="s">
        <v>311</v>
      </c>
      <c r="F11" s="261"/>
      <c r="G11" s="261"/>
      <c r="H11" s="261"/>
      <c r="I11" s="262"/>
      <c r="J11" s="2013"/>
      <c r="K11" s="2012"/>
      <c r="L11" s="2012"/>
      <c r="M11" s="2012"/>
      <c r="N11" s="2012"/>
      <c r="O11" s="2012"/>
      <c r="P11" s="2012"/>
      <c r="Q11" s="2012"/>
      <c r="R11" s="2012"/>
      <c r="S11" s="2012"/>
      <c r="T11" s="2012"/>
      <c r="U11" s="2012"/>
      <c r="V11" s="2012"/>
    </row>
    <row r="12" spans="1:22" ht="14.25">
      <c r="A12" s="3462" t="s">
        <v>312</v>
      </c>
      <c r="B12" s="3488">
        <v>15</v>
      </c>
      <c r="C12" s="3486"/>
      <c r="D12" s="3490"/>
      <c r="E12" s="260" t="s">
        <v>313</v>
      </c>
      <c r="F12" s="261"/>
      <c r="G12" s="261"/>
      <c r="H12" s="261"/>
      <c r="I12" s="262"/>
      <c r="J12" s="2013"/>
      <c r="K12" s="2012"/>
      <c r="L12" s="2012"/>
      <c r="M12" s="2012"/>
      <c r="N12" s="2012"/>
      <c r="O12" s="2012"/>
      <c r="P12" s="2012"/>
      <c r="Q12" s="2012"/>
      <c r="R12" s="2012"/>
      <c r="S12" s="2012"/>
      <c r="T12" s="2012"/>
      <c r="U12" s="2012"/>
      <c r="V12" s="2012"/>
    </row>
    <row r="13" spans="1:22" ht="14.25">
      <c r="A13" s="3462"/>
      <c r="B13" s="3488"/>
      <c r="C13" s="3487"/>
      <c r="D13" s="3490"/>
      <c r="E13" s="260" t="s">
        <v>314</v>
      </c>
      <c r="F13" s="261"/>
      <c r="G13" s="261"/>
      <c r="H13" s="261"/>
      <c r="I13" s="262"/>
      <c r="J13" s="2013"/>
      <c r="K13" s="2012"/>
      <c r="L13" s="2012"/>
      <c r="M13" s="2012"/>
      <c r="N13" s="2012"/>
      <c r="O13" s="2012"/>
      <c r="P13" s="2012"/>
      <c r="Q13" s="2012"/>
      <c r="R13" s="2012"/>
      <c r="S13" s="2012"/>
      <c r="T13" s="2012"/>
      <c r="U13" s="2012"/>
      <c r="V13" s="2012"/>
    </row>
    <row r="14" spans="1:22" ht="14.25">
      <c r="A14" s="3462" t="s">
        <v>315</v>
      </c>
      <c r="B14" s="3488">
        <v>30</v>
      </c>
      <c r="C14" s="3486">
        <v>5</v>
      </c>
      <c r="D14" s="3490">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462"/>
      <c r="B15" s="3488"/>
      <c r="C15" s="3489"/>
      <c r="D15" s="3490"/>
      <c r="E15" s="260" t="s">
        <v>317</v>
      </c>
      <c r="F15" s="261"/>
      <c r="G15" s="261"/>
      <c r="H15" s="261"/>
      <c r="I15" s="262"/>
      <c r="J15" s="2013"/>
      <c r="K15" s="2012"/>
      <c r="L15" s="2012"/>
      <c r="M15" s="2012"/>
      <c r="N15" s="2012"/>
      <c r="O15" s="2012"/>
      <c r="P15" s="2012"/>
      <c r="Q15" s="2012"/>
      <c r="R15" s="2012"/>
      <c r="S15" s="2012"/>
      <c r="T15" s="2012"/>
      <c r="U15" s="2012"/>
      <c r="V15" s="2012"/>
    </row>
    <row r="16" spans="1:22" ht="14.25">
      <c r="A16" s="3462"/>
      <c r="B16" s="3488"/>
      <c r="C16" s="3487"/>
      <c r="D16" s="3490"/>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58614</v>
      </c>
      <c r="D19" s="270">
        <f ca="1">SUMIF(INDIRECT("'"&amp;D4&amp;"'"&amp;"!A:A"),结果表!B19,INDIRECT("'"&amp;D4&amp;"'"&amp;"!B:B"))</f>
        <v>53916</v>
      </c>
      <c r="E19" s="267" t="s">
        <v>323</v>
      </c>
      <c r="F19" s="268" t="s">
        <v>322</v>
      </c>
      <c r="G19" s="271">
        <f ca="1">ROUND(C19*$C$18+D19*$D$18,0)</f>
        <v>56265</v>
      </c>
      <c r="H19" s="272" t="s">
        <v>324</v>
      </c>
      <c r="I19" s="310"/>
      <c r="J19" s="2012"/>
      <c r="K19" s="3308" t="s">
        <v>3437</v>
      </c>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3122</v>
      </c>
      <c r="D20" s="276">
        <f ca="1">SUMIF(INDIRECT("'"&amp;D4&amp;"'"&amp;"!A:A"),结果表!B20,INDIRECT("'"&amp;D4&amp;"'"&amp;"!B:B"))</f>
        <v>2872</v>
      </c>
      <c r="E20" s="273"/>
      <c r="F20" s="274" t="s">
        <v>325</v>
      </c>
      <c r="G20" s="277">
        <f ca="1">ROUND(C20*$C$18+D20*$D$18,0)</f>
        <v>2997</v>
      </c>
      <c r="H20" s="278" t="s">
        <v>326</v>
      </c>
      <c r="I20" s="310"/>
      <c r="J20" s="2012"/>
      <c r="K20" s="3309">
        <f ca="1">ROUND(G19/'数据-汇总表'!F31*10000,0)</f>
        <v>4318</v>
      </c>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8097</v>
      </c>
      <c r="D21" s="151">
        <f ca="1">SUMIF(INDIRECT("'"&amp;D4&amp;"'"&amp;"!A:A"),结果表!B21,INDIRECT("'"&amp;D4&amp;"'"&amp;"!B:B"))</f>
        <v>7448</v>
      </c>
      <c r="E21" s="273"/>
      <c r="F21" s="279" t="s">
        <v>327</v>
      </c>
      <c r="G21" s="281">
        <f ca="1">ROUND(C21*$C$18+D21*$D$18,0)</f>
        <v>7773</v>
      </c>
      <c r="H21" s="1245" t="s">
        <v>326</v>
      </c>
      <c r="I21" s="310"/>
      <c r="J21" s="2012"/>
      <c r="K21" s="2012"/>
      <c r="L21" s="2012"/>
      <c r="M21" s="2012"/>
      <c r="N21" s="2012"/>
      <c r="O21" s="2012"/>
      <c r="P21" s="2012"/>
      <c r="Q21" s="2012"/>
      <c r="R21" s="2012"/>
      <c r="S21" s="2012"/>
      <c r="T21" s="2012"/>
      <c r="U21" s="2012"/>
      <c r="V21" s="2012"/>
    </row>
    <row r="22" spans="1:26" ht="15.75" thickBot="1">
      <c r="A22" s="126" t="s">
        <v>328</v>
      </c>
      <c r="B22" s="1246"/>
      <c r="C22" s="1247"/>
      <c r="D22" s="282">
        <f ca="1">IF(C19&lt;D19,D19/C19-1,C19/D19-1)</f>
        <v>8.7135544179835378E-2</v>
      </c>
      <c r="E22" s="283"/>
      <c r="F22" s="284"/>
      <c r="G22" s="285">
        <f ca="1">ROUND(G19/('数据-汇总表'!D3/666.67),0)</f>
        <v>518</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468"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469"/>
      <c r="B25" s="1315" t="s">
        <v>331</v>
      </c>
      <c r="C25" s="289">
        <f>IF(B30=0,0,C30)</f>
        <v>0</v>
      </c>
      <c r="D25" s="290"/>
      <c r="E25" s="310"/>
      <c r="F25" s="310"/>
      <c r="G25" s="310"/>
      <c r="H25" s="310"/>
      <c r="I25" s="310"/>
      <c r="J25" s="2012"/>
      <c r="K25" s="1249" t="str">
        <f ca="1">项目基本情况!B16&amp;"国有建设用地使用权价格："&amp;O38&amp;"万元"</f>
        <v>出让国有建设用地使用权价格：56265万元</v>
      </c>
      <c r="L25" s="1250"/>
      <c r="M25" s="1250"/>
      <c r="N25" s="1250"/>
      <c r="O25" s="1251"/>
      <c r="P25" s="2012"/>
      <c r="Q25" s="2012"/>
      <c r="R25" s="2012"/>
      <c r="S25" s="2012"/>
      <c r="T25" s="2012"/>
      <c r="U25" s="2012"/>
      <c r="V25" s="2012"/>
    </row>
    <row r="26" spans="1:26" s="1248" customFormat="1" ht="18">
      <c r="A26" s="292" t="s">
        <v>332</v>
      </c>
      <c r="B26" s="293" t="s">
        <v>333</v>
      </c>
      <c r="C26" s="293" t="s">
        <v>334</v>
      </c>
      <c r="D26" s="294" t="s">
        <v>335</v>
      </c>
      <c r="E26" s="310"/>
      <c r="F26" s="310"/>
      <c r="G26" s="310"/>
      <c r="H26" s="310"/>
      <c r="I26" s="310"/>
      <c r="J26" s="2012"/>
      <c r="K26" s="1252" t="str">
        <f ca="1">"大写金额：人民币"&amp;NUMBERSTRING(INT(O38*10000),2)&amp;"元整"</f>
        <v>大写金额：人民币伍亿陆仟贰佰陆拾伍万元整</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str">
        <f ca="1">"单位面积地价："&amp;M38&amp;"元/平方米"</f>
        <v>单位面积地价：7772元/平方米</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str">
        <f ca="1">"楼面地价："&amp;N38&amp;"元/平方米"</f>
        <v>楼面地价：2997元/平方米</v>
      </c>
      <c r="L28" s="1246"/>
      <c r="M28" s="1246"/>
      <c r="N28" s="1246"/>
      <c r="O28" s="1245"/>
      <c r="P28" s="2012"/>
      <c r="V28" s="2012"/>
    </row>
    <row r="29" spans="1:26" ht="18">
      <c r="A29" s="292"/>
      <c r="B29" s="293"/>
      <c r="C29" s="293"/>
      <c r="D29" s="294"/>
      <c r="E29" s="310"/>
      <c r="F29" s="310"/>
      <c r="G29" s="310"/>
      <c r="H29" s="310"/>
      <c r="I29" s="310"/>
      <c r="J29" s="2012"/>
      <c r="K29" s="1252" t="str">
        <f ca="1">IF(OR(项目基本情况!E8="抵押价格",项目基本情况!E8="已注销及未注销"),"抵押价格："&amp;O39&amp;"万元","——")</f>
        <v>抵押价格：56265万元</v>
      </c>
      <c r="L29" s="1246"/>
      <c r="M29" s="1246"/>
      <c r="N29" s="1246"/>
      <c r="O29" s="1245"/>
      <c r="P29" s="2012"/>
      <c r="V29" s="2012"/>
    </row>
    <row r="30" spans="1:26" ht="18.75" thickBot="1">
      <c r="A30" s="3080" t="s">
        <v>336</v>
      </c>
      <c r="B30" s="308"/>
      <c r="C30" s="308"/>
      <c r="D30" s="309"/>
      <c r="E30" s="3081" t="s">
        <v>2966</v>
      </c>
      <c r="F30" s="310"/>
      <c r="G30" s="310"/>
      <c r="H30" s="310"/>
      <c r="I30" s="310"/>
      <c r="J30" s="2012"/>
      <c r="K30" s="1252" t="str">
        <f ca="1">IF(K29="——","——","大写金额：人民币"&amp;NUMBERSTRING(INT(O39*10000),2)&amp;"元整")</f>
        <v>大写金额：人民币伍亿陆仟贰佰陆拾伍万元整</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56265</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2997</v>
      </c>
      <c r="D33" s="1380" t="s">
        <v>1691</v>
      </c>
      <c r="E33" s="3468" t="s">
        <v>338</v>
      </c>
      <c r="F33" s="295" t="s">
        <v>339</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1692</v>
      </c>
      <c r="C34" s="263">
        <f ca="1">ROUND(C32*10000/'数据-汇总表'!D3,0)</f>
        <v>7772</v>
      </c>
      <c r="D34" s="1382" t="s">
        <v>1691</v>
      </c>
      <c r="E34" s="3509"/>
      <c r="F34" s="127" t="s">
        <v>341</v>
      </c>
      <c r="G34" s="298"/>
      <c r="H34" s="105"/>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f ca="1">ROUND(C32/('数据-汇总表'!D3/666.67),0)</f>
        <v>518</v>
      </c>
      <c r="D35" s="1385" t="s">
        <v>1693</v>
      </c>
      <c r="E35" s="3510"/>
      <c r="F35" s="300" t="s">
        <v>342</v>
      </c>
      <c r="G35" s="980"/>
      <c r="H35" s="979" t="s">
        <v>343</v>
      </c>
      <c r="I35" s="310"/>
      <c r="J35" s="2012"/>
      <c r="K35" s="3483" t="s">
        <v>350</v>
      </c>
      <c r="L35" s="3483" t="s">
        <v>351</v>
      </c>
      <c r="M35" s="1258" t="s">
        <v>352</v>
      </c>
      <c r="N35" s="3483" t="s">
        <v>353</v>
      </c>
      <c r="O35" s="3483" t="s">
        <v>354</v>
      </c>
      <c r="P35" s="2012"/>
      <c r="V35" s="2012"/>
    </row>
    <row r="36" spans="1:26" ht="16.5" customHeight="1">
      <c r="A36" s="302" t="s">
        <v>344</v>
      </c>
      <c r="B36" s="303" t="s">
        <v>333</v>
      </c>
      <c r="C36" s="304" t="s">
        <v>345</v>
      </c>
      <c r="D36" s="304" t="s">
        <v>346</v>
      </c>
      <c r="E36" s="305" t="s">
        <v>347</v>
      </c>
      <c r="F36" s="310"/>
      <c r="G36" s="310"/>
      <c r="H36" s="310"/>
      <c r="I36" s="310"/>
      <c r="J36" s="2014"/>
      <c r="K36" s="3484"/>
      <c r="L36" s="3484"/>
      <c r="M36" s="1260" t="s">
        <v>355</v>
      </c>
      <c r="N36" s="3484"/>
      <c r="O36" s="3484"/>
      <c r="P36" s="2012"/>
      <c r="V36" s="2012"/>
    </row>
    <row r="37" spans="1:26" ht="16.5" customHeight="1" thickBot="1">
      <c r="A37" s="1254" t="s">
        <v>348</v>
      </c>
      <c r="B37" s="306"/>
      <c r="C37" s="293"/>
      <c r="D37" s="293"/>
      <c r="E37" s="294"/>
      <c r="F37" s="310"/>
      <c r="G37" s="310"/>
      <c r="H37" s="310"/>
      <c r="I37" s="310"/>
      <c r="J37" s="2014"/>
      <c r="K37" s="3485"/>
      <c r="L37" s="3485"/>
      <c r="M37" s="1261"/>
      <c r="N37" s="3485"/>
      <c r="O37" s="3485"/>
      <c r="P37" s="2012"/>
      <c r="V37" s="2012"/>
    </row>
    <row r="38" spans="1:26" ht="16.5" customHeight="1" thickBot="1">
      <c r="A38" s="1254" t="s">
        <v>349</v>
      </c>
      <c r="B38" s="306"/>
      <c r="C38" s="293"/>
      <c r="D38" s="293"/>
      <c r="E38" s="294"/>
      <c r="F38" s="310"/>
      <c r="G38" s="310"/>
      <c r="H38" s="310"/>
      <c r="I38" s="310"/>
      <c r="J38" s="2014"/>
      <c r="K38" s="1262">
        <f>'数据-汇总表'!D3</f>
        <v>72391.8</v>
      </c>
      <c r="L38" s="1263">
        <f>'数据-汇总表'!E3</f>
        <v>187743.54</v>
      </c>
      <c r="M38" s="1263">
        <f ca="1">C34</f>
        <v>7772</v>
      </c>
      <c r="N38" s="1263">
        <f ca="1">C33</f>
        <v>2997</v>
      </c>
      <c r="O38" s="1264">
        <f ca="1">C32</f>
        <v>56265</v>
      </c>
      <c r="P38" s="2012"/>
      <c r="V38" s="2012"/>
    </row>
    <row r="39" spans="1:26" ht="16.5" customHeight="1" thickBot="1">
      <c r="A39" s="1259"/>
      <c r="B39" s="307"/>
      <c r="C39" s="308"/>
      <c r="D39" s="308"/>
      <c r="E39" s="309"/>
      <c r="F39" s="310"/>
      <c r="G39" s="310"/>
      <c r="H39" s="310"/>
      <c r="I39" s="310"/>
      <c r="J39" s="2014"/>
      <c r="K39" s="3528" t="str">
        <f>MID(A44,3,LEN(A44)-2)</f>
        <v>抵押价格</v>
      </c>
      <c r="L39" s="3529"/>
      <c r="M39" s="3529"/>
      <c r="N39" s="3530"/>
      <c r="O39" s="1387">
        <f ca="1">C44</f>
        <v>56265</v>
      </c>
      <c r="P39" s="2012"/>
      <c r="V39" s="2012"/>
    </row>
    <row r="40" spans="1:26" ht="19.5" thickBot="1">
      <c r="A40" s="104" t="s">
        <v>873</v>
      </c>
      <c r="B40" s="310"/>
      <c r="C40" s="310"/>
      <c r="D40" s="310"/>
      <c r="E40" s="310"/>
      <c r="F40" s="310"/>
      <c r="G40" s="310"/>
      <c r="H40" s="310"/>
      <c r="I40" s="310"/>
      <c r="J40" s="2014"/>
      <c r="K40" s="3528" t="str">
        <f t="shared" ref="K40:K41" si="0">MID(A45,3,LEN(A45)-2)</f>
        <v/>
      </c>
      <c r="L40" s="3529"/>
      <c r="M40" s="3529"/>
      <c r="N40" s="3530"/>
      <c r="O40" s="1387" t="str">
        <f>C45</f>
        <v>——</v>
      </c>
      <c r="P40" s="2012"/>
      <c r="V40" s="2012"/>
    </row>
    <row r="41" spans="1:26" ht="16.5" thickBot="1">
      <c r="A41" s="311" t="s">
        <v>356</v>
      </c>
      <c r="B41" s="312"/>
      <c r="C41" s="313" t="s">
        <v>357</v>
      </c>
      <c r="D41" s="314" t="s">
        <v>358</v>
      </c>
      <c r="E41" s="314" t="s">
        <v>359</v>
      </c>
      <c r="F41" s="315" t="s">
        <v>360</v>
      </c>
      <c r="G41" s="310"/>
      <c r="H41" s="310"/>
      <c r="I41" s="310"/>
      <c r="J41" s="2014"/>
      <c r="K41" s="3528" t="str">
        <f t="shared" si="0"/>
        <v/>
      </c>
      <c r="L41" s="3529"/>
      <c r="M41" s="3529"/>
      <c r="N41" s="3530"/>
      <c r="O41" s="1387" t="str">
        <f>C46</f>
        <v>——</v>
      </c>
      <c r="P41" s="2012"/>
      <c r="V41" s="2012"/>
    </row>
    <row r="42" spans="1:26" ht="29.25">
      <c r="A42" s="3470" t="s">
        <v>2067</v>
      </c>
      <c r="B42" s="3471"/>
      <c r="C42" s="263">
        <f ca="1">C32</f>
        <v>56265</v>
      </c>
      <c r="D42" s="316">
        <f ca="1">C33</f>
        <v>2997</v>
      </c>
      <c r="E42" s="316">
        <f ca="1">C34</f>
        <v>7772</v>
      </c>
      <c r="F42" s="317">
        <f ca="1">C35</f>
        <v>518</v>
      </c>
      <c r="G42" s="310"/>
      <c r="H42" s="310"/>
      <c r="I42" s="318"/>
      <c r="J42" s="2014"/>
      <c r="K42" s="1265" t="s">
        <v>361</v>
      </c>
      <c r="L42" s="2031" t="s">
        <v>362</v>
      </c>
      <c r="M42" s="1266" t="s">
        <v>363</v>
      </c>
      <c r="N42" s="2032" t="s">
        <v>364</v>
      </c>
      <c r="O42" s="2033" t="s">
        <v>365</v>
      </c>
      <c r="P42" s="2012"/>
      <c r="V42" s="2012"/>
    </row>
    <row r="43" spans="1:26" ht="30">
      <c r="A43" s="3481" t="s">
        <v>2728</v>
      </c>
      <c r="B43" s="3482"/>
      <c r="C43" s="263">
        <f>IF(H33="正常操作",G33+G34+G35,G34+G35)</f>
        <v>0</v>
      </c>
      <c r="D43" s="316" t="s">
        <v>43</v>
      </c>
      <c r="E43" s="316" t="s">
        <v>44</v>
      </c>
      <c r="F43" s="317" t="s">
        <v>44</v>
      </c>
      <c r="G43" s="2820" t="s">
        <v>952</v>
      </c>
      <c r="H43" s="310"/>
      <c r="I43" s="318"/>
      <c r="J43" s="2014"/>
      <c r="K43" s="1267" t="str">
        <f>C4</f>
        <v>比较法-住宅、综合</v>
      </c>
      <c r="L43" s="1268">
        <f ca="1">IF(L42="估价结果/万元",C19,C20)</f>
        <v>58614</v>
      </c>
      <c r="M43" s="1269">
        <f>C18</f>
        <v>0.5</v>
      </c>
      <c r="N43" s="1270">
        <f ca="1">IF(N42="测算结果/万元",G19,G20)</f>
        <v>56265</v>
      </c>
      <c r="O43" s="1271">
        <f ca="1">IF(O42="最终结果/万元",C32,C33)</f>
        <v>56265</v>
      </c>
      <c r="P43" s="2012"/>
      <c r="V43" s="2012"/>
    </row>
    <row r="44" spans="1:26" ht="30.75" thickBot="1">
      <c r="A44" s="3470" t="str">
        <f>IF(OR(项目基本情况!E8="抵押价格",项目基本情况!E8="已注销及未注销"),"3.抵押价格","——")</f>
        <v>3.抵押价格</v>
      </c>
      <c r="B44" s="3471"/>
      <c r="C44" s="263">
        <f ca="1">IF(A44="——","——",C42-C43)</f>
        <v>56265</v>
      </c>
      <c r="D44" s="316">
        <f ca="1">ROUND(C44*10000/'数据-汇总表'!E3,0)</f>
        <v>2997</v>
      </c>
      <c r="E44" s="316">
        <f ca="1">ROUND(C44*10000/'数据-汇总表'!D3,0)</f>
        <v>7772</v>
      </c>
      <c r="F44" s="317">
        <f ca="1">ROUND(C44/('数据-汇总表'!D3/666.67),0)</f>
        <v>518</v>
      </c>
      <c r="G44" s="310"/>
      <c r="H44" s="310"/>
      <c r="I44" s="318"/>
      <c r="J44" s="2014"/>
      <c r="K44" s="1272" t="str">
        <f>D4</f>
        <v>剩余法-待开发</v>
      </c>
      <c r="L44" s="1273">
        <f ca="1">IF(L42="估价结果/万元",D19,D20)</f>
        <v>53916</v>
      </c>
      <c r="M44" s="1274">
        <f>D18</f>
        <v>0.5</v>
      </c>
      <c r="N44" s="1275"/>
      <c r="O44" s="1276"/>
      <c r="P44" s="2012"/>
      <c r="V44" s="2012"/>
    </row>
    <row r="45" spans="1:26" ht="15">
      <c r="A45" s="3476" t="str">
        <f>IF(项目基本情况!E8="已注销及未注销","4.抵押担保权已注销时的抵押价格",IF(项目基本情况!E8="已注销","3.抵押担保权已注销时的抵押价格","——"))</f>
        <v>——</v>
      </c>
      <c r="B45" s="3477"/>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472" t="str">
        <f>IF(项目基本情况!E9="抵押净值",IF(A45="——","4.抵押净值","5.抵押净值"),"——")</f>
        <v>——</v>
      </c>
      <c r="B46" s="3473"/>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7"/>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517" t="s">
        <v>374</v>
      </c>
      <c r="B63" s="3518"/>
      <c r="C63" s="3519"/>
      <c r="D63" s="340">
        <f ca="1">ROUND(C42*F63,0)</f>
        <v>33759</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478" t="s">
        <v>378</v>
      </c>
      <c r="B64" s="3479"/>
      <c r="C64" s="3479"/>
      <c r="D64" s="3479"/>
      <c r="E64" s="3479"/>
      <c r="F64" s="3479"/>
      <c r="G64" s="3480"/>
      <c r="H64" s="1282"/>
      <c r="I64" s="946"/>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2"/>
      <c r="I65" s="946"/>
      <c r="J65" s="1974"/>
      <c r="K65" s="1283"/>
      <c r="L65" s="1284"/>
      <c r="M65" s="1284"/>
      <c r="N65" s="1316" t="s">
        <v>379</v>
      </c>
      <c r="O65" s="1317"/>
      <c r="P65" s="1318"/>
      <c r="Q65" s="2012"/>
      <c r="R65" s="2012"/>
      <c r="S65" s="2012"/>
      <c r="T65" s="2012"/>
      <c r="U65" s="2012"/>
      <c r="V65" s="2012"/>
    </row>
    <row r="66" spans="1:22" ht="25.5">
      <c r="A66" s="3474" t="s">
        <v>386</v>
      </c>
      <c r="B66" s="3475"/>
      <c r="C66" s="3475"/>
      <c r="D66" s="260">
        <f ca="1">IF(H66="情况1",0,IF(H66="情况2",D70,IF(H66="情况3",D71,IF(H66="情况4",D72))))</f>
        <v>1800</v>
      </c>
      <c r="E66" s="991" t="str">
        <f>IF(H66="情况4","(销售额-原购置价)×税（费）率","销售额×税（费）率")</f>
        <v>销售额×税（费）率</v>
      </c>
      <c r="F66" s="349">
        <f>IF(H66="情况1","免征",'数据-取费表'!B41)</f>
        <v>5.6000000000000001E-2</v>
      </c>
      <c r="G66" s="350" t="s">
        <v>387</v>
      </c>
      <c r="H66" s="191" t="s">
        <v>388</v>
      </c>
      <c r="I66" s="1282"/>
      <c r="J66" s="2018"/>
      <c r="K66" s="1285">
        <v>1</v>
      </c>
      <c r="L66" s="3532" t="s">
        <v>385</v>
      </c>
      <c r="M66" s="3533"/>
      <c r="N66" s="2421"/>
      <c r="O66" s="2422"/>
      <c r="P66" s="2423"/>
      <c r="Q66" s="2012"/>
      <c r="R66" s="2012"/>
      <c r="S66" s="2012"/>
      <c r="T66" s="2012"/>
      <c r="U66" s="2012"/>
      <c r="V66" s="2012"/>
    </row>
    <row r="67" spans="1:22" ht="25.5" customHeight="1">
      <c r="A67" s="351" t="s">
        <v>390</v>
      </c>
      <c r="B67" s="3465" t="s">
        <v>391</v>
      </c>
      <c r="C67" s="3465"/>
      <c r="D67" s="352">
        <v>0</v>
      </c>
      <c r="E67" s="41" t="s">
        <v>392</v>
      </c>
      <c r="F67" s="62" t="s">
        <v>21</v>
      </c>
      <c r="G67" s="3520"/>
      <c r="H67" s="310"/>
      <c r="I67" s="1286"/>
      <c r="J67" s="2019"/>
      <c r="K67" s="1960">
        <v>2</v>
      </c>
      <c r="L67" s="3531" t="s">
        <v>389</v>
      </c>
      <c r="M67" s="3531"/>
      <c r="N67" s="1319">
        <f>'数据-取费表'!B2</f>
        <v>43698</v>
      </c>
      <c r="O67" s="1319"/>
      <c r="P67" s="1319"/>
      <c r="Q67" s="2012"/>
      <c r="R67" s="2012"/>
      <c r="S67" s="2012"/>
      <c r="T67" s="2012"/>
      <c r="U67" s="2012"/>
      <c r="V67" s="2012"/>
    </row>
    <row r="68" spans="1:22" ht="25.5" customHeight="1">
      <c r="A68" s="353"/>
      <c r="B68" s="3465" t="s">
        <v>394</v>
      </c>
      <c r="C68" s="3465"/>
      <c r="D68" s="354"/>
      <c r="E68" s="77"/>
      <c r="F68" s="355"/>
      <c r="G68" s="3521"/>
      <c r="H68" s="310"/>
      <c r="I68" s="1286"/>
      <c r="J68" s="2019"/>
      <c r="K68" s="1960">
        <v>3</v>
      </c>
      <c r="L68" s="3531" t="s">
        <v>393</v>
      </c>
      <c r="M68" s="3531"/>
      <c r="N68" s="1287">
        <f ca="1">C42</f>
        <v>56265</v>
      </c>
      <c r="O68" s="1287"/>
      <c r="P68" s="1287"/>
      <c r="Q68" s="2012"/>
      <c r="R68" s="2012"/>
      <c r="S68" s="2012"/>
      <c r="T68" s="2012"/>
      <c r="U68" s="2012"/>
      <c r="V68" s="2012"/>
    </row>
    <row r="69" spans="1:22" ht="12" customHeight="1">
      <c r="A69" s="356"/>
      <c r="B69" s="3465" t="s">
        <v>395</v>
      </c>
      <c r="C69" s="3465"/>
      <c r="D69" s="357"/>
      <c r="E69" s="73"/>
      <c r="F69" s="355"/>
      <c r="G69" s="3522"/>
      <c r="H69" s="310"/>
      <c r="I69" s="1286"/>
      <c r="J69" s="2019"/>
      <c r="K69" s="1288">
        <v>4</v>
      </c>
      <c r="L69" s="3536" t="s">
        <v>2881</v>
      </c>
      <c r="M69" s="3537"/>
      <c r="N69" s="1289">
        <f ca="1">C44</f>
        <v>56265</v>
      </c>
      <c r="O69" s="1289"/>
      <c r="P69" s="1289"/>
      <c r="Q69" s="2012"/>
      <c r="R69" s="2012"/>
      <c r="S69" s="2012"/>
      <c r="T69" s="2012"/>
      <c r="U69" s="2012"/>
      <c r="V69" s="2012"/>
    </row>
    <row r="70" spans="1:22" ht="24" customHeight="1">
      <c r="A70" s="358" t="s">
        <v>396</v>
      </c>
      <c r="B70" s="3465" t="s">
        <v>397</v>
      </c>
      <c r="C70" s="3465"/>
      <c r="D70" s="357">
        <f ca="1">ROUND(D63*'数据-取费表'!B41/(1+'数据-取费表'!C42),0)</f>
        <v>1800</v>
      </c>
      <c r="E70" s="17" t="s">
        <v>398</v>
      </c>
      <c r="F70" s="359">
        <f>'数据-取费表'!B41</f>
        <v>5.6000000000000001E-2</v>
      </c>
      <c r="G70" s="360"/>
      <c r="H70" s="310"/>
      <c r="I70" s="1286"/>
      <c r="J70" s="2019"/>
      <c r="K70" s="3012"/>
      <c r="L70" s="3013"/>
      <c r="M70" s="3013"/>
      <c r="N70" s="3014" t="s">
        <v>2886</v>
      </c>
      <c r="O70" s="3013"/>
      <c r="P70" s="3015"/>
      <c r="Q70" s="2012"/>
      <c r="R70" s="2012"/>
      <c r="S70" s="2012"/>
      <c r="T70" s="2012"/>
      <c r="U70" s="2012"/>
      <c r="V70" s="2012"/>
    </row>
    <row r="71" spans="1:22" ht="12" customHeight="1">
      <c r="A71" s="358" t="s">
        <v>404</v>
      </c>
      <c r="B71" s="3466" t="s">
        <v>405</v>
      </c>
      <c r="C71" s="3467"/>
      <c r="D71" s="357">
        <f ca="1">ROUND(D63*'数据-取费表'!B41/(1+'数据-取费表'!C42),0)</f>
        <v>1800</v>
      </c>
      <c r="E71" s="17" t="s">
        <v>398</v>
      </c>
      <c r="F71" s="359">
        <f>'数据-取费表'!B41</f>
        <v>5.6000000000000001E-2</v>
      </c>
      <c r="G71" s="360"/>
      <c r="H71" s="310"/>
      <c r="I71" s="1286"/>
      <c r="J71" s="2019"/>
      <c r="K71" s="3011" t="s">
        <v>399</v>
      </c>
      <c r="L71" s="3538" t="s">
        <v>400</v>
      </c>
      <c r="M71" s="3538"/>
      <c r="N71" s="3011" t="s">
        <v>401</v>
      </c>
      <c r="O71" s="3011" t="s">
        <v>402</v>
      </c>
      <c r="P71" s="3011" t="s">
        <v>403</v>
      </c>
      <c r="Q71" s="2012"/>
      <c r="R71" s="2012"/>
      <c r="S71" s="2012"/>
      <c r="T71" s="2012"/>
      <c r="U71" s="2012"/>
      <c r="V71" s="2012"/>
    </row>
    <row r="72" spans="1:22" ht="12" customHeight="1">
      <c r="A72" s="358" t="s">
        <v>407</v>
      </c>
      <c r="B72" s="3466" t="s">
        <v>408</v>
      </c>
      <c r="C72" s="3467"/>
      <c r="D72" s="357">
        <f ca="1">C86</f>
        <v>1688</v>
      </c>
      <c r="E72" s="73" t="s">
        <v>409</v>
      </c>
      <c r="F72" s="359">
        <f>'数据-取费表'!B41</f>
        <v>5.6000000000000001E-2</v>
      </c>
      <c r="G72" s="360"/>
      <c r="H72" s="1292"/>
      <c r="I72" s="1286"/>
      <c r="J72" s="2019"/>
      <c r="K72" s="1960">
        <v>1</v>
      </c>
      <c r="L72" s="3513" t="s">
        <v>406</v>
      </c>
      <c r="M72" s="3513"/>
      <c r="N72" s="1290">
        <f ca="1">D66</f>
        <v>1800</v>
      </c>
      <c r="O72" s="1843" t="str">
        <f>E66</f>
        <v>销售额×税（费）率</v>
      </c>
      <c r="P72" s="1291">
        <f>F66</f>
        <v>5.6000000000000001E-2</v>
      </c>
      <c r="Q72" s="2012"/>
      <c r="R72" s="2012"/>
      <c r="S72" s="2012"/>
      <c r="T72" s="2012"/>
      <c r="U72" s="2012"/>
      <c r="V72" s="2012"/>
    </row>
    <row r="73" spans="1:22" ht="24" customHeight="1">
      <c r="A73" s="3507" t="s">
        <v>411</v>
      </c>
      <c r="B73" s="3475"/>
      <c r="C73" s="3475"/>
      <c r="D73" s="361">
        <f>IF(H73="个人住宅",0,ROUND(D63*I73,0))</f>
        <v>0</v>
      </c>
      <c r="E73" s="17" t="s">
        <v>412</v>
      </c>
      <c r="F73" s="359" t="str">
        <f>IF(H73="正常",I73,"免征")</f>
        <v>免征</v>
      </c>
      <c r="G73" s="360"/>
      <c r="H73" s="191" t="s">
        <v>2454</v>
      </c>
      <c r="I73" s="359">
        <f>'数据-取费表'!B49</f>
        <v>5.0000000000000001E-4</v>
      </c>
      <c r="J73" s="2019"/>
      <c r="K73" s="1960">
        <v>2</v>
      </c>
      <c r="L73" s="3513" t="s">
        <v>410</v>
      </c>
      <c r="M73" s="3513"/>
      <c r="N73" s="1290">
        <f t="shared" ref="N73:P74" si="1">D73</f>
        <v>0</v>
      </c>
      <c r="O73" s="1843" t="str">
        <f t="shared" si="1"/>
        <v>销售额×税（费）率</v>
      </c>
      <c r="P73" s="1291" t="str">
        <f t="shared" si="1"/>
        <v>免征</v>
      </c>
      <c r="Q73" s="2012"/>
      <c r="R73" s="2012"/>
      <c r="S73" s="2012"/>
      <c r="T73" s="2012"/>
      <c r="U73" s="2012"/>
      <c r="V73" s="2012"/>
    </row>
    <row r="74" spans="1:22" ht="24.75">
      <c r="A74" s="3507" t="s">
        <v>415</v>
      </c>
      <c r="B74" s="3475"/>
      <c r="C74" s="3475"/>
      <c r="D74" s="361">
        <f ca="1">IF(H74="个人住宅",D75,D76)</f>
        <v>18447</v>
      </c>
      <c r="E74" s="17" t="s">
        <v>416</v>
      </c>
      <c r="F74" s="359" t="str">
        <f>IF(H74="正常",F76,"免征")</f>
        <v>——</v>
      </c>
      <c r="G74" s="981" t="s">
        <v>417</v>
      </c>
      <c r="H74" s="362" t="s">
        <v>413</v>
      </c>
      <c r="I74" s="42"/>
      <c r="J74" s="2019"/>
      <c r="K74" s="1960">
        <v>3</v>
      </c>
      <c r="L74" s="3513" t="s">
        <v>414</v>
      </c>
      <c r="M74" s="3513"/>
      <c r="N74" s="1290">
        <f t="shared" ca="1" si="1"/>
        <v>18447</v>
      </c>
      <c r="O74" s="1843" t="str">
        <f t="shared" si="1"/>
        <v>增值额×税（费）率</v>
      </c>
      <c r="P74" s="1293" t="str">
        <f t="shared" si="1"/>
        <v>——</v>
      </c>
      <c r="Q74" s="2012"/>
      <c r="R74" s="2012"/>
      <c r="S74" s="2012"/>
      <c r="T74" s="2012"/>
      <c r="U74" s="2012"/>
      <c r="V74" s="2012"/>
    </row>
    <row r="75" spans="1:22" ht="24">
      <c r="A75" s="358" t="s">
        <v>418</v>
      </c>
      <c r="B75" s="3463" t="s">
        <v>419</v>
      </c>
      <c r="C75" s="3493"/>
      <c r="D75" s="363">
        <v>0</v>
      </c>
      <c r="E75" s="41" t="s">
        <v>420</v>
      </c>
      <c r="F75" s="364"/>
      <c r="G75" s="360"/>
      <c r="H75" s="42"/>
      <c r="I75" s="42"/>
      <c r="J75" s="2019"/>
      <c r="K75" s="3004">
        <f>IF(H77="非个人房产","",4)</f>
        <v>4</v>
      </c>
      <c r="L75" s="3513" t="str">
        <f>IF(H77="非个人房产","——","个人所得税")</f>
        <v>个人所得税</v>
      </c>
      <c r="M75" s="3513"/>
      <c r="N75" s="1294">
        <f ca="1">D77</f>
        <v>338</v>
      </c>
      <c r="O75" s="1856" t="str">
        <f>E77</f>
        <v>销售额×税（费）率</v>
      </c>
      <c r="P75" s="1295">
        <f>F77</f>
        <v>0.01</v>
      </c>
      <c r="Q75" s="2012"/>
      <c r="R75" s="2012"/>
      <c r="S75" s="2012"/>
      <c r="T75" s="2012"/>
      <c r="U75" s="2012"/>
      <c r="V75" s="2012"/>
    </row>
    <row r="76" spans="1:22" ht="24.75">
      <c r="A76" s="358" t="s">
        <v>396</v>
      </c>
      <c r="B76" s="3463" t="s">
        <v>422</v>
      </c>
      <c r="C76" s="3464"/>
      <c r="D76" s="361">
        <f ca="1">IF(H76="转让取得",C99,C115)</f>
        <v>18447</v>
      </c>
      <c r="E76" s="17" t="s">
        <v>423</v>
      </c>
      <c r="F76" s="53" t="s">
        <v>21</v>
      </c>
      <c r="G76" s="360"/>
      <c r="H76" s="362" t="s">
        <v>424</v>
      </c>
      <c r="I76" s="42"/>
      <c r="J76" s="2019"/>
      <c r="K76" s="3004" t="str">
        <f>IF(项目基本情况!K6="上海银行",IF(K75="",4,K75+1),"")</f>
        <v/>
      </c>
      <c r="L76" s="3524" t="str">
        <f>IF(项目基本情况!K6="上海银行","其他处置费用","")</f>
        <v/>
      </c>
      <c r="M76" s="3525"/>
      <c r="N76" s="1290" t="str">
        <f>IF(项目基本情况!K6="上海银行",N89,"")</f>
        <v/>
      </c>
      <c r="O76" s="3526" t="str">
        <f>IF(项目基本情况!K6="上海银行","包含处置中涉及的律师、诉讼、拍卖、评估等费用","")</f>
        <v/>
      </c>
      <c r="P76" s="3527"/>
      <c r="Q76" s="2012"/>
      <c r="R76" s="2012"/>
      <c r="S76" s="2012"/>
      <c r="T76" s="2012"/>
      <c r="U76" s="2012"/>
      <c r="V76" s="2012"/>
    </row>
    <row r="77" spans="1:22" ht="26.25" thickBot="1">
      <c r="A77" s="3515" t="s">
        <v>426</v>
      </c>
      <c r="B77" s="3516"/>
      <c r="C77" s="3516"/>
      <c r="D77" s="365">
        <f ca="1">IF(H77="非个人房产","——",IF(H77="个人住宅",0,ROUND(D63*I77,0)))</f>
        <v>338</v>
      </c>
      <c r="E77" s="366" t="str">
        <f>IF(H77="非个人房产","——","销售额×税（费）率")</f>
        <v>销售额×税（费）率</v>
      </c>
      <c r="F77" s="367">
        <f>IF(H77="非个人房产","——",IF(H77="个人住宅","免征",I77))</f>
        <v>0.01</v>
      </c>
      <c r="G77" s="982" t="s">
        <v>417</v>
      </c>
      <c r="H77" s="362" t="s">
        <v>2882</v>
      </c>
      <c r="I77" s="368">
        <v>0.01</v>
      </c>
      <c r="J77" s="2019"/>
      <c r="K77" s="3514">
        <f>IF(AND(K75="",K76=""),4,IF(项目基本情况!K6="上海银行",K76+1,K75+1))</f>
        <v>5</v>
      </c>
      <c r="L77" s="3513" t="s">
        <v>2883</v>
      </c>
      <c r="M77" s="3010" t="s">
        <v>421</v>
      </c>
      <c r="N77" s="1296"/>
      <c r="O77" s="1297">
        <f ca="1">SUMIF(N72:N76,"&lt;9e307")</f>
        <v>20585</v>
      </c>
      <c r="P77" s="1298"/>
      <c r="Q77" s="3008">
        <f ca="1">O77/N69</f>
        <v>0.36585799342397585</v>
      </c>
      <c r="R77" s="2012"/>
      <c r="S77" s="2012"/>
      <c r="T77" s="2012"/>
      <c r="U77" s="2012"/>
      <c r="V77" s="2012"/>
    </row>
    <row r="78" spans="1:22" ht="12" customHeight="1">
      <c r="A78" s="1299"/>
      <c r="B78" s="310"/>
      <c r="C78" s="310"/>
      <c r="D78" s="310"/>
      <c r="E78" s="42"/>
      <c r="F78" s="42"/>
      <c r="G78" s="42"/>
      <c r="H78" s="1001"/>
      <c r="I78" s="310"/>
      <c r="J78" s="2019"/>
      <c r="K78" s="3514"/>
      <c r="L78" s="3513"/>
      <c r="M78" s="3010" t="s">
        <v>425</v>
      </c>
      <c r="N78" s="1296"/>
      <c r="O78" s="1297" t="str">
        <f ca="1">NUMBERSTRING(INT(O77*10000),2)&amp;"元整"</f>
        <v>贰亿零伍佰捌拾伍万元整</v>
      </c>
      <c r="P78" s="1298"/>
      <c r="Q78" s="2012"/>
      <c r="R78" s="2012"/>
      <c r="S78" s="2012"/>
      <c r="T78" s="2012"/>
      <c r="U78" s="2012"/>
      <c r="V78" s="2012"/>
    </row>
    <row r="79" spans="1:22" ht="13.5" thickBot="1">
      <c r="A79" s="3508" t="s">
        <v>427</v>
      </c>
      <c r="B79" s="3508"/>
      <c r="C79" s="3508"/>
      <c r="D79" s="3508"/>
      <c r="E79" s="3508"/>
      <c r="F79" s="42"/>
      <c r="G79" s="42"/>
      <c r="H79" s="1001"/>
      <c r="I79" s="310"/>
      <c r="J79" s="2019"/>
      <c r="K79" s="3534">
        <f>K77+1</f>
        <v>6</v>
      </c>
      <c r="L79" s="3513" t="s">
        <v>2884</v>
      </c>
      <c r="M79" s="3010" t="s">
        <v>421</v>
      </c>
      <c r="N79" s="1296"/>
      <c r="O79" s="1297">
        <f ca="1">N69-O77</f>
        <v>35680</v>
      </c>
      <c r="P79" s="1298"/>
      <c r="Q79" s="2012"/>
      <c r="R79" s="2012"/>
      <c r="S79" s="2012"/>
      <c r="T79" s="2012"/>
      <c r="U79" s="2012"/>
      <c r="V79" s="2012"/>
    </row>
    <row r="80" spans="1:22" ht="25.5">
      <c r="A80" s="3503" t="s">
        <v>428</v>
      </c>
      <c r="B80" s="3504"/>
      <c r="C80" s="992"/>
      <c r="D80" s="992" t="s">
        <v>429</v>
      </c>
      <c r="E80" s="369" t="s">
        <v>430</v>
      </c>
      <c r="F80" s="42"/>
      <c r="G80" s="42"/>
      <c r="H80" s="1001"/>
      <c r="I80" s="310"/>
      <c r="J80" s="2012"/>
      <c r="K80" s="3535"/>
      <c r="L80" s="3513"/>
      <c r="M80" s="3010" t="s">
        <v>425</v>
      </c>
      <c r="N80" s="1296"/>
      <c r="O80" s="1297" t="str">
        <f ca="1">NUMBERSTRING(INT(O79*10000),2)&amp;"元整"</f>
        <v>叁亿伍仟陆佰捌拾万元整</v>
      </c>
      <c r="P80" s="1298"/>
      <c r="Q80" s="2012"/>
      <c r="R80" s="2012"/>
      <c r="S80" s="2012"/>
      <c r="T80" s="2012"/>
      <c r="U80" s="2012"/>
      <c r="V80" s="2012"/>
    </row>
    <row r="81" spans="1:26" ht="13.5" thickBot="1">
      <c r="A81" s="380" t="s">
        <v>1823</v>
      </c>
      <c r="B81" s="370" t="s">
        <v>431</v>
      </c>
      <c r="C81" s="371">
        <f ca="1">ROUND((C82+C83)/(1+'数据-取费表'!C42),0)</f>
        <v>32151</v>
      </c>
      <c r="D81" s="372"/>
      <c r="E81" s="373"/>
      <c r="F81" s="42"/>
      <c r="G81" s="42"/>
      <c r="H81" s="1001"/>
      <c r="I81" s="310"/>
      <c r="J81" s="2012"/>
      <c r="K81" s="3004">
        <f>K79+1</f>
        <v>7</v>
      </c>
      <c r="L81" s="3511" t="s">
        <v>2885</v>
      </c>
      <c r="M81" s="3512"/>
      <c r="N81" s="1300"/>
      <c r="O81" s="1301">
        <f ca="1">ROUND(O79*10000/'数据-汇总表'!E3,0)</f>
        <v>1900</v>
      </c>
      <c r="P81" s="1302"/>
      <c r="Q81" s="2012"/>
      <c r="R81" s="2012"/>
      <c r="S81" s="2012"/>
      <c r="T81" s="2012"/>
      <c r="U81" s="2012"/>
      <c r="V81" s="2012"/>
    </row>
    <row r="82" spans="1:26" ht="13.5" thickTop="1">
      <c r="A82" s="374" t="s">
        <v>1824</v>
      </c>
      <c r="B82" s="375" t="s">
        <v>432</v>
      </c>
      <c r="C82" s="376">
        <f ca="1">D63</f>
        <v>33759</v>
      </c>
      <c r="D82" s="377" t="s">
        <v>19</v>
      </c>
      <c r="E82" s="378"/>
      <c r="F82" s="42"/>
      <c r="G82" s="42"/>
      <c r="H82" s="1001"/>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1"/>
      <c r="I83" s="310"/>
      <c r="J83" s="2012"/>
      <c r="K83" s="3523" t="s">
        <v>2872</v>
      </c>
      <c r="L83" s="3016" t="s">
        <v>2873</v>
      </c>
      <c r="M83" s="3006">
        <f ca="1">IF(N69&gt;10000,N69*0.5%,IF(AND(N69&gt;1000,N69&lt;=10000),N69*1%,IF(AND(N69&gt;100,N69&lt;=1000),N69*3%,IF(AND(N69&gt;10,N69&lt;=100),N69*5%,N69*8%))))</f>
        <v>281.32499999999999</v>
      </c>
      <c r="N83" s="53">
        <f ca="1">ROUND(M83,1)</f>
        <v>281.3</v>
      </c>
      <c r="O83" s="3009"/>
      <c r="P83" s="2012"/>
      <c r="Q83" s="2012"/>
      <c r="R83" s="2012"/>
      <c r="S83" s="2012"/>
      <c r="T83" s="2012"/>
      <c r="U83" s="2012"/>
      <c r="V83" s="2012"/>
    </row>
    <row r="84" spans="1:26" ht="12.75">
      <c r="A84" s="380" t="s">
        <v>1826</v>
      </c>
      <c r="B84" s="381" t="s">
        <v>434</v>
      </c>
      <c r="C84" s="382">
        <v>2000</v>
      </c>
      <c r="D84" s="383" t="s">
        <v>19</v>
      </c>
      <c r="E84" s="3051" t="s">
        <v>2939</v>
      </c>
      <c r="F84" s="42"/>
      <c r="G84" s="42"/>
      <c r="H84" s="1001"/>
      <c r="I84" s="310"/>
      <c r="J84" s="2012"/>
      <c r="K84" s="3523"/>
      <c r="L84" s="3016" t="s">
        <v>2874</v>
      </c>
      <c r="M84" s="3006">
        <f ca="1">IF(N69&gt;2000,N69*0.5%,IF(AND(N69&gt;1000,N69&lt;=2000),N69*0.6%,IF(AND(N69&gt;500,N69&lt;=1000),N69*0.7%,IF(AND(N69&gt;200,N69&lt;=500),N69*0.8%,IF(AND(N69&gt;100,N69&lt;=200),N69*0.9%,IF(AND(N69&gt;50,N69&lt;=100),N69*1%,IF(AND(N69&gt;20,N69&lt;=50),N69*1.5%,IF(AND(N69&gt;10,N69&lt;=20),N69*2%,IF(AND(N69&gt;1,N69&lt;=10),N69*2.5%)))))))))</f>
        <v>281.32499999999999</v>
      </c>
      <c r="N84" s="53">
        <f t="shared" ref="N84:N85" ca="1" si="2">ROUND(M84,1)</f>
        <v>281.3</v>
      </c>
      <c r="O84" s="2012" t="s">
        <v>2875</v>
      </c>
      <c r="P84" s="2012"/>
      <c r="Q84" s="2012"/>
      <c r="R84" s="2012"/>
      <c r="S84" s="2012"/>
      <c r="T84" s="2012"/>
      <c r="U84" s="2012"/>
      <c r="V84" s="2012"/>
    </row>
    <row r="85" spans="1:26" ht="12.75">
      <c r="A85" s="380" t="s">
        <v>1827</v>
      </c>
      <c r="B85" s="381" t="s">
        <v>435</v>
      </c>
      <c r="C85" s="384">
        <f ca="1">C81-C84</f>
        <v>30151</v>
      </c>
      <c r="D85" s="377" t="s">
        <v>19</v>
      </c>
      <c r="E85" s="378"/>
      <c r="F85" s="42"/>
      <c r="G85" s="42"/>
      <c r="H85" s="1001"/>
      <c r="I85" s="310"/>
      <c r="J85" s="2012"/>
      <c r="K85" s="3523"/>
      <c r="L85" s="3016" t="s">
        <v>2876</v>
      </c>
      <c r="M85" s="3006">
        <f ca="1">IF(N69&gt;1000,N69*0.1%,IF(AND(N69&gt;500,N69&lt;=1000),N69*0.5%,IF(AND(N69&gt;50,N69&lt;=500),N69*1%,IF(AND(N69&gt;1,N69&lt;=50),N69*1.5%))))</f>
        <v>56.265000000000001</v>
      </c>
      <c r="N85" s="53">
        <f t="shared" ca="1" si="2"/>
        <v>56.3</v>
      </c>
      <c r="O85" s="2012" t="s">
        <v>2875</v>
      </c>
      <c r="P85" s="2012"/>
      <c r="Q85" s="2012"/>
      <c r="R85" s="2012"/>
      <c r="S85" s="2012"/>
      <c r="T85" s="2012"/>
      <c r="U85" s="2012"/>
      <c r="V85" s="2012"/>
    </row>
    <row r="86" spans="1:26" ht="13.5" thickBot="1">
      <c r="A86" s="385" t="s">
        <v>1828</v>
      </c>
      <c r="B86" s="386" t="s">
        <v>436</v>
      </c>
      <c r="C86" s="387">
        <f ca="1">IF(C85&lt;=0,0,ROUND(C85*D86,0))</f>
        <v>1688</v>
      </c>
      <c r="D86" s="388">
        <f>'数据-取费表'!B41</f>
        <v>5.6000000000000001E-2</v>
      </c>
      <c r="E86" s="389"/>
      <c r="F86" s="42"/>
      <c r="G86" s="42"/>
      <c r="H86" s="1001"/>
      <c r="I86" s="310"/>
      <c r="J86" s="2012"/>
      <c r="K86" s="3523"/>
      <c r="L86" s="3016" t="s">
        <v>2877</v>
      </c>
      <c r="M86" s="3006">
        <f ca="1">N69*0.5%</f>
        <v>281.32499999999999</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1"/>
      <c r="I87" s="310"/>
      <c r="J87" s="2012"/>
      <c r="K87" s="3523"/>
      <c r="L87" s="3016" t="s">
        <v>2879</v>
      </c>
      <c r="M87" s="3006">
        <f ca="1">IF(N69&gt;=10000,(8.25+(N69-10000)*0.01%),IF(AND(N69&gt;=8000,N69&lt;10000),(7.85+(N69-8000)*0.02%),IF(AND(N69&gt;=5000,N69&lt;8000),(6.65+(N69-5000)*0.04%),IF(AND(N69&gt;=2000,N69&lt;5000),(4.25+(PN69-2000)*0.08%),IF(AND(N69&gt;=1000,N69&lt;2000),(2.75+(N69-1000)*0.15%),IF(AND(N69&gt;=100,N69&lt;1000),(0.5+(N69-100)*0.25%),IF(AND(N69&gt;0,N69&lt;100),N69*0.5%)))))))</f>
        <v>12.8765</v>
      </c>
      <c r="N87" s="53">
        <f ca="1">ROUND(M87*0.9,1)</f>
        <v>11.6</v>
      </c>
      <c r="O87" s="3009"/>
      <c r="P87" s="310"/>
      <c r="Q87" s="2012"/>
      <c r="R87" s="2012"/>
      <c r="S87" s="2012"/>
      <c r="T87" s="2012"/>
      <c r="U87" s="2012"/>
      <c r="V87" s="2012"/>
      <c r="W87" s="291"/>
      <c r="X87" s="291"/>
      <c r="Y87" s="291"/>
      <c r="Z87" s="291"/>
    </row>
    <row r="88" spans="1:26" s="1308" customFormat="1" ht="15" thickBot="1">
      <c r="A88" s="3505" t="s">
        <v>437</v>
      </c>
      <c r="B88" s="3506"/>
      <c r="C88" s="3506"/>
      <c r="D88" s="3506"/>
      <c r="E88" s="3506"/>
      <c r="F88" s="3506"/>
      <c r="G88" s="3506"/>
      <c r="H88" s="3506"/>
      <c r="I88" s="1309"/>
      <c r="J88" s="2020"/>
      <c r="K88" s="3523"/>
      <c r="L88" s="3016" t="s">
        <v>2880</v>
      </c>
      <c r="M88" s="3006">
        <f ca="1">IF(N69&gt;10000,N69*0.5%,IF(AND(N69&gt;5000,N69&lt;=10000),N69*1%,IF(AND(N69&gt;1000,N69&lt;=5000),N69*2%,IF(AND(N69&gt;200,N69&lt;=1000),N69*3%,N69*5%))))</f>
        <v>281.32499999999999</v>
      </c>
      <c r="N88" s="53">
        <f ca="1">ROUND(M88,1)</f>
        <v>281.3</v>
      </c>
      <c r="O88" s="3009"/>
      <c r="P88" s="11"/>
      <c r="Q88" s="2017"/>
      <c r="R88" s="2017"/>
      <c r="S88" s="2017"/>
      <c r="T88" s="2017"/>
      <c r="U88" s="2017"/>
      <c r="V88" s="2017"/>
      <c r="W88" s="2021"/>
      <c r="X88" s="2021"/>
      <c r="Y88" s="2021"/>
      <c r="Z88" s="2021"/>
    </row>
    <row r="89" spans="1:26" s="1308" customFormat="1" ht="14.25">
      <c r="A89" s="3503" t="s">
        <v>428</v>
      </c>
      <c r="B89" s="3504"/>
      <c r="C89" s="992"/>
      <c r="D89" s="992" t="s">
        <v>429</v>
      </c>
      <c r="E89" s="390" t="s">
        <v>438</v>
      </c>
      <c r="F89" s="391"/>
      <c r="G89" s="391"/>
      <c r="H89" s="392"/>
      <c r="I89" s="1310"/>
      <c r="J89" s="2022"/>
      <c r="K89" s="3523"/>
      <c r="L89" s="3016" t="s">
        <v>27</v>
      </c>
      <c r="M89" s="3007"/>
      <c r="N89" s="53">
        <f ca="1">ROUND(SUM(N83:N88),0)</f>
        <v>912</v>
      </c>
      <c r="O89" s="3017">
        <f ca="1">N89/N69</f>
        <v>1.6209010930418554E-2</v>
      </c>
      <c r="P89" s="2017"/>
      <c r="Q89" s="2017"/>
      <c r="R89" s="2017"/>
      <c r="S89" s="2017"/>
      <c r="T89" s="2017"/>
      <c r="U89" s="2017"/>
      <c r="V89" s="2017"/>
      <c r="W89" s="2021"/>
      <c r="X89" s="2021"/>
      <c r="Y89" s="2021"/>
      <c r="Z89" s="2021"/>
    </row>
    <row r="90" spans="1:26" s="1308" customFormat="1" ht="14.25">
      <c r="A90" s="380" t="s">
        <v>1823</v>
      </c>
      <c r="B90" s="381" t="s">
        <v>439</v>
      </c>
      <c r="C90" s="384">
        <f ca="1">ROUND(D63/(1+'数据-取费表'!C42),0)</f>
        <v>32151</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1829</v>
      </c>
      <c r="B91" s="347" t="s">
        <v>440</v>
      </c>
      <c r="C91" s="384">
        <f ca="1">C92+C96</f>
        <v>2774</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1830</v>
      </c>
      <c r="B92" s="375" t="s">
        <v>441</v>
      </c>
      <c r="C92" s="377">
        <f>ROUND(IF(G95="2016年5月1日后购买",C93/(1+'数据-取费表'!C30)+C94+C95,C93+C94+C95),0)</f>
        <v>2581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1832</v>
      </c>
      <c r="B94" s="399" t="s">
        <v>446</v>
      </c>
      <c r="C94" s="377">
        <f>IF(F93="购房发票",ROUND(C93*H93*5%,0),0)</f>
        <v>500</v>
      </c>
      <c r="D94" s="400">
        <v>0.05</v>
      </c>
      <c r="E94" s="3466" t="s">
        <v>447</v>
      </c>
      <c r="F94" s="3465"/>
      <c r="G94" s="3465"/>
      <c r="H94" s="350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1834</v>
      </c>
      <c r="B96" s="375" t="s">
        <v>450</v>
      </c>
      <c r="C96" s="404">
        <f ca="1">ROUND(D63*D96/(1+'数据-取费表'!C42),0)</f>
        <v>193</v>
      </c>
      <c r="D96" s="405">
        <f>'数据-取费表'!B43</f>
        <v>6.000000000000001E-3</v>
      </c>
      <c r="E96" s="3494" t="s">
        <v>2427</v>
      </c>
      <c r="F96" s="3495"/>
      <c r="G96" s="3495"/>
      <c r="H96" s="3496"/>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1" t="s">
        <v>451</v>
      </c>
      <c r="C97" s="384">
        <f ca="1">C90-C91</f>
        <v>29377</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1" t="s">
        <v>452</v>
      </c>
      <c r="C98" s="406">
        <f ca="1">IF(C97&lt;=0,0,C97/C91)</f>
        <v>10.590122566690699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6" t="s">
        <v>453</v>
      </c>
      <c r="C99" s="407">
        <f ca="1">ROUND(IF(C97&lt;=0,0,IF(C98&gt;=200%,C97*60%-C91*35%,IF(C98&gt;=100%,C97*50%-C91*15%,IF(C98&gt;=50%,C97*40%-C91*5%,IF(C98&lt;50%,C97*30%,0))))),0)</f>
        <v>16655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505" t="s">
        <v>454</v>
      </c>
      <c r="B101" s="3506"/>
      <c r="C101" s="3506"/>
      <c r="D101" s="3506"/>
      <c r="E101" s="3506"/>
      <c r="F101" s="3506"/>
      <c r="G101" s="3506"/>
      <c r="H101" s="350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503" t="s">
        <v>428</v>
      </c>
      <c r="B102" s="3504"/>
      <c r="C102" s="992"/>
      <c r="D102" s="992"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1823</v>
      </c>
      <c r="B103" s="381" t="s">
        <v>439</v>
      </c>
      <c r="C103" s="384">
        <f ca="1">ROUND(D63/(1+'数据-取费表'!C42),0)</f>
        <v>32151</v>
      </c>
      <c r="D103" s="377" t="s">
        <v>19</v>
      </c>
      <c r="E103" s="989"/>
      <c r="F103" s="988"/>
      <c r="G103" s="988"/>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1829</v>
      </c>
      <c r="B104" s="347" t="s">
        <v>440</v>
      </c>
      <c r="C104" s="384">
        <f ca="1">IF(H106="仅含出让金",C105+C108+C109+C110+C111+C112,C105+C109+C110+C111+C112)</f>
        <v>888</v>
      </c>
      <c r="D104" s="414"/>
      <c r="E104" s="989"/>
      <c r="F104" s="988"/>
      <c r="G104" s="988"/>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1830</v>
      </c>
      <c r="B105" s="375" t="s">
        <v>455</v>
      </c>
      <c r="C105" s="404">
        <f>C106+C107</f>
        <v>577</v>
      </c>
      <c r="D105" s="405"/>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1831</v>
      </c>
      <c r="B106" s="375" t="s">
        <v>456</v>
      </c>
      <c r="C106" s="415">
        <v>555</v>
      </c>
      <c r="D106" s="405"/>
      <c r="E106" s="416" t="s">
        <v>457</v>
      </c>
      <c r="F106" s="984"/>
      <c r="G106" s="417" t="s">
        <v>458</v>
      </c>
      <c r="H106" s="418"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1832</v>
      </c>
      <c r="B107" s="375" t="s">
        <v>448</v>
      </c>
      <c r="C107" s="404">
        <f>ROUND(C106*D107,0)</f>
        <v>22</v>
      </c>
      <c r="D107" s="405">
        <f>'数据-取费表'!B48+'数据-取费表'!B49</f>
        <v>4.0500000000000001E-2</v>
      </c>
      <c r="E107" s="416"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5" t="s">
        <v>461</v>
      </c>
      <c r="C109" s="404">
        <f>IF(H109="——",IF(F1="现房",'剩余法-现房'!C18,'剩余法-待开发'!C18),I109)</f>
        <v>55</v>
      </c>
      <c r="D109" s="405"/>
      <c r="E109" s="3497" t="s">
        <v>462</v>
      </c>
      <c r="F109" s="3495"/>
      <c r="G109" s="3495"/>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5" t="s">
        <v>463</v>
      </c>
      <c r="C110" s="404">
        <f>ROUND((C105+C108+C109)*D110,0)</f>
        <v>63</v>
      </c>
      <c r="D110" s="405">
        <v>0.1</v>
      </c>
      <c r="E110" s="3497" t="s">
        <v>464</v>
      </c>
      <c r="F110" s="3495"/>
      <c r="G110" s="3495"/>
      <c r="H110" s="3496"/>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5" t="s">
        <v>450</v>
      </c>
      <c r="C111" s="404">
        <f ca="1">ROUND(D63*D111/(1+'数据-取费表'!C42),0)</f>
        <v>193</v>
      </c>
      <c r="D111" s="405">
        <f>'数据-取费表'!B43</f>
        <v>6.000000000000001E-3</v>
      </c>
      <c r="E111" s="3494" t="s">
        <v>2427</v>
      </c>
      <c r="F111" s="3495"/>
      <c r="G111" s="3495"/>
      <c r="H111" s="3496"/>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5" t="s">
        <v>465</v>
      </c>
      <c r="C112" s="404">
        <f>ROUND(C108*D112,0)</f>
        <v>0</v>
      </c>
      <c r="D112" s="405">
        <v>0.2</v>
      </c>
      <c r="E112" s="3497" t="s">
        <v>2452</v>
      </c>
      <c r="F112" s="3495"/>
      <c r="G112" s="3495"/>
      <c r="H112" s="3496"/>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1" t="s">
        <v>451</v>
      </c>
      <c r="C113" s="384">
        <f ca="1">ROUND(C103-C104,0)</f>
        <v>31263</v>
      </c>
      <c r="D113" s="377" t="s">
        <v>19</v>
      </c>
      <c r="E113" s="989"/>
      <c r="F113" s="988"/>
      <c r="G113" s="988"/>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1" t="s">
        <v>452</v>
      </c>
      <c r="C114" s="406">
        <f ca="1">IF(C113&lt;=0,0,C113/C104)</f>
        <v>35.206081081081081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6" t="s">
        <v>453</v>
      </c>
      <c r="C115" s="407">
        <f ca="1">ROUND(IF(C113&lt;=0,0,IF(C114&gt;=200%,C113*60%-C104*35%,IF(C114&gt;=100%,C113*50%-C104*15%,IF(C114&gt;=50%,C113*40%-C104*5%,IF(C114&lt;50%,C113*30%,0))))),0)</f>
        <v>18447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A28:F33"/>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338" t="str">
        <f>项目基本情况!B1</f>
        <v>天津市滨海高新区滨海科技园（宗地编号：津滨高（挂）2019-1号）一宗城镇住宅、商服用地出让国有建设用地使用权抵押价格预评估</v>
      </c>
      <c r="C37" s="3338"/>
      <c r="D37" s="3338"/>
      <c r="E37" s="3338"/>
      <c r="F37" s="3338"/>
      <c r="G37" s="3338"/>
      <c r="H37" s="3338"/>
      <c r="I37" s="3338"/>
    </row>
    <row r="38" spans="1:9">
      <c r="A38" s="1640"/>
      <c r="B38" s="1640"/>
    </row>
    <row r="39" spans="1:9">
      <c r="A39" s="1638" t="s">
        <v>1901</v>
      </c>
      <c r="B39" s="1638" t="s">
        <v>2046</v>
      </c>
    </row>
    <row r="40" spans="1:9">
      <c r="A40" s="1638"/>
      <c r="B40" s="1638" t="str">
        <f>项目基本情况!B5</f>
        <v>中诚信托有限责任公司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L29" sqref="L29"/>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58614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9">
        <f>ROUND(B2*10000/'数据-汇总表'!E3,0)</f>
        <v>3122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8097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540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548" t="s">
        <v>522</v>
      </c>
      <c r="D6" s="3549"/>
      <c r="E6" s="3548" t="s">
        <v>523</v>
      </c>
      <c r="F6" s="3549"/>
      <c r="G6" s="3548" t="s">
        <v>524</v>
      </c>
      <c r="H6" s="3549"/>
      <c r="I6" s="3548" t="s">
        <v>525</v>
      </c>
      <c r="J6" s="3549"/>
      <c r="K6" s="513" t="s">
        <v>526</v>
      </c>
      <c r="L6" s="2117"/>
      <c r="M6" s="2116"/>
      <c r="N6" s="2116"/>
      <c r="O6" s="2118"/>
      <c r="P6" s="3550" t="s">
        <v>527</v>
      </c>
      <c r="Q6" s="3551"/>
      <c r="R6" s="3556" t="s">
        <v>523</v>
      </c>
      <c r="S6" s="3557"/>
      <c r="T6" s="3556" t="s">
        <v>524</v>
      </c>
      <c r="U6" s="3557"/>
      <c r="V6" s="3543" t="s">
        <v>525</v>
      </c>
      <c r="W6" s="3543"/>
      <c r="X6" s="1552"/>
      <c r="Y6" s="3556" t="s">
        <v>527</v>
      </c>
      <c r="Z6" s="3557"/>
      <c r="AA6" s="3545" t="s">
        <v>523</v>
      </c>
      <c r="AB6" s="3546" t="s">
        <v>524</v>
      </c>
      <c r="AC6" s="3545" t="s">
        <v>525</v>
      </c>
    </row>
    <row r="7" spans="1:30" ht="20.25">
      <c r="A7" s="514"/>
      <c r="B7" s="515"/>
      <c r="C7" s="3564" t="s">
        <v>2928</v>
      </c>
      <c r="D7" s="3565"/>
      <c r="E7" s="3564" t="str">
        <f>土地案例!E18</f>
        <v>滨海高新区海洋科技园</v>
      </c>
      <c r="F7" s="3565"/>
      <c r="G7" s="3564" t="str">
        <f>土地案例!E22</f>
        <v>滨海高新区海洋科技园</v>
      </c>
      <c r="H7" s="3565"/>
      <c r="I7" s="3564" t="str">
        <f>土地案例!E20</f>
        <v>滨海高新区海洋科技园</v>
      </c>
      <c r="J7" s="3565"/>
      <c r="K7" s="513"/>
      <c r="L7" s="2117"/>
      <c r="M7" s="2116"/>
      <c r="N7" s="2116"/>
      <c r="O7" s="2118"/>
      <c r="P7" s="3552"/>
      <c r="Q7" s="3553"/>
      <c r="R7" s="3558"/>
      <c r="S7" s="3559"/>
      <c r="T7" s="3558"/>
      <c r="U7" s="3559"/>
      <c r="V7" s="3543"/>
      <c r="W7" s="3543"/>
      <c r="X7" s="1552"/>
      <c r="Y7" s="3558"/>
      <c r="Z7" s="3559"/>
      <c r="AA7" s="3546"/>
      <c r="AB7" s="3546"/>
      <c r="AC7" s="3546"/>
    </row>
    <row r="8" spans="1:30" ht="21" thickBot="1">
      <c r="A8" s="514"/>
      <c r="B8" s="515"/>
      <c r="C8" s="3566" t="s">
        <v>2932</v>
      </c>
      <c r="D8" s="3567"/>
      <c r="E8" s="3566" t="str">
        <f>土地案例!G18</f>
        <v>津滨高(挂)2018-5号</v>
      </c>
      <c r="F8" s="3567"/>
      <c r="G8" s="3562" t="str">
        <f>土地案例!G22</f>
        <v>津滨高(挂)2018-4号</v>
      </c>
      <c r="H8" s="3563"/>
      <c r="I8" s="3562" t="str">
        <f>土地案例!G20</f>
        <v>津滨高(挂)2018-18号</v>
      </c>
      <c r="J8" s="3563"/>
      <c r="K8" s="513" t="s">
        <v>528</v>
      </c>
      <c r="L8" s="2117"/>
      <c r="M8" s="2116"/>
      <c r="N8" s="2116"/>
      <c r="O8" s="2118"/>
      <c r="P8" s="3554"/>
      <c r="Q8" s="3555"/>
      <c r="R8" s="3558"/>
      <c r="S8" s="3559"/>
      <c r="T8" s="3560"/>
      <c r="U8" s="3561"/>
      <c r="V8" s="3543"/>
      <c r="W8" s="3543"/>
      <c r="X8" s="1552"/>
      <c r="Y8" s="3560"/>
      <c r="Z8" s="3561"/>
      <c r="AA8" s="3547"/>
      <c r="AB8" s="3547"/>
      <c r="AC8" s="3547"/>
    </row>
    <row r="9" spans="1:30" s="1214" customFormat="1" ht="21" thickBot="1">
      <c r="A9" s="2866"/>
      <c r="B9" s="2873" t="s">
        <v>529</v>
      </c>
      <c r="C9" s="2865">
        <f>'数据-取费表'!B2</f>
        <v>43698</v>
      </c>
      <c r="D9" s="519">
        <v>100</v>
      </c>
      <c r="E9" s="520" t="str">
        <f>土地案例!L18</f>
        <v>2019-02-27</v>
      </c>
      <c r="F9" s="521">
        <f>SUMIF(72:72,YEAR(E9)&amp;"-"&amp;INT((MONTH(E9)+2)/3),73:73)</f>
        <v>99</v>
      </c>
      <c r="G9" s="522" t="str">
        <f>土地案例!L22</f>
        <v>2019-02-27</v>
      </c>
      <c r="H9" s="519">
        <f>SUMIF(72:72,YEAR(G9)&amp;"-"&amp;INT((MONTH(G9)+2)/3),73:73)</f>
        <v>99</v>
      </c>
      <c r="I9" s="522" t="str">
        <f>土地案例!L30</f>
        <v>2019-01-30</v>
      </c>
      <c r="J9" s="519">
        <f>SUMIF(72:72,YEAR(I9)&amp;"-"&amp;INT((MONTH(I9)+2)/3),73:73)</f>
        <v>99</v>
      </c>
      <c r="K9" s="523"/>
      <c r="L9" s="2119"/>
      <c r="M9" s="2116"/>
      <c r="N9" s="2116"/>
      <c r="O9" s="2120"/>
      <c r="P9" s="3573" t="s">
        <v>530</v>
      </c>
      <c r="Q9" s="3575"/>
      <c r="R9" s="1553" t="s">
        <v>8</v>
      </c>
      <c r="S9" s="1554">
        <f t="shared" ref="S9:S17" si="0">F9</f>
        <v>99</v>
      </c>
      <c r="T9" s="1553" t="s">
        <v>8</v>
      </c>
      <c r="U9" s="1554">
        <f t="shared" ref="U9:U17" si="1">H9</f>
        <v>99</v>
      </c>
      <c r="V9" s="1553" t="s">
        <v>8</v>
      </c>
      <c r="W9" s="1554">
        <f t="shared" ref="W9:W17" si="2">J9</f>
        <v>99</v>
      </c>
      <c r="X9" s="1555"/>
      <c r="Y9" s="3573" t="s">
        <v>530</v>
      </c>
      <c r="Z9" s="3574"/>
      <c r="AA9" s="1556">
        <f>D9/F9</f>
        <v>1.0101010101010102</v>
      </c>
      <c r="AB9" s="1556">
        <f>D9/H9</f>
        <v>1.0101010101010102</v>
      </c>
      <c r="AC9" s="1556">
        <f>D9/J9</f>
        <v>1.0101010101010102</v>
      </c>
    </row>
    <row r="10" spans="1:30" s="1214" customFormat="1" ht="21" thickBot="1">
      <c r="A10" s="2867"/>
      <c r="B10" s="2874" t="s">
        <v>531</v>
      </c>
      <c r="C10" s="855" t="s">
        <v>532</v>
      </c>
      <c r="D10" s="519">
        <v>100</v>
      </c>
      <c r="E10" s="524" t="s">
        <v>3050</v>
      </c>
      <c r="F10" s="521">
        <f>SUMIF(75:75,E10,76:76)-SUMIF(75:75,C10,76:76)+100</f>
        <v>100</v>
      </c>
      <c r="G10" s="524" t="s">
        <v>3050</v>
      </c>
      <c r="H10" s="519">
        <f>SUMIF(75:75,G10,76:76)-SUMIF(75:75,C10,76:76)+100</f>
        <v>100</v>
      </c>
      <c r="I10" s="524" t="s">
        <v>3050</v>
      </c>
      <c r="J10" s="519">
        <f>SUMIF(75:75,I10,76:76)-SUMIF(75:75,C10,76:76)+100</f>
        <v>100</v>
      </c>
      <c r="K10" s="523"/>
      <c r="L10" s="2119"/>
      <c r="M10" s="2116"/>
      <c r="N10" s="2116"/>
      <c r="O10" s="2120"/>
      <c r="P10" s="3573" t="s">
        <v>533</v>
      </c>
      <c r="Q10" s="3574"/>
      <c r="R10" s="1553" t="s">
        <v>8</v>
      </c>
      <c r="S10" s="1554">
        <f t="shared" si="0"/>
        <v>100</v>
      </c>
      <c r="T10" s="1553" t="s">
        <v>8</v>
      </c>
      <c r="U10" s="1554">
        <f t="shared" si="1"/>
        <v>100</v>
      </c>
      <c r="V10" s="1553" t="s">
        <v>8</v>
      </c>
      <c r="W10" s="1554">
        <f t="shared" si="2"/>
        <v>100</v>
      </c>
      <c r="X10" s="1555"/>
      <c r="Y10" s="3573" t="s">
        <v>533</v>
      </c>
      <c r="Z10" s="3574"/>
      <c r="AA10" s="1556">
        <f t="shared" ref="AA10:AA47" si="3">D10/F10</f>
        <v>1</v>
      </c>
      <c r="AB10" s="1556">
        <f t="shared" ref="AB10:AB47" si="4">D10/H10</f>
        <v>1</v>
      </c>
      <c r="AC10" s="1556">
        <f t="shared" ref="AC10:AC47" si="5">D10/J10</f>
        <v>1</v>
      </c>
    </row>
    <row r="11" spans="1:30" s="1214" customFormat="1" ht="42.75">
      <c r="A11" s="2868"/>
      <c r="B11" s="2875" t="s">
        <v>2754</v>
      </c>
      <c r="C11" s="2862" t="s">
        <v>3008</v>
      </c>
      <c r="D11" s="253">
        <v>100</v>
      </c>
      <c r="E11" s="525" t="s">
        <v>3188</v>
      </c>
      <c r="F11" s="253">
        <f>SUMIF(77:77,E11,78:78)-SUMIF(77:77,C11,78:78)+100</f>
        <v>100</v>
      </c>
      <c r="G11" s="525" t="s">
        <v>3008</v>
      </c>
      <c r="H11" s="253">
        <f>SUMIF(77:77,G11,78:78)-SUMIF(77:77,C11,78:78)+100</f>
        <v>100</v>
      </c>
      <c r="I11" s="525" t="s">
        <v>3008</v>
      </c>
      <c r="J11" s="253">
        <f>SUMIF(77:77,I11,78:78)-SUMIF(77:77,C11,78:78)+100</f>
        <v>100</v>
      </c>
      <c r="K11" s="523"/>
      <c r="L11" s="2119"/>
      <c r="M11" s="2116"/>
      <c r="N11" s="2116"/>
      <c r="O11" s="2121"/>
      <c r="P11" s="3542" t="s">
        <v>535</v>
      </c>
      <c r="Q11" s="1145" t="str">
        <f t="shared" ref="Q11:Q17" si="6">B11</f>
        <v>用途</v>
      </c>
      <c r="R11" s="1553" t="s">
        <v>8</v>
      </c>
      <c r="S11" s="1554">
        <f t="shared" si="0"/>
        <v>100</v>
      </c>
      <c r="T11" s="1553" t="s">
        <v>8</v>
      </c>
      <c r="U11" s="1554">
        <f t="shared" si="1"/>
        <v>100</v>
      </c>
      <c r="V11" s="1553" t="s">
        <v>8</v>
      </c>
      <c r="W11" s="1554">
        <f t="shared" si="2"/>
        <v>100</v>
      </c>
      <c r="X11" s="1555"/>
      <c r="Y11" s="3488" t="s">
        <v>536</v>
      </c>
      <c r="Z11" s="1144" t="str">
        <f t="shared" ref="Z11:Z17" si="7">Q11</f>
        <v>用途</v>
      </c>
      <c r="AA11" s="1556">
        <f t="shared" si="3"/>
        <v>1</v>
      </c>
      <c r="AB11" s="1556">
        <f t="shared" si="4"/>
        <v>1</v>
      </c>
      <c r="AC11" s="1556">
        <f t="shared" si="5"/>
        <v>1</v>
      </c>
    </row>
    <row r="12" spans="1:30" s="1332" customFormat="1" ht="27">
      <c r="A12" s="2869"/>
      <c r="B12" s="2874" t="s">
        <v>2755</v>
      </c>
      <c r="C12" s="908"/>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542"/>
      <c r="Q12" s="1145" t="str">
        <f t="shared" si="6"/>
        <v>土地使用年限（年）</v>
      </c>
      <c r="R12" s="1553" t="s">
        <v>8</v>
      </c>
      <c r="S12" s="1554">
        <f t="shared" si="0"/>
        <v>100</v>
      </c>
      <c r="T12" s="1553" t="s">
        <v>8</v>
      </c>
      <c r="U12" s="1554">
        <f t="shared" si="1"/>
        <v>100</v>
      </c>
      <c r="V12" s="1553" t="s">
        <v>8</v>
      </c>
      <c r="W12" s="1554">
        <f t="shared" si="2"/>
        <v>100</v>
      </c>
      <c r="X12" s="1555"/>
      <c r="Y12" s="3488"/>
      <c r="Z12" s="1144" t="str">
        <f t="shared" si="7"/>
        <v>土地使用年限（年）</v>
      </c>
      <c r="AA12" s="1556">
        <f t="shared" si="3"/>
        <v>1</v>
      </c>
      <c r="AB12" s="1556">
        <f t="shared" si="4"/>
        <v>1</v>
      </c>
      <c r="AC12" s="1556">
        <f t="shared" si="5"/>
        <v>1</v>
      </c>
    </row>
    <row r="13" spans="1:30" ht="20.25">
      <c r="A13" s="2870"/>
      <c r="B13" s="2874" t="s">
        <v>2756</v>
      </c>
      <c r="C13" s="533">
        <f>'数据-汇总表'!I6</f>
        <v>1.8</v>
      </c>
      <c r="D13" s="254">
        <v>100</v>
      </c>
      <c r="E13" s="532">
        <v>1.9</v>
      </c>
      <c r="F13" s="254">
        <f>LOOKUP(E13,82:82,83:83)-LOOKUP(C13,82:82,83:83)+100</f>
        <v>100</v>
      </c>
      <c r="G13" s="533">
        <v>2.2000000000000002</v>
      </c>
      <c r="H13" s="254">
        <f>LOOKUP(G13,82:82,83:83)-LOOKUP(C13,82:82,83:83)+100</f>
        <v>98</v>
      </c>
      <c r="I13" s="532">
        <v>2.2000000000000002</v>
      </c>
      <c r="J13" s="254">
        <f>LOOKUP(I13,82:82,83:83)-LOOKUP(C13,82:82,83:83)+100</f>
        <v>98</v>
      </c>
      <c r="K13" s="534">
        <v>2</v>
      </c>
      <c r="L13" s="2124"/>
      <c r="M13" s="2116"/>
      <c r="N13" s="2116"/>
      <c r="O13" s="2125"/>
      <c r="P13" s="3542"/>
      <c r="Q13" s="1145" t="str">
        <f t="shared" si="6"/>
        <v>容积率</v>
      </c>
      <c r="R13" s="1553" t="s">
        <v>8</v>
      </c>
      <c r="S13" s="1554">
        <f t="shared" si="0"/>
        <v>100</v>
      </c>
      <c r="T13" s="1553" t="s">
        <v>8</v>
      </c>
      <c r="U13" s="1554">
        <f t="shared" si="1"/>
        <v>98</v>
      </c>
      <c r="V13" s="1553" t="s">
        <v>8</v>
      </c>
      <c r="W13" s="1554">
        <f t="shared" si="2"/>
        <v>98</v>
      </c>
      <c r="X13" s="1555"/>
      <c r="Y13" s="3488"/>
      <c r="Z13" s="1144" t="str">
        <f t="shared" si="7"/>
        <v>容积率</v>
      </c>
      <c r="AA13" s="1556">
        <f t="shared" si="3"/>
        <v>1</v>
      </c>
      <c r="AB13" s="1556">
        <f t="shared" si="4"/>
        <v>1.0204081632653061</v>
      </c>
      <c r="AC13" s="1556">
        <f t="shared" si="5"/>
        <v>1.0204081632653061</v>
      </c>
    </row>
    <row r="14" spans="1:30" s="1214" customFormat="1" ht="20.25">
      <c r="A14" s="2867"/>
      <c r="B14" s="2876" t="s">
        <v>2757</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542"/>
      <c r="Q14" s="1145" t="str">
        <f t="shared" si="6"/>
        <v>配建</v>
      </c>
      <c r="R14" s="1553" t="s">
        <v>8</v>
      </c>
      <c r="S14" s="1554">
        <f t="shared" si="0"/>
        <v>100</v>
      </c>
      <c r="T14" s="1553" t="s">
        <v>8</v>
      </c>
      <c r="U14" s="1554">
        <f t="shared" si="1"/>
        <v>100</v>
      </c>
      <c r="V14" s="1553" t="s">
        <v>8</v>
      </c>
      <c r="W14" s="1554">
        <f t="shared" si="2"/>
        <v>100</v>
      </c>
      <c r="X14" s="1555"/>
      <c r="Y14" s="3488"/>
      <c r="Z14" s="1144" t="str">
        <f t="shared" si="7"/>
        <v>配建</v>
      </c>
      <c r="AA14" s="1556">
        <f>D14/F14</f>
        <v>1</v>
      </c>
      <c r="AB14" s="1556">
        <f>D14/H14</f>
        <v>1</v>
      </c>
      <c r="AC14" s="1556">
        <f>D14/J14</f>
        <v>1</v>
      </c>
    </row>
    <row r="15" spans="1:30" ht="20.25">
      <c r="A15" s="2871"/>
      <c r="B15" s="2877">
        <v>111</v>
      </c>
      <c r="C15" s="910"/>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542"/>
      <c r="Q15" s="1145">
        <f t="shared" si="6"/>
        <v>111</v>
      </c>
      <c r="R15" s="1553" t="s">
        <v>8</v>
      </c>
      <c r="S15" s="1554">
        <f t="shared" si="0"/>
        <v>100</v>
      </c>
      <c r="T15" s="1553" t="s">
        <v>8</v>
      </c>
      <c r="U15" s="1554">
        <f t="shared" si="1"/>
        <v>100</v>
      </c>
      <c r="V15" s="1553" t="s">
        <v>8</v>
      </c>
      <c r="W15" s="1554">
        <f t="shared" si="2"/>
        <v>100</v>
      </c>
      <c r="X15" s="1555"/>
      <c r="Y15" s="3488"/>
      <c r="Z15" s="1144">
        <f t="shared" si="7"/>
        <v>111</v>
      </c>
      <c r="AA15" s="1556">
        <f>D15/F15</f>
        <v>1</v>
      </c>
      <c r="AB15" s="1556">
        <f>D15/H15</f>
        <v>1</v>
      </c>
      <c r="AC15" s="1556">
        <f>D15/J15</f>
        <v>1</v>
      </c>
    </row>
    <row r="16" spans="1:30" ht="2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542"/>
      <c r="Q16" s="1145">
        <f t="shared" si="6"/>
        <v>111</v>
      </c>
      <c r="R16" s="1553" t="s">
        <v>8</v>
      </c>
      <c r="S16" s="1554">
        <f t="shared" si="0"/>
        <v>100</v>
      </c>
      <c r="T16" s="1553" t="s">
        <v>8</v>
      </c>
      <c r="U16" s="1554">
        <f t="shared" si="1"/>
        <v>100</v>
      </c>
      <c r="V16" s="1553" t="s">
        <v>8</v>
      </c>
      <c r="W16" s="1554">
        <f t="shared" si="2"/>
        <v>100</v>
      </c>
      <c r="X16" s="1555"/>
      <c r="Y16" s="3488"/>
      <c r="Z16" s="1144">
        <f t="shared" si="7"/>
        <v>111</v>
      </c>
      <c r="AA16" s="1556">
        <f>D16/F16</f>
        <v>1</v>
      </c>
      <c r="AB16" s="1556">
        <f>D16/H16</f>
        <v>1</v>
      </c>
      <c r="AC16" s="1556">
        <f>D16/J16</f>
        <v>1</v>
      </c>
    </row>
    <row r="17" spans="1:29" ht="99.75">
      <c r="A17" s="2864"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49"/>
      <c r="J17" s="548">
        <f>SUMIF(90:90,I18,91:91)-SUMIF(90:90,C18,91:91)+100</f>
        <v>103</v>
      </c>
      <c r="K17" s="534">
        <v>3</v>
      </c>
      <c r="L17" s="2126"/>
      <c r="M17" s="2116"/>
      <c r="N17" s="2116"/>
      <c r="O17" s="2125"/>
      <c r="P17" s="3576" t="s">
        <v>540</v>
      </c>
      <c r="Q17" s="1557" t="str">
        <f t="shared" si="6"/>
        <v>居住社区成熟度</v>
      </c>
      <c r="R17" s="1558" t="s">
        <v>8</v>
      </c>
      <c r="S17" s="1559">
        <f t="shared" si="0"/>
        <v>103</v>
      </c>
      <c r="T17" s="1558" t="s">
        <v>8</v>
      </c>
      <c r="U17" s="1559">
        <f t="shared" si="1"/>
        <v>103</v>
      </c>
      <c r="V17" s="1558" t="s">
        <v>8</v>
      </c>
      <c r="W17" s="1559">
        <f t="shared" si="2"/>
        <v>103</v>
      </c>
      <c r="X17" s="1552"/>
      <c r="Y17" s="3576" t="s">
        <v>540</v>
      </c>
      <c r="Z17" s="1560" t="str">
        <f t="shared" si="7"/>
        <v>居住社区成熟度</v>
      </c>
      <c r="AA17" s="1561">
        <f t="shared" si="3"/>
        <v>0.970873786407767</v>
      </c>
      <c r="AB17" s="1561">
        <f t="shared" si="4"/>
        <v>0.970873786407767</v>
      </c>
      <c r="AC17" s="1561">
        <f t="shared" si="5"/>
        <v>0.970873786407767</v>
      </c>
    </row>
    <row r="18" spans="1:29" ht="20.25">
      <c r="A18" s="531"/>
      <c r="B18" s="552"/>
      <c r="C18" s="553" t="s">
        <v>3071</v>
      </c>
      <c r="D18" s="556"/>
      <c r="E18" s="557" t="s">
        <v>3051</v>
      </c>
      <c r="F18" s="554"/>
      <c r="G18" s="555" t="s">
        <v>3051</v>
      </c>
      <c r="H18" s="558"/>
      <c r="I18" s="555" t="s">
        <v>3051</v>
      </c>
      <c r="J18" s="554"/>
      <c r="K18" s="530"/>
      <c r="L18" s="2126"/>
      <c r="M18" s="2116"/>
      <c r="N18" s="2116"/>
      <c r="O18" s="2125"/>
      <c r="P18" s="3577"/>
      <c r="Q18" s="1557"/>
      <c r="R18" s="1558"/>
      <c r="S18" s="1559"/>
      <c r="T18" s="1558"/>
      <c r="U18" s="1559"/>
      <c r="V18" s="1558"/>
      <c r="W18" s="1559"/>
      <c r="X18" s="1552"/>
      <c r="Y18" s="3577"/>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1"/>
      <c r="J19" s="564">
        <f>SUMIF(92:92,I20,93:93)-SUMIF(92:92,C20,93:93)+100</f>
        <v>102</v>
      </c>
      <c r="K19" s="534">
        <v>2</v>
      </c>
      <c r="L19" s="2126"/>
      <c r="M19" s="2116"/>
      <c r="N19" s="2116"/>
      <c r="O19" s="2125"/>
      <c r="P19" s="3577"/>
      <c r="Q19" s="1557" t="str">
        <f>B19</f>
        <v>商业繁华度</v>
      </c>
      <c r="R19" s="1558" t="s">
        <v>8</v>
      </c>
      <c r="S19" s="1559">
        <f>F19</f>
        <v>102</v>
      </c>
      <c r="T19" s="1558" t="s">
        <v>8</v>
      </c>
      <c r="U19" s="1559">
        <f>H19</f>
        <v>102</v>
      </c>
      <c r="V19" s="1558" t="s">
        <v>8</v>
      </c>
      <c r="W19" s="1559">
        <f>J19</f>
        <v>102</v>
      </c>
      <c r="X19" s="1552"/>
      <c r="Y19" s="3577"/>
      <c r="Z19" s="1560" t="str">
        <f>Q19</f>
        <v>商业繁华度</v>
      </c>
      <c r="AA19" s="1561">
        <f t="shared" si="3"/>
        <v>0.98039215686274506</v>
      </c>
      <c r="AB19" s="1561">
        <f t="shared" si="4"/>
        <v>0.98039215686274506</v>
      </c>
      <c r="AC19" s="1561">
        <f t="shared" si="5"/>
        <v>0.98039215686274506</v>
      </c>
    </row>
    <row r="20" spans="1:29" ht="20.25">
      <c r="A20" s="531"/>
      <c r="B20" s="565"/>
      <c r="C20" s="566" t="s">
        <v>3071</v>
      </c>
      <c r="D20" s="562"/>
      <c r="E20" s="568" t="s">
        <v>3051</v>
      </c>
      <c r="F20" s="558"/>
      <c r="G20" s="567" t="s">
        <v>3051</v>
      </c>
      <c r="H20" s="554"/>
      <c r="I20" s="567" t="s">
        <v>3051</v>
      </c>
      <c r="J20" s="554"/>
      <c r="K20" s="530"/>
      <c r="L20" s="2126"/>
      <c r="M20" s="2116"/>
      <c r="N20" s="2116"/>
      <c r="O20" s="2125"/>
      <c r="P20" s="3577"/>
      <c r="Q20" s="1557"/>
      <c r="R20" s="1558"/>
      <c r="S20" s="1559"/>
      <c r="T20" s="1558"/>
      <c r="U20" s="1559"/>
      <c r="V20" s="1558"/>
      <c r="W20" s="1559"/>
      <c r="X20" s="1552"/>
      <c r="Y20" s="3577"/>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69"/>
      <c r="J21" s="558">
        <f>SUMIF(94:94,I22,95:95)-SUMIF(94:94,C22,95:95)+100</f>
        <v>100</v>
      </c>
      <c r="K21" s="534"/>
      <c r="L21" s="2126"/>
      <c r="M21" s="2116"/>
      <c r="N21" s="2116"/>
      <c r="O21" s="2125"/>
      <c r="P21" s="3577"/>
      <c r="Q21" s="1557" t="str">
        <f>B21</f>
        <v>办公集聚程度</v>
      </c>
      <c r="R21" s="1558" t="s">
        <v>8</v>
      </c>
      <c r="S21" s="1559">
        <f>F21</f>
        <v>100</v>
      </c>
      <c r="T21" s="1558" t="s">
        <v>8</v>
      </c>
      <c r="U21" s="1559">
        <f>H21</f>
        <v>100</v>
      </c>
      <c r="V21" s="1558" t="s">
        <v>8</v>
      </c>
      <c r="W21" s="1559">
        <f>J21</f>
        <v>100</v>
      </c>
      <c r="X21" s="1552"/>
      <c r="Y21" s="3577"/>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5"/>
      <c r="J22" s="554"/>
      <c r="K22" s="530"/>
      <c r="L22" s="2126"/>
      <c r="M22" s="2116"/>
      <c r="N22" s="2116"/>
      <c r="O22" s="2125"/>
      <c r="P22" s="3577"/>
      <c r="Q22" s="1557"/>
      <c r="R22" s="1558"/>
      <c r="S22" s="1559"/>
      <c r="T22" s="1558"/>
      <c r="U22" s="1559"/>
      <c r="V22" s="1558"/>
      <c r="W22" s="1559"/>
      <c r="X22" s="1552"/>
      <c r="Y22" s="3577"/>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1"/>
      <c r="J23" s="558">
        <f>SUMIF(96:96,I24,97:97)-SUMIF(96:96,C24,97:97)+100</f>
        <v>102</v>
      </c>
      <c r="K23" s="534">
        <v>2</v>
      </c>
      <c r="L23" s="2126"/>
      <c r="M23" s="2116"/>
      <c r="N23" s="2116"/>
      <c r="O23" s="2125"/>
      <c r="P23" s="3577"/>
      <c r="Q23" s="1557" t="str">
        <f>B23</f>
        <v>交通便捷度</v>
      </c>
      <c r="R23" s="1558" t="s">
        <v>8</v>
      </c>
      <c r="S23" s="1559">
        <f>F23</f>
        <v>102</v>
      </c>
      <c r="T23" s="1558" t="s">
        <v>8</v>
      </c>
      <c r="U23" s="1559">
        <f>H23</f>
        <v>102</v>
      </c>
      <c r="V23" s="1558" t="s">
        <v>8</v>
      </c>
      <c r="W23" s="1559">
        <f>J23</f>
        <v>102</v>
      </c>
      <c r="X23" s="1552"/>
      <c r="Y23" s="3577"/>
      <c r="Z23" s="1560" t="str">
        <f>Q23</f>
        <v>交通便捷度</v>
      </c>
      <c r="AA23" s="1561">
        <f t="shared" si="3"/>
        <v>0.98039215686274506</v>
      </c>
      <c r="AB23" s="1561">
        <f t="shared" si="4"/>
        <v>0.98039215686274506</v>
      </c>
      <c r="AC23" s="1561">
        <f t="shared" si="5"/>
        <v>0.98039215686274506</v>
      </c>
    </row>
    <row r="24" spans="1:29" ht="20.25">
      <c r="A24" s="531"/>
      <c r="B24" s="577"/>
      <c r="C24" s="553" t="s">
        <v>3071</v>
      </c>
      <c r="D24" s="556"/>
      <c r="E24" s="557" t="s">
        <v>3051</v>
      </c>
      <c r="F24" s="554"/>
      <c r="G24" s="555" t="s">
        <v>3051</v>
      </c>
      <c r="H24" s="554"/>
      <c r="I24" s="555" t="s">
        <v>3051</v>
      </c>
      <c r="J24" s="554"/>
      <c r="K24" s="530"/>
      <c r="L24" s="2126"/>
      <c r="M24" s="2116"/>
      <c r="N24" s="2116"/>
      <c r="O24" s="2125"/>
      <c r="P24" s="3577"/>
      <c r="Q24" s="1557"/>
      <c r="R24" s="1558"/>
      <c r="S24" s="1559"/>
      <c r="T24" s="1558"/>
      <c r="U24" s="1559"/>
      <c r="V24" s="1558"/>
      <c r="W24" s="1559"/>
      <c r="X24" s="1552"/>
      <c r="Y24" s="3577"/>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1"/>
      <c r="J25" s="558">
        <f>SUMIF(98:98,I26,99:99)-SUMIF(98:98,C26,99:99)+100</f>
        <v>100</v>
      </c>
      <c r="K25" s="534"/>
      <c r="L25" s="2126"/>
      <c r="M25" s="2116"/>
      <c r="N25" s="2116"/>
      <c r="O25" s="2125"/>
      <c r="P25" s="3577"/>
      <c r="Q25" s="1557" t="str">
        <f t="shared" ref="Q25:Q39" si="8">B25</f>
        <v>区域土地利用方向</v>
      </c>
      <c r="R25" s="1558" t="s">
        <v>8</v>
      </c>
      <c r="S25" s="1559">
        <f>F25</f>
        <v>100</v>
      </c>
      <c r="T25" s="1558" t="s">
        <v>8</v>
      </c>
      <c r="U25" s="1559">
        <f>H25</f>
        <v>100</v>
      </c>
      <c r="V25" s="1558" t="s">
        <v>8</v>
      </c>
      <c r="W25" s="1559">
        <f>J25</f>
        <v>100</v>
      </c>
      <c r="X25" s="1552"/>
      <c r="Y25" s="3577"/>
      <c r="Z25" s="1560" t="str">
        <f>Q25</f>
        <v>区域土地利用方向</v>
      </c>
      <c r="AA25" s="1561">
        <f t="shared" si="3"/>
        <v>1</v>
      </c>
      <c r="AB25" s="1561">
        <f t="shared" si="4"/>
        <v>1</v>
      </c>
      <c r="AC25" s="1561">
        <f t="shared" si="5"/>
        <v>1</v>
      </c>
    </row>
    <row r="26" spans="1:29" ht="20.25">
      <c r="A26" s="514"/>
      <c r="B26" s="1005"/>
      <c r="C26" s="553" t="s">
        <v>3051</v>
      </c>
      <c r="D26" s="556"/>
      <c r="E26" s="557" t="s">
        <v>3051</v>
      </c>
      <c r="F26" s="554"/>
      <c r="G26" s="555" t="s">
        <v>3051</v>
      </c>
      <c r="H26" s="554"/>
      <c r="I26" s="555" t="s">
        <v>3051</v>
      </c>
      <c r="J26" s="554"/>
      <c r="K26" s="530"/>
      <c r="L26" s="2126"/>
      <c r="M26" s="2116"/>
      <c r="N26" s="2116"/>
      <c r="O26" s="2125"/>
      <c r="P26" s="3577"/>
      <c r="Q26" s="1557"/>
      <c r="R26" s="1558"/>
      <c r="S26" s="1559"/>
      <c r="T26" s="1558"/>
      <c r="U26" s="1559"/>
      <c r="V26" s="1558"/>
      <c r="W26" s="1559"/>
      <c r="X26" s="1552"/>
      <c r="Y26" s="3577"/>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1"/>
      <c r="J27" s="558">
        <f>SUMIF(100:100,I28,101:101)-SUMIF(100:100,C28,101:101)+100</f>
        <v>100</v>
      </c>
      <c r="K27" s="534"/>
      <c r="L27" s="2126"/>
      <c r="M27" s="2116"/>
      <c r="N27" s="2116"/>
      <c r="O27" s="2125"/>
      <c r="P27" s="3577"/>
      <c r="Q27" s="1557" t="str">
        <f t="shared" si="8"/>
        <v>自然及人文环境状况</v>
      </c>
      <c r="R27" s="1558" t="s">
        <v>8</v>
      </c>
      <c r="S27" s="1559">
        <f>F27</f>
        <v>100</v>
      </c>
      <c r="T27" s="1558" t="s">
        <v>8</v>
      </c>
      <c r="U27" s="1559">
        <f>H27</f>
        <v>100</v>
      </c>
      <c r="V27" s="1558" t="s">
        <v>8</v>
      </c>
      <c r="W27" s="1559">
        <f>J27</f>
        <v>100</v>
      </c>
      <c r="X27" s="1552"/>
      <c r="Y27" s="3577"/>
      <c r="Z27" s="1560" t="str">
        <f>Q27</f>
        <v>自然及人文环境状况</v>
      </c>
      <c r="AA27" s="1561">
        <f t="shared" si="3"/>
        <v>1</v>
      </c>
      <c r="AB27" s="1561">
        <f t="shared" si="4"/>
        <v>1</v>
      </c>
      <c r="AC27" s="1561">
        <f t="shared" si="5"/>
        <v>1</v>
      </c>
    </row>
    <row r="28" spans="1:29" ht="20.25">
      <c r="A28" s="514"/>
      <c r="B28" s="565"/>
      <c r="C28" s="553" t="s">
        <v>3071</v>
      </c>
      <c r="D28" s="556"/>
      <c r="E28" s="575" t="s">
        <v>3071</v>
      </c>
      <c r="F28" s="554"/>
      <c r="G28" s="553" t="s">
        <v>3071</v>
      </c>
      <c r="H28" s="554"/>
      <c r="I28" s="553" t="s">
        <v>3071</v>
      </c>
      <c r="J28" s="554"/>
      <c r="K28" s="530"/>
      <c r="L28" s="2126"/>
      <c r="M28" s="2116"/>
      <c r="N28" s="2116"/>
      <c r="O28" s="2125"/>
      <c r="P28" s="3577"/>
      <c r="Q28" s="1557"/>
      <c r="R28" s="1558"/>
      <c r="S28" s="1559"/>
      <c r="T28" s="1558"/>
      <c r="U28" s="1559"/>
      <c r="V28" s="1558"/>
      <c r="W28" s="1559"/>
      <c r="X28" s="1552"/>
      <c r="Y28" s="3577"/>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1"/>
      <c r="J29" s="558">
        <f>SUMIF(102:102,I30,103:103)-SUMIF(102:102,C30,103:103)+100</f>
        <v>103</v>
      </c>
      <c r="K29" s="534">
        <v>3</v>
      </c>
      <c r="L29" s="2119"/>
      <c r="M29" s="2116"/>
      <c r="N29" s="2116"/>
      <c r="O29" s="2121"/>
      <c r="P29" s="3577"/>
      <c r="Q29" s="1145" t="str">
        <f t="shared" si="8"/>
        <v>公共配套设施</v>
      </c>
      <c r="R29" s="1553" t="s">
        <v>8</v>
      </c>
      <c r="S29" s="1554">
        <f>F29</f>
        <v>103</v>
      </c>
      <c r="T29" s="1553" t="s">
        <v>8</v>
      </c>
      <c r="U29" s="1554">
        <f>H29</f>
        <v>103</v>
      </c>
      <c r="V29" s="1553" t="s">
        <v>8</v>
      </c>
      <c r="W29" s="1554">
        <f>J29</f>
        <v>103</v>
      </c>
      <c r="X29" s="1555"/>
      <c r="Y29" s="3577"/>
      <c r="Z29" s="1144" t="str">
        <f>Q29</f>
        <v>公共配套设施</v>
      </c>
      <c r="AA29" s="1561">
        <f>D29/F29</f>
        <v>0.970873786407767</v>
      </c>
      <c r="AB29" s="1561">
        <f>D29/H29</f>
        <v>0.970873786407767</v>
      </c>
      <c r="AC29" s="1561">
        <f>D29/J29</f>
        <v>0.970873786407767</v>
      </c>
    </row>
    <row r="30" spans="1:29" s="1214" customFormat="1" ht="20.25">
      <c r="A30" s="576"/>
      <c r="B30" s="565"/>
      <c r="C30" s="578" t="s">
        <v>3071</v>
      </c>
      <c r="D30" s="556"/>
      <c r="E30" s="575" t="s">
        <v>3051</v>
      </c>
      <c r="F30" s="554"/>
      <c r="G30" s="553" t="s">
        <v>3051</v>
      </c>
      <c r="H30" s="554"/>
      <c r="I30" s="553" t="s">
        <v>3051</v>
      </c>
      <c r="J30" s="554"/>
      <c r="K30" s="530"/>
      <c r="L30" s="2119"/>
      <c r="M30" s="2116"/>
      <c r="N30" s="2116"/>
      <c r="O30" s="2121"/>
      <c r="P30" s="3577"/>
      <c r="Q30" s="1145"/>
      <c r="R30" s="1553"/>
      <c r="S30" s="1554"/>
      <c r="T30" s="1553"/>
      <c r="U30" s="1554"/>
      <c r="V30" s="1553"/>
      <c r="W30" s="1554"/>
      <c r="X30" s="1555"/>
      <c r="Y30" s="3577"/>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2</v>
      </c>
      <c r="L31" s="2119"/>
      <c r="M31" s="2116"/>
      <c r="N31" s="2116"/>
      <c r="O31" s="2121"/>
      <c r="P31" s="3577"/>
      <c r="Q31" s="2541" t="str">
        <f t="shared" ref="Q31" si="9">B31</f>
        <v>基础设施水平</v>
      </c>
      <c r="R31" s="1553" t="s">
        <v>8</v>
      </c>
      <c r="S31" s="1554">
        <f>F31</f>
        <v>100</v>
      </c>
      <c r="T31" s="1553" t="s">
        <v>8</v>
      </c>
      <c r="U31" s="1554">
        <f>H31</f>
        <v>100</v>
      </c>
      <c r="V31" s="1553" t="s">
        <v>8</v>
      </c>
      <c r="W31" s="1554">
        <f>J31</f>
        <v>100</v>
      </c>
      <c r="X31" s="1555"/>
      <c r="Y31" s="3577"/>
      <c r="Z31" s="2538" t="str">
        <f>Q31</f>
        <v>基础设施水平</v>
      </c>
      <c r="AA31" s="1561">
        <f>D31/F31</f>
        <v>1</v>
      </c>
      <c r="AB31" s="1561">
        <f>D31/H31</f>
        <v>1</v>
      </c>
      <c r="AC31" s="1561">
        <f>D31/J31</f>
        <v>1</v>
      </c>
    </row>
    <row r="32" spans="1:29" s="1214" customFormat="1" ht="20.25">
      <c r="A32" s="576"/>
      <c r="B32" s="565"/>
      <c r="C32" s="578" t="s">
        <v>3059</v>
      </c>
      <c r="D32" s="556"/>
      <c r="E32" s="578" t="s">
        <v>3059</v>
      </c>
      <c r="F32" s="554"/>
      <c r="G32" s="578" t="s">
        <v>3059</v>
      </c>
      <c r="H32" s="554"/>
      <c r="I32" s="578" t="s">
        <v>3059</v>
      </c>
      <c r="J32" s="554"/>
      <c r="K32" s="530"/>
      <c r="L32" s="2119"/>
      <c r="M32" s="2116"/>
      <c r="N32" s="2116"/>
      <c r="O32" s="2121"/>
      <c r="P32" s="3577"/>
      <c r="Q32" s="2541"/>
      <c r="R32" s="1553"/>
      <c r="S32" s="1554"/>
      <c r="T32" s="1553"/>
      <c r="U32" s="1554"/>
      <c r="V32" s="1553"/>
      <c r="W32" s="1554"/>
      <c r="X32" s="1555"/>
      <c r="Y32" s="3577"/>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57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77"/>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c r="L34" s="2126"/>
      <c r="M34" s="2116"/>
      <c r="N34" s="2116"/>
      <c r="O34" s="2125"/>
      <c r="P34" s="3577"/>
      <c r="Q34" s="1557" t="str">
        <f t="shared" si="8"/>
        <v>毗邻道路的类型与等级</v>
      </c>
      <c r="R34" s="1558" t="s">
        <v>8</v>
      </c>
      <c r="S34" s="1559">
        <f t="shared" si="10"/>
        <v>100</v>
      </c>
      <c r="T34" s="1558" t="s">
        <v>8</v>
      </c>
      <c r="U34" s="1559">
        <f t="shared" si="11"/>
        <v>100</v>
      </c>
      <c r="V34" s="1558" t="s">
        <v>8</v>
      </c>
      <c r="W34" s="1559">
        <f t="shared" si="12"/>
        <v>100</v>
      </c>
      <c r="X34" s="1552"/>
      <c r="Y34" s="3577"/>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53"/>
      <c r="J35" s="554"/>
      <c r="K35" s="580"/>
      <c r="L35" s="2126"/>
      <c r="M35" s="2116"/>
      <c r="N35" s="2116"/>
      <c r="O35" s="2125"/>
      <c r="P35" s="3577"/>
      <c r="Q35" s="1557"/>
      <c r="R35" s="1558"/>
      <c r="S35" s="1559"/>
      <c r="T35" s="1558"/>
      <c r="U35" s="1559"/>
      <c r="V35" s="1558"/>
      <c r="W35" s="1559"/>
      <c r="X35" s="1552"/>
      <c r="Y35" s="3577"/>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79"/>
      <c r="J36" s="539">
        <f>SUMIF(110:110,I36,111:111)-SUMIF(110:110,C36,111:111)+100</f>
        <v>100</v>
      </c>
      <c r="K36" s="583"/>
      <c r="L36" s="2126"/>
      <c r="M36" s="2116"/>
      <c r="N36" s="2116"/>
      <c r="O36" s="2125"/>
      <c r="P36" s="3577"/>
      <c r="Q36" s="1557" t="str">
        <f t="shared" si="8"/>
        <v>土地级别</v>
      </c>
      <c r="R36" s="1558" t="s">
        <v>8</v>
      </c>
      <c r="S36" s="1559">
        <f t="shared" si="10"/>
        <v>100</v>
      </c>
      <c r="T36" s="1558" t="s">
        <v>8</v>
      </c>
      <c r="U36" s="1559">
        <f t="shared" si="11"/>
        <v>100</v>
      </c>
      <c r="V36" s="1558" t="s">
        <v>8</v>
      </c>
      <c r="W36" s="1559">
        <f t="shared" si="12"/>
        <v>100</v>
      </c>
      <c r="X36" s="1552"/>
      <c r="Y36" s="3577"/>
      <c r="Z36" s="1560" t="str">
        <f t="shared" si="13"/>
        <v>土地级别</v>
      </c>
      <c r="AA36" s="1561">
        <f t="shared" si="3"/>
        <v>1</v>
      </c>
      <c r="AB36" s="1561">
        <f t="shared" si="4"/>
        <v>1</v>
      </c>
      <c r="AC36" s="1561">
        <f t="shared" si="5"/>
        <v>1</v>
      </c>
    </row>
    <row r="37" spans="1:29" ht="20.25">
      <c r="A37" s="514"/>
      <c r="B37" s="584"/>
      <c r="C37" s="585"/>
      <c r="D37" s="574">
        <v>100</v>
      </c>
      <c r="E37" s="541"/>
      <c r="F37" s="539">
        <f>SUMIF(112:112,E37,113:113)-SUMIF(112:112,C37,113:113)+100</f>
        <v>100</v>
      </c>
      <c r="G37" s="585"/>
      <c r="H37" s="539">
        <f>SUMIF(112:112,G37,113:113)-SUMIF(112:112,C37,113:113)+100</f>
        <v>100</v>
      </c>
      <c r="I37" s="585"/>
      <c r="J37" s="539">
        <f>SUMIF(112:112,I37,113:113)-SUMIF(112:112,C37,113:113)+100</f>
        <v>100</v>
      </c>
      <c r="K37" s="580"/>
      <c r="L37" s="2126"/>
      <c r="M37" s="2116"/>
      <c r="N37" s="2116"/>
      <c r="O37" s="2125"/>
      <c r="P37" s="3577"/>
      <c r="Q37" s="1557">
        <f t="shared" si="8"/>
        <v>0</v>
      </c>
      <c r="R37" s="1558" t="s">
        <v>8</v>
      </c>
      <c r="S37" s="1559">
        <f t="shared" si="10"/>
        <v>100</v>
      </c>
      <c r="T37" s="1558" t="s">
        <v>8</v>
      </c>
      <c r="U37" s="1559">
        <f t="shared" si="11"/>
        <v>100</v>
      </c>
      <c r="V37" s="1558" t="s">
        <v>8</v>
      </c>
      <c r="W37" s="1559">
        <f t="shared" si="12"/>
        <v>100</v>
      </c>
      <c r="X37" s="1552"/>
      <c r="Y37" s="3577"/>
      <c r="Z37" s="1560">
        <f t="shared" si="13"/>
        <v>0</v>
      </c>
      <c r="AA37" s="1561">
        <f t="shared" si="3"/>
        <v>1</v>
      </c>
      <c r="AB37" s="1561">
        <f t="shared" si="4"/>
        <v>1</v>
      </c>
      <c r="AC37" s="1561">
        <f t="shared" si="5"/>
        <v>1</v>
      </c>
    </row>
    <row r="38" spans="1:29" ht="20.25">
      <c r="A38" s="586"/>
      <c r="B38" s="587"/>
      <c r="C38" s="585"/>
      <c r="D38" s="574">
        <v>100</v>
      </c>
      <c r="E38" s="541"/>
      <c r="F38" s="539">
        <f>SUMIF(114:114,E39,115:115)-SUMIF(114:114,C39,115:115)+100</f>
        <v>100</v>
      </c>
      <c r="G38" s="585"/>
      <c r="H38" s="539">
        <f>SUMIF(114:114,G38,115:115)-SUMIF(114:114,C38,115:115)+100</f>
        <v>100</v>
      </c>
      <c r="I38" s="585"/>
      <c r="J38" s="539">
        <f>SUMIF(114:114,I38,115:115)-SUMIF(114:114,C38,115:115)+100</f>
        <v>100</v>
      </c>
      <c r="K38" s="580"/>
      <c r="L38" s="2126"/>
      <c r="M38" s="2116"/>
      <c r="N38" s="2116"/>
      <c r="O38" s="2125"/>
      <c r="P38" s="3578" t="s">
        <v>550</v>
      </c>
      <c r="Q38" s="1557">
        <f t="shared" si="8"/>
        <v>0</v>
      </c>
      <c r="R38" s="1558" t="s">
        <v>8</v>
      </c>
      <c r="S38" s="1559">
        <f t="shared" si="10"/>
        <v>100</v>
      </c>
      <c r="T38" s="1558" t="s">
        <v>8</v>
      </c>
      <c r="U38" s="1559">
        <f t="shared" si="11"/>
        <v>100</v>
      </c>
      <c r="V38" s="1558" t="s">
        <v>8</v>
      </c>
      <c r="W38" s="1559">
        <f t="shared" si="12"/>
        <v>100</v>
      </c>
      <c r="X38" s="1552"/>
      <c r="Y38" s="3579" t="s">
        <v>550</v>
      </c>
      <c r="Z38" s="1560">
        <f t="shared" si="13"/>
        <v>0</v>
      </c>
      <c r="AA38" s="1561">
        <f t="shared" si="3"/>
        <v>1</v>
      </c>
      <c r="AB38" s="1561">
        <f t="shared" si="4"/>
        <v>1</v>
      </c>
      <c r="AC38" s="1561">
        <f t="shared" si="5"/>
        <v>1</v>
      </c>
    </row>
    <row r="39" spans="1:29" s="1333" customFormat="1" ht="21" thickBot="1">
      <c r="A39" s="588"/>
      <c r="B39" s="589"/>
      <c r="C39" s="590"/>
      <c r="D39" s="739">
        <v>100</v>
      </c>
      <c r="E39" s="592"/>
      <c r="F39" s="545">
        <f>SUMIF(116:116,E39,117:117)-SUMIF(116:116,C39,117:117)+100</f>
        <v>100</v>
      </c>
      <c r="G39" s="740"/>
      <c r="H39" s="545">
        <f>SUMIF(116:116,G39,117:117)-SUMIF(116:116,C39,117:117)+100</f>
        <v>100</v>
      </c>
      <c r="I39" s="740"/>
      <c r="J39" s="545">
        <f>SUMIF(116:116,I39,117:117)-SUMIF(116:116,C39,117:117)+100</f>
        <v>100</v>
      </c>
      <c r="K39" s="580"/>
      <c r="L39" s="2124"/>
      <c r="M39" s="2116"/>
      <c r="N39" s="2116"/>
      <c r="O39" s="2127"/>
      <c r="P39" s="3579"/>
      <c r="Q39" s="1557">
        <f t="shared" si="8"/>
        <v>0</v>
      </c>
      <c r="R39" s="1562" t="s">
        <v>8</v>
      </c>
      <c r="S39" s="1563">
        <f t="shared" si="10"/>
        <v>100</v>
      </c>
      <c r="T39" s="1562" t="s">
        <v>8</v>
      </c>
      <c r="U39" s="1563">
        <f t="shared" si="11"/>
        <v>100</v>
      </c>
      <c r="V39" s="1562" t="s">
        <v>8</v>
      </c>
      <c r="W39" s="1563">
        <f t="shared" si="12"/>
        <v>100</v>
      </c>
      <c r="X39" s="1564"/>
      <c r="Y39" s="3579"/>
      <c r="Z39" s="1565">
        <f t="shared" si="13"/>
        <v>0</v>
      </c>
      <c r="AA39" s="1561">
        <f t="shared" si="3"/>
        <v>1</v>
      </c>
      <c r="AB39" s="1561">
        <f t="shared" si="4"/>
        <v>1</v>
      </c>
      <c r="AC39" s="1561">
        <f t="shared" si="5"/>
        <v>1</v>
      </c>
    </row>
    <row r="40" spans="1:29" ht="20.25">
      <c r="A40" s="2861" t="s">
        <v>2753</v>
      </c>
      <c r="B40" s="594" t="s">
        <v>552</v>
      </c>
      <c r="C40" s="595">
        <f>'数据-汇总表'!D3</f>
        <v>72391.8</v>
      </c>
      <c r="D40" s="596">
        <v>100</v>
      </c>
      <c r="E40" s="595">
        <f>土地案例!I18</f>
        <v>37406</v>
      </c>
      <c r="F40" s="596">
        <f>LOOKUP(E40,119:119,120:120)-LOOKUP(C40,119:119,120:120)+100</f>
        <v>100</v>
      </c>
      <c r="G40" s="595">
        <f>土地案例!I22</f>
        <v>23679.200000000001</v>
      </c>
      <c r="H40" s="596">
        <f>LOOKUP(G40,119:119,120:120)-LOOKUP(C40,119:119,120:120)+100</f>
        <v>100</v>
      </c>
      <c r="I40" s="597">
        <f>土地案例!I20</f>
        <v>19012.400000000001</v>
      </c>
      <c r="J40" s="596">
        <f>LOOKUP(I40,119:119,120:120)-LOOKUP(C40,119:119,120:120)+100</f>
        <v>100</v>
      </c>
      <c r="K40" s="580"/>
      <c r="L40" s="2126"/>
      <c r="M40" s="2116"/>
      <c r="N40" s="2116"/>
      <c r="O40" s="2125"/>
      <c r="P40" s="3579"/>
      <c r="Q40" s="1557" t="str">
        <f>B40</f>
        <v>宗地面积</v>
      </c>
      <c r="R40" s="1558" t="s">
        <v>8</v>
      </c>
      <c r="S40" s="1559">
        <f t="shared" si="10"/>
        <v>100</v>
      </c>
      <c r="T40" s="1558" t="s">
        <v>8</v>
      </c>
      <c r="U40" s="1559">
        <f t="shared" si="11"/>
        <v>100</v>
      </c>
      <c r="V40" s="1558" t="s">
        <v>8</v>
      </c>
      <c r="W40" s="1559">
        <f t="shared" si="12"/>
        <v>100</v>
      </c>
      <c r="X40" s="1552"/>
      <c r="Y40" s="3579"/>
      <c r="Z40" s="1560" t="str">
        <f t="shared" si="13"/>
        <v>宗地面积</v>
      </c>
      <c r="AA40" s="1561">
        <f t="shared" si="3"/>
        <v>1</v>
      </c>
      <c r="AB40" s="1561">
        <f t="shared" si="4"/>
        <v>1</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579"/>
      <c r="Q41" s="1557" t="str">
        <f t="shared" ref="Q41:Q47" si="14">B41</f>
        <v>宗地形状</v>
      </c>
      <c r="R41" s="1558" t="s">
        <v>8</v>
      </c>
      <c r="S41" s="1559">
        <f t="shared" si="10"/>
        <v>100</v>
      </c>
      <c r="T41" s="1558" t="s">
        <v>8</v>
      </c>
      <c r="U41" s="1559">
        <f t="shared" si="11"/>
        <v>100</v>
      </c>
      <c r="V41" s="1558" t="s">
        <v>8</v>
      </c>
      <c r="W41" s="1559">
        <f t="shared" si="12"/>
        <v>100</v>
      </c>
      <c r="X41" s="1552"/>
      <c r="Y41" s="3579"/>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579"/>
      <c r="Q42" s="1557" t="str">
        <f t="shared" si="14"/>
        <v>临街宽度及深度</v>
      </c>
      <c r="R42" s="1558" t="s">
        <v>8</v>
      </c>
      <c r="S42" s="1559">
        <f t="shared" si="10"/>
        <v>100</v>
      </c>
      <c r="T42" s="1558" t="s">
        <v>8</v>
      </c>
      <c r="U42" s="1559">
        <f t="shared" si="11"/>
        <v>100</v>
      </c>
      <c r="V42" s="1558" t="s">
        <v>8</v>
      </c>
      <c r="W42" s="1559">
        <f t="shared" si="12"/>
        <v>100</v>
      </c>
      <c r="X42" s="1552"/>
      <c r="Y42" s="3579"/>
      <c r="Z42" s="1560" t="str">
        <f t="shared" si="13"/>
        <v>临街宽度及深度</v>
      </c>
      <c r="AA42" s="1561">
        <f t="shared" si="3"/>
        <v>1</v>
      </c>
      <c r="AB42" s="1561">
        <f t="shared" si="4"/>
        <v>1</v>
      </c>
      <c r="AC42" s="1561">
        <f t="shared" si="5"/>
        <v>1</v>
      </c>
    </row>
    <row r="43" spans="1:29" s="1214" customFormat="1" ht="20.25">
      <c r="A43" s="599"/>
      <c r="B43" s="1879" t="s">
        <v>2423</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579"/>
      <c r="Q43" s="1557" t="str">
        <f t="shared" si="14"/>
        <v>宗地开发程度</v>
      </c>
      <c r="R43" s="1553" t="s">
        <v>8</v>
      </c>
      <c r="S43" s="1554">
        <f t="shared" si="10"/>
        <v>100</v>
      </c>
      <c r="T43" s="1553" t="s">
        <v>8</v>
      </c>
      <c r="U43" s="1554">
        <f t="shared" si="11"/>
        <v>100</v>
      </c>
      <c r="V43" s="1553" t="s">
        <v>8</v>
      </c>
      <c r="W43" s="1554">
        <f t="shared" si="12"/>
        <v>100</v>
      </c>
      <c r="X43" s="1555"/>
      <c r="Y43" s="3579"/>
      <c r="Z43" s="1144"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579" t="s">
        <v>550</v>
      </c>
      <c r="Q44" s="1557" t="str">
        <f t="shared" si="14"/>
        <v>工程地质条件</v>
      </c>
      <c r="R44" s="1558" t="s">
        <v>8</v>
      </c>
      <c r="S44" s="1559">
        <f t="shared" si="10"/>
        <v>100</v>
      </c>
      <c r="T44" s="1558" t="s">
        <v>8</v>
      </c>
      <c r="U44" s="1559">
        <f t="shared" si="11"/>
        <v>100</v>
      </c>
      <c r="V44" s="1558" t="s">
        <v>8</v>
      </c>
      <c r="W44" s="1559">
        <f t="shared" si="12"/>
        <v>100</v>
      </c>
      <c r="X44" s="1552"/>
      <c r="Y44" s="3579"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579"/>
      <c r="Q45" s="1557">
        <f t="shared" si="14"/>
        <v>0</v>
      </c>
      <c r="R45" s="1558" t="s">
        <v>8</v>
      </c>
      <c r="S45" s="1559">
        <f t="shared" si="10"/>
        <v>100</v>
      </c>
      <c r="T45" s="1558" t="s">
        <v>8</v>
      </c>
      <c r="U45" s="1559">
        <f t="shared" si="11"/>
        <v>100</v>
      </c>
      <c r="V45" s="1558" t="s">
        <v>8</v>
      </c>
      <c r="W45" s="1559">
        <f t="shared" si="12"/>
        <v>100</v>
      </c>
      <c r="X45" s="1552"/>
      <c r="Y45" s="3579"/>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579"/>
      <c r="Q46" s="1557">
        <f t="shared" si="14"/>
        <v>0</v>
      </c>
      <c r="R46" s="1558" t="s">
        <v>8</v>
      </c>
      <c r="S46" s="1559">
        <f t="shared" si="10"/>
        <v>100</v>
      </c>
      <c r="T46" s="1558" t="s">
        <v>8</v>
      </c>
      <c r="U46" s="1559">
        <f t="shared" si="11"/>
        <v>100</v>
      </c>
      <c r="V46" s="1558" t="s">
        <v>8</v>
      </c>
      <c r="W46" s="1559">
        <f t="shared" si="12"/>
        <v>100</v>
      </c>
      <c r="X46" s="1552"/>
      <c r="Y46" s="3579"/>
      <c r="Z46" s="1560">
        <f t="shared" si="13"/>
        <v>0</v>
      </c>
      <c r="AA46" s="1561">
        <f t="shared" si="3"/>
        <v>1</v>
      </c>
      <c r="AB46" s="1561">
        <f t="shared" si="4"/>
        <v>1</v>
      </c>
      <c r="AC46" s="1561">
        <f t="shared" si="5"/>
        <v>1</v>
      </c>
    </row>
    <row r="47" spans="1:29" s="1333"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579"/>
      <c r="Q47" s="1557">
        <f t="shared" si="14"/>
        <v>0</v>
      </c>
      <c r="R47" s="1562" t="s">
        <v>8</v>
      </c>
      <c r="S47" s="1563">
        <f t="shared" si="10"/>
        <v>100</v>
      </c>
      <c r="T47" s="1562" t="s">
        <v>8</v>
      </c>
      <c r="U47" s="1563">
        <f t="shared" si="11"/>
        <v>100</v>
      </c>
      <c r="V47" s="1562" t="s">
        <v>8</v>
      </c>
      <c r="W47" s="1563">
        <f t="shared" si="12"/>
        <v>100</v>
      </c>
      <c r="X47" s="1564"/>
      <c r="Y47" s="3579"/>
      <c r="Z47" s="1565">
        <f t="shared" si="13"/>
        <v>0</v>
      </c>
      <c r="AA47" s="1561">
        <f t="shared" si="3"/>
        <v>1</v>
      </c>
      <c r="AB47" s="1561">
        <f t="shared" si="4"/>
        <v>1</v>
      </c>
      <c r="AC47" s="1561">
        <f t="shared" si="5"/>
        <v>1</v>
      </c>
    </row>
    <row r="48" spans="1:29" ht="20.25">
      <c r="A48" s="606" t="s">
        <v>556</v>
      </c>
      <c r="B48" s="607" t="s">
        <v>3295</v>
      </c>
      <c r="C48" s="608" t="s">
        <v>1</v>
      </c>
      <c r="D48" s="609"/>
      <c r="E48" s="610">
        <v>5285</v>
      </c>
      <c r="F48" s="611"/>
      <c r="G48" s="612">
        <v>5048</v>
      </c>
      <c r="H48" s="613"/>
      <c r="I48" s="610">
        <v>5051</v>
      </c>
      <c r="J48" s="613"/>
      <c r="K48" s="1334"/>
      <c r="L48" s="2128"/>
      <c r="M48" s="2116"/>
      <c r="N48" s="2116"/>
      <c r="O48" s="2129"/>
      <c r="P48" s="3542" t="str">
        <f>A48</f>
        <v>成交单价</v>
      </c>
      <c r="Q48" s="3542"/>
      <c r="R48" s="3543">
        <f>E48</f>
        <v>5285</v>
      </c>
      <c r="S48" s="3543"/>
      <c r="T48" s="3543">
        <f>G48</f>
        <v>5048</v>
      </c>
      <c r="U48" s="3543"/>
      <c r="V48" s="3543">
        <f>I48</f>
        <v>5051</v>
      </c>
      <c r="W48" s="3543"/>
      <c r="X48" s="1544"/>
      <c r="Y48" s="1566"/>
      <c r="Z48" s="1544"/>
      <c r="AA48" s="1544"/>
      <c r="AB48" s="1544"/>
      <c r="AC48" s="1544"/>
    </row>
    <row r="49" spans="1:29" ht="21" thickBot="1">
      <c r="A49" s="614" t="s">
        <v>2691</v>
      </c>
      <c r="B49" s="615"/>
      <c r="C49" s="616">
        <f>R50</f>
        <v>4756</v>
      </c>
      <c r="D49" s="617"/>
      <c r="E49" s="616">
        <f>R49</f>
        <v>4837</v>
      </c>
      <c r="F49" s="618"/>
      <c r="G49" s="619">
        <f>T49</f>
        <v>4714</v>
      </c>
      <c r="H49" s="617"/>
      <c r="I49" s="616">
        <f>V49</f>
        <v>4717</v>
      </c>
      <c r="J49" s="617"/>
      <c r="K49" s="1335"/>
      <c r="L49" s="2128"/>
      <c r="M49" s="2116"/>
      <c r="N49" s="2116"/>
      <c r="O49" s="2129"/>
      <c r="P49" s="3542" t="str">
        <f>A49</f>
        <v>比较价格（元/平方米）</v>
      </c>
      <c r="Q49" s="3542"/>
      <c r="R49" s="3544">
        <f>ROUND(PRODUCT(R48,AA9:AA47),0)</f>
        <v>4837</v>
      </c>
      <c r="S49" s="3544"/>
      <c r="T49" s="3544">
        <f>ROUND(PRODUCT(T48,AB9:AB47),0)</f>
        <v>4714</v>
      </c>
      <c r="U49" s="3544"/>
      <c r="V49" s="3544">
        <f>ROUND(PRODUCT(V48,AC9:AC47),0)</f>
        <v>4717</v>
      </c>
      <c r="W49" s="3544"/>
      <c r="X49" s="1544"/>
      <c r="Y49" s="1544"/>
      <c r="Z49" s="1544"/>
      <c r="AA49" s="1544"/>
      <c r="AB49" s="1544"/>
      <c r="AC49" s="1544"/>
    </row>
    <row r="50" spans="1:29" ht="21" thickBot="1">
      <c r="A50" s="620" t="s">
        <v>2934</v>
      </c>
      <c r="B50" s="621"/>
      <c r="C50" s="622">
        <f>R50</f>
        <v>4756</v>
      </c>
      <c r="D50" s="622"/>
      <c r="E50" s="622"/>
      <c r="F50" s="622"/>
      <c r="G50" s="622"/>
      <c r="H50" s="622"/>
      <c r="I50" s="622"/>
      <c r="J50" s="622"/>
      <c r="K50" s="1336"/>
      <c r="L50" s="2128"/>
      <c r="M50" s="2116"/>
      <c r="N50" s="2116"/>
      <c r="O50" s="2129"/>
      <c r="P50" s="3539" t="str">
        <f>A50</f>
        <v>估价对象XX用房的比较价格（楼面单价，元/平方米）</v>
      </c>
      <c r="Q50" s="3540"/>
      <c r="R50" s="3541">
        <f>ROUND(AVERAGE(R49:V49),0)</f>
        <v>4756</v>
      </c>
      <c r="S50" s="3541"/>
      <c r="T50" s="3541"/>
      <c r="U50" s="3541"/>
      <c r="V50" s="3541"/>
      <c r="W50" s="3541"/>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9.2619392185238736E-2</v>
      </c>
      <c r="F53" s="626" t="str">
        <f>IF(OR(E53&gt;=0.3,E53&lt;=-0.3),"超过30%","")</f>
        <v/>
      </c>
      <c r="G53" s="625">
        <f>IF(G48&lt;G49,G49/G48-1,G48/G49-1)</f>
        <v>7.0852778956300488E-2</v>
      </c>
      <c r="H53" s="626" t="str">
        <f>IF(OR(G53&gt;=0.3,G53&lt;=-0.3),"超过30%","")</f>
        <v/>
      </c>
      <c r="I53" s="625">
        <f>IF(I48&lt;I49,I49/I48-1,I48/I49-1)</f>
        <v>7.0807716769133E-2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2.6092490453966999E-2</v>
      </c>
      <c r="F54" s="626" t="str">
        <f>IF(OR(E54&gt;=0.2,E54&lt;=-0.2),"超过20%","")</f>
        <v/>
      </c>
      <c r="G54" s="625">
        <f>IF(G49&lt;I49,I49/G49-1,G49/I49-1)</f>
        <v>6.3640220619420873E-4</v>
      </c>
      <c r="H54" s="626" t="str">
        <f>IF(OR(G54&gt;=0.2,G54&lt;=-0.2),"超过20%","")</f>
        <v/>
      </c>
      <c r="I54" s="625">
        <f>IF(I49&lt;E49,E49/I49-1,I49/E49-1)</f>
        <v>2.5439898240406933E-2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f>IF(E48&lt;G48,G48/E48-1,E48/G48-1)</f>
        <v>4.6949286846275751E-2</v>
      </c>
      <c r="F55" s="626" t="str">
        <f>IF(OR(E55&gt;=0.3,E55&lt;=-0.3),"超过30%","")</f>
        <v/>
      </c>
      <c r="G55" s="625">
        <f>IF(G48&lt;I48,I48/G48-1,G48/I48-1)</f>
        <v>5.942947702060053E-4</v>
      </c>
      <c r="H55" s="626" t="str">
        <f>IF(OR(G55&gt;=0.3,G55&lt;=-0.3),"超过30%","")</f>
        <v/>
      </c>
      <c r="I55" s="625">
        <f>IF(I48&lt;E48,E48/I48-1,I48/E48-1)</f>
        <v>4.6327459908928947E-2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568" t="s">
        <v>2281</v>
      </c>
      <c r="H57" s="356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564</v>
      </c>
      <c r="B58" s="633">
        <f>C50</f>
        <v>4756</v>
      </c>
      <c r="C58" s="634">
        <v>1</v>
      </c>
      <c r="D58" s="2212">
        <v>1</v>
      </c>
      <c r="E58" s="634">
        <f>'数据-汇总表'!E8+'数据-汇总表'!E9</f>
        <v>123241.18000000002</v>
      </c>
      <c r="F58" s="635">
        <f t="shared" ref="F58:F67" si="15">ROUND(B58*E58/10000,0)</f>
        <v>58614</v>
      </c>
      <c r="G58" s="3570"/>
      <c r="H58" s="357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565</v>
      </c>
      <c r="B59" s="637">
        <f>ROUND($C$50*C59*D59,0)</f>
        <v>0</v>
      </c>
      <c r="C59" s="377">
        <f t="shared" ref="C59:C67" si="16">IF($C$57="北京市系数",I59,J59)</f>
        <v>0</v>
      </c>
      <c r="D59" s="2213">
        <v>0.25</v>
      </c>
      <c r="E59" s="638">
        <v>0</v>
      </c>
      <c r="F59" s="635">
        <f t="shared" si="15"/>
        <v>0</v>
      </c>
      <c r="G59" s="357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566</v>
      </c>
      <c r="B60" s="637">
        <f t="shared" ref="B60:B67" si="17">ROUND($C$50*C60*D60,0)</f>
        <v>0</v>
      </c>
      <c r="C60" s="377">
        <f t="shared" si="16"/>
        <v>0</v>
      </c>
      <c r="D60" s="2213">
        <v>0.25</v>
      </c>
      <c r="E60" s="638">
        <v>0</v>
      </c>
      <c r="F60" s="635">
        <f t="shared" si="15"/>
        <v>0</v>
      </c>
      <c r="G60" s="357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567</v>
      </c>
      <c r="B61" s="637">
        <f t="shared" si="17"/>
        <v>0</v>
      </c>
      <c r="C61" s="377">
        <f t="shared" si="16"/>
        <v>0</v>
      </c>
      <c r="D61" s="2213">
        <v>0.25</v>
      </c>
      <c r="E61" s="638">
        <v>0</v>
      </c>
      <c r="F61" s="635">
        <f t="shared" si="15"/>
        <v>0</v>
      </c>
      <c r="G61" s="357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568</v>
      </c>
      <c r="B62" s="637">
        <f t="shared" si="17"/>
        <v>0</v>
      </c>
      <c r="C62" s="377">
        <f t="shared" si="16"/>
        <v>0</v>
      </c>
      <c r="D62" s="2213">
        <v>0.25</v>
      </c>
      <c r="E62" s="638">
        <v>0</v>
      </c>
      <c r="F62" s="635">
        <f t="shared" si="15"/>
        <v>0</v>
      </c>
      <c r="G62" s="357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570</v>
      </c>
      <c r="B65" s="637">
        <f t="shared" si="17"/>
        <v>0</v>
      </c>
      <c r="C65" s="377">
        <f t="shared" si="16"/>
        <v>0</v>
      </c>
      <c r="D65" s="2213">
        <v>0.25</v>
      </c>
      <c r="E65" s="640">
        <f>'数据-汇总表'!E13</f>
        <v>46598.59</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573</v>
      </c>
      <c r="B68" s="642" t="s">
        <v>17</v>
      </c>
      <c r="C68" s="642" t="s">
        <v>18</v>
      </c>
      <c r="D68" s="642" t="s">
        <v>2294</v>
      </c>
      <c r="E68" s="642">
        <f>IF(B48="楼面地价",SUM(E58:E67),'数据-汇总表'!D3)</f>
        <v>169839.77000000002</v>
      </c>
      <c r="F68" s="643">
        <f>IF(B48="楼面地价",SUM(F58:F67),ROUND(C50*E68/10000,0))</f>
        <v>58614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8" t="str">
        <f>"北京市平均增长率"&amp;TEXT(SUMIF(基准地价!N21:N25,A73,基准地价!P21:P25),"0.00%")</f>
        <v>北京市平均增长率2.23%</v>
      </c>
      <c r="C73" s="892">
        <v>100</v>
      </c>
      <c r="D73" s="3218">
        <f>C73-$C$74</f>
        <v>99.5</v>
      </c>
      <c r="E73" s="3218">
        <f t="shared" ref="E73:N73" si="20">D73-$C$74</f>
        <v>99</v>
      </c>
      <c r="F73" s="3218">
        <f t="shared" si="20"/>
        <v>98.5</v>
      </c>
      <c r="G73" s="3218">
        <f t="shared" si="20"/>
        <v>98</v>
      </c>
      <c r="H73" s="3218">
        <f t="shared" si="20"/>
        <v>97.5</v>
      </c>
      <c r="I73" s="3218">
        <f t="shared" si="20"/>
        <v>97</v>
      </c>
      <c r="J73" s="3218">
        <f t="shared" si="20"/>
        <v>96.5</v>
      </c>
      <c r="K73" s="3218">
        <f t="shared" si="20"/>
        <v>96</v>
      </c>
      <c r="L73" s="3218">
        <f t="shared" si="20"/>
        <v>95.5</v>
      </c>
      <c r="M73" s="3218">
        <f t="shared" si="20"/>
        <v>95</v>
      </c>
      <c r="N73" s="3218">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57">
      <c r="A77" s="663" t="s">
        <v>577</v>
      </c>
      <c r="B77" s="664" t="s">
        <v>534</v>
      </c>
      <c r="C77" s="597" t="str">
        <f>项目基本情况!B13</f>
        <v>城镇住宅、商服用地</v>
      </c>
      <c r="D77" s="597" t="str">
        <f>土地案例!H18</f>
        <v>A地:城镇住宅、商服用地;B地:教育用地(幼儿园)</v>
      </c>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v>100</v>
      </c>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1.5（含）-2</v>
      </c>
      <c r="D81" s="681" t="str">
        <f t="shared" ref="D81:L81" si="21">D82&amp;"（含）"&amp;"-"&amp;E82</f>
        <v>2（含）-2.5</v>
      </c>
      <c r="E81" s="681" t="str">
        <f t="shared" si="21"/>
        <v>2.5（含）-3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1.5</v>
      </c>
      <c r="D82" s="540">
        <v>2</v>
      </c>
      <c r="E82" s="540">
        <v>2.5</v>
      </c>
      <c r="F82" s="540">
        <v>3</v>
      </c>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97</v>
      </c>
      <c r="E91" s="678">
        <f>D91-$K17</f>
        <v>94</v>
      </c>
      <c r="F91" s="678">
        <f>E91-$K17</f>
        <v>91</v>
      </c>
      <c r="G91" s="678">
        <f>F91-$K17</f>
        <v>88</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0</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0</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0</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6">C119&amp;"(含)"&amp;"-"&amp;D119</f>
        <v>0(含)-40000</v>
      </c>
      <c r="D118" s="703" t="str">
        <f t="shared" si="26"/>
        <v>40000(含)-80000</v>
      </c>
      <c r="E118" s="703" t="str">
        <f t="shared" si="26"/>
        <v>80000(含)-</v>
      </c>
      <c r="F118" s="703" t="str">
        <f t="shared" si="26"/>
        <v>(含)-</v>
      </c>
      <c r="G118" s="703" t="str">
        <f t="shared" si="26"/>
        <v>(含)-</v>
      </c>
      <c r="H118" s="703" t="str">
        <f t="shared" si="26"/>
        <v>(含)-</v>
      </c>
      <c r="I118" s="703"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40000</v>
      </c>
      <c r="E119" s="729">
        <v>80000</v>
      </c>
      <c r="F119" s="729"/>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100</v>
      </c>
      <c r="E120" s="725">
        <v>100</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topLeftCell="E4" workbookViewId="0">
      <selection activeCell="E18" sqref="E18"/>
    </sheetView>
  </sheetViews>
  <sheetFormatPr defaultRowHeight="13.5"/>
  <cols>
    <col min="1" max="4" width="9" hidden="1" customWidth="1"/>
    <col min="5" max="5" width="41.75" customWidth="1"/>
    <col min="6" max="6" width="0" hidden="1" customWidth="1"/>
    <col min="7" max="7" width="19.5" customWidth="1"/>
    <col min="8" max="8" width="41.625" customWidth="1"/>
    <col min="9" max="10" width="13.5" customWidth="1"/>
    <col min="11" max="11" width="27.625" customWidth="1"/>
    <col min="12" max="12" width="12.875" customWidth="1"/>
    <col min="13" max="13" width="20.5" customWidth="1"/>
    <col min="14" max="14" width="32" customWidth="1"/>
    <col min="15" max="17" width="15.375" customWidth="1"/>
    <col min="19" max="19" width="39.125" customWidth="1"/>
  </cols>
  <sheetData>
    <row r="1" spans="1:21" s="3210" customFormat="1" ht="23.25" customHeight="1">
      <c r="A1" s="3209" t="s">
        <v>3080</v>
      </c>
      <c r="B1" s="3209" t="s">
        <v>3081</v>
      </c>
      <c r="C1" s="3209" t="s">
        <v>3082</v>
      </c>
      <c r="D1" s="3209" t="s">
        <v>3083</v>
      </c>
      <c r="E1" s="3209" t="s">
        <v>3084</v>
      </c>
      <c r="F1" s="3209" t="s">
        <v>3085</v>
      </c>
      <c r="G1" s="3209" t="s">
        <v>3086</v>
      </c>
      <c r="H1" s="3209" t="s">
        <v>3087</v>
      </c>
      <c r="I1" s="3209" t="s">
        <v>3088</v>
      </c>
      <c r="J1" s="3209" t="s">
        <v>3089</v>
      </c>
      <c r="K1" s="3209" t="s">
        <v>2032</v>
      </c>
      <c r="L1" s="3209" t="s">
        <v>3090</v>
      </c>
      <c r="M1" s="3209" t="s">
        <v>3091</v>
      </c>
      <c r="N1" s="3209" t="s">
        <v>3092</v>
      </c>
      <c r="O1" s="3209" t="s">
        <v>3093</v>
      </c>
      <c r="P1" s="3209" t="s">
        <v>3094</v>
      </c>
      <c r="Q1" s="3209" t="s">
        <v>3095</v>
      </c>
      <c r="R1" s="3209" t="s">
        <v>3096</v>
      </c>
      <c r="S1" s="3209" t="s">
        <v>3097</v>
      </c>
      <c r="T1" s="3209" t="s">
        <v>3098</v>
      </c>
    </row>
    <row r="2" spans="1:21" s="3210" customFormat="1" ht="23.25" customHeight="1">
      <c r="A2" s="3209" t="s">
        <v>3099</v>
      </c>
      <c r="B2" s="3209" t="s">
        <v>3004</v>
      </c>
      <c r="C2" s="3209" t="s">
        <v>3100</v>
      </c>
      <c r="D2" s="3209" t="s">
        <v>2816</v>
      </c>
      <c r="E2" s="3209" t="s">
        <v>3099</v>
      </c>
      <c r="F2" s="3209" t="s">
        <v>3101</v>
      </c>
      <c r="G2" s="3209" t="s">
        <v>3102</v>
      </c>
      <c r="H2" s="3209" t="s">
        <v>3008</v>
      </c>
      <c r="I2" s="3209">
        <v>43552.3</v>
      </c>
      <c r="J2" s="3209">
        <v>65325</v>
      </c>
      <c r="K2" s="3209" t="s">
        <v>3103</v>
      </c>
      <c r="L2" s="3209" t="s">
        <v>3104</v>
      </c>
      <c r="M2" s="3209" t="s">
        <v>3102</v>
      </c>
      <c r="N2" s="3209" t="s">
        <v>3105</v>
      </c>
      <c r="O2" s="3209">
        <v>25190</v>
      </c>
      <c r="P2" s="3209">
        <v>385.59</v>
      </c>
      <c r="Q2" s="3209">
        <v>3856.09</v>
      </c>
      <c r="R2" s="3209">
        <v>0</v>
      </c>
      <c r="S2" s="3209" t="s">
        <v>3106</v>
      </c>
      <c r="T2" s="3209" t="s">
        <v>3107</v>
      </c>
    </row>
    <row r="3" spans="1:21" s="3210" customFormat="1" ht="23.25" customHeight="1">
      <c r="A3" s="3209" t="s">
        <v>3108</v>
      </c>
      <c r="B3" s="3209" t="s">
        <v>3004</v>
      </c>
      <c r="C3" s="3209" t="s">
        <v>3100</v>
      </c>
      <c r="D3" s="3209" t="s">
        <v>2816</v>
      </c>
      <c r="E3" s="3209" t="s">
        <v>3108</v>
      </c>
      <c r="F3" s="3209" t="s">
        <v>3101</v>
      </c>
      <c r="G3" s="3209" t="s">
        <v>3109</v>
      </c>
      <c r="H3" s="3209" t="s">
        <v>3008</v>
      </c>
      <c r="I3" s="3209">
        <v>45464.6</v>
      </c>
      <c r="J3" s="3209">
        <v>68194.350000000006</v>
      </c>
      <c r="K3" s="3209" t="s">
        <v>3103</v>
      </c>
      <c r="L3" s="3209" t="s">
        <v>3110</v>
      </c>
      <c r="M3" s="3209" t="s">
        <v>3109</v>
      </c>
      <c r="N3" s="3209" t="s">
        <v>3111</v>
      </c>
      <c r="O3" s="3209">
        <v>37500</v>
      </c>
      <c r="P3" s="3209">
        <v>549.88</v>
      </c>
      <c r="Q3" s="3209">
        <v>5498.98</v>
      </c>
      <c r="R3" s="3209">
        <v>9.68</v>
      </c>
      <c r="S3" s="3209" t="s">
        <v>3112</v>
      </c>
      <c r="T3" s="3209" t="s">
        <v>3113</v>
      </c>
    </row>
    <row r="4" spans="1:21" s="3210" customFormat="1" ht="23.25" customHeight="1">
      <c r="A4" s="3209" t="s">
        <v>3108</v>
      </c>
      <c r="B4" s="3209" t="s">
        <v>3004</v>
      </c>
      <c r="C4" s="3209" t="s">
        <v>3100</v>
      </c>
      <c r="D4" s="3209" t="s">
        <v>2816</v>
      </c>
      <c r="E4" s="3209" t="s">
        <v>3108</v>
      </c>
      <c r="F4" s="3209" t="s">
        <v>3101</v>
      </c>
      <c r="G4" s="3209" t="s">
        <v>3114</v>
      </c>
      <c r="H4" s="3209" t="s">
        <v>3008</v>
      </c>
      <c r="I4" s="3209">
        <v>41203.699999999997</v>
      </c>
      <c r="J4" s="3209">
        <v>61802.85</v>
      </c>
      <c r="K4" s="3209" t="s">
        <v>3103</v>
      </c>
      <c r="L4" s="3209" t="s">
        <v>3110</v>
      </c>
      <c r="M4" s="3209" t="s">
        <v>3114</v>
      </c>
      <c r="N4" s="3209" t="s">
        <v>3115</v>
      </c>
      <c r="O4" s="3209">
        <v>33700</v>
      </c>
      <c r="P4" s="3209">
        <v>545.26</v>
      </c>
      <c r="Q4" s="3209">
        <v>5452.81</v>
      </c>
      <c r="R4" s="3209">
        <v>8.74</v>
      </c>
      <c r="S4" s="3209" t="s">
        <v>3112</v>
      </c>
      <c r="T4" s="3209" t="s">
        <v>3113</v>
      </c>
    </row>
    <row r="5" spans="1:21" s="3210" customFormat="1" ht="23.25" customHeight="1">
      <c r="A5" s="3209" t="s">
        <v>3108</v>
      </c>
      <c r="B5" s="3209" t="s">
        <v>3004</v>
      </c>
      <c r="C5" s="3209" t="s">
        <v>3100</v>
      </c>
      <c r="D5" s="3209" t="s">
        <v>2816</v>
      </c>
      <c r="E5" s="3209" t="s">
        <v>3108</v>
      </c>
      <c r="F5" s="3209" t="s">
        <v>3101</v>
      </c>
      <c r="G5" s="3209" t="s">
        <v>3116</v>
      </c>
      <c r="H5" s="3209" t="s">
        <v>3008</v>
      </c>
      <c r="I5" s="3209">
        <v>38397.1</v>
      </c>
      <c r="J5" s="3209">
        <v>57593.25</v>
      </c>
      <c r="K5" s="3209" t="s">
        <v>3103</v>
      </c>
      <c r="L5" s="3209" t="s">
        <v>3110</v>
      </c>
      <c r="M5" s="3209" t="s">
        <v>3116</v>
      </c>
      <c r="N5" s="3209" t="s">
        <v>3117</v>
      </c>
      <c r="O5" s="3209">
        <v>32100</v>
      </c>
      <c r="P5" s="3209">
        <v>557.33000000000004</v>
      </c>
      <c r="Q5" s="3209">
        <v>5573.56</v>
      </c>
      <c r="R5" s="3209">
        <v>10.01</v>
      </c>
      <c r="S5" s="3209" t="s">
        <v>3112</v>
      </c>
      <c r="T5" s="3209" t="s">
        <v>3113</v>
      </c>
    </row>
    <row r="6" spans="1:21" s="3210" customFormat="1" ht="23.25" customHeight="1">
      <c r="A6" s="3209" t="s">
        <v>3118</v>
      </c>
      <c r="B6" s="3209" t="s">
        <v>3004</v>
      </c>
      <c r="C6" s="3209" t="s">
        <v>3119</v>
      </c>
      <c r="D6" s="3209" t="s">
        <v>2816</v>
      </c>
      <c r="E6" s="3209" t="s">
        <v>3118</v>
      </c>
      <c r="F6" s="3209" t="s">
        <v>3101</v>
      </c>
      <c r="G6" s="3209" t="s">
        <v>3120</v>
      </c>
      <c r="H6" s="3209" t="s">
        <v>3121</v>
      </c>
      <c r="I6" s="3209">
        <v>71290</v>
      </c>
      <c r="J6" s="3209">
        <v>78416.14</v>
      </c>
      <c r="K6" s="3209" t="s">
        <v>3122</v>
      </c>
      <c r="L6" s="3209" t="s">
        <v>3110</v>
      </c>
      <c r="M6" s="3209" t="s">
        <v>3120</v>
      </c>
      <c r="N6" s="3209" t="s">
        <v>3123</v>
      </c>
      <c r="O6" s="3209">
        <v>82000</v>
      </c>
      <c r="P6" s="3209">
        <v>766.82</v>
      </c>
      <c r="Q6" s="3209">
        <v>10457.030000000001</v>
      </c>
      <c r="R6" s="3209">
        <v>16.23</v>
      </c>
      <c r="S6" s="3209" t="s">
        <v>3124</v>
      </c>
      <c r="T6" s="3209" t="s">
        <v>3125</v>
      </c>
    </row>
    <row r="7" spans="1:21" s="3210" customFormat="1" ht="23.25" customHeight="1">
      <c r="A7" s="3209" t="s">
        <v>3126</v>
      </c>
      <c r="B7" s="3209" t="s">
        <v>3004</v>
      </c>
      <c r="C7" s="3209" t="s">
        <v>3100</v>
      </c>
      <c r="D7" s="3209" t="s">
        <v>2816</v>
      </c>
      <c r="E7" s="3209" t="s">
        <v>3126</v>
      </c>
      <c r="F7" s="3209" t="s">
        <v>3101</v>
      </c>
      <c r="G7" s="3209" t="s">
        <v>3127</v>
      </c>
      <c r="H7" s="3209" t="s">
        <v>3128</v>
      </c>
      <c r="I7" s="3209">
        <v>131257.29999999999</v>
      </c>
      <c r="J7" s="3209">
        <v>437734.9</v>
      </c>
      <c r="K7" s="3209" t="s">
        <v>3129</v>
      </c>
      <c r="L7" s="3209" t="s">
        <v>3130</v>
      </c>
      <c r="M7" s="3209" t="s">
        <v>3127</v>
      </c>
      <c r="N7" s="3209" t="s">
        <v>3131</v>
      </c>
      <c r="O7" s="3209">
        <v>360010</v>
      </c>
      <c r="P7" s="3209">
        <v>1828.52</v>
      </c>
      <c r="Q7" s="3209">
        <v>8224.3700000000008</v>
      </c>
      <c r="R7" s="3209">
        <v>0</v>
      </c>
      <c r="S7" s="3209" t="s">
        <v>3132</v>
      </c>
      <c r="T7" s="3209" t="s">
        <v>3133</v>
      </c>
    </row>
    <row r="8" spans="1:21" s="3210" customFormat="1" ht="23.25" customHeight="1">
      <c r="A8" s="3209" t="s">
        <v>3134</v>
      </c>
      <c r="B8" s="3209" t="s">
        <v>3004</v>
      </c>
      <c r="C8" s="3209" t="s">
        <v>3119</v>
      </c>
      <c r="D8" s="3209" t="s">
        <v>2816</v>
      </c>
      <c r="E8" s="3209" t="s">
        <v>3134</v>
      </c>
      <c r="F8" s="3209" t="s">
        <v>3101</v>
      </c>
      <c r="G8" s="3209" t="s">
        <v>3135</v>
      </c>
      <c r="H8" s="3209" t="s">
        <v>3121</v>
      </c>
      <c r="I8" s="3209">
        <v>48942</v>
      </c>
      <c r="J8" s="3209">
        <v>78307.199999999997</v>
      </c>
      <c r="K8" s="3209" t="s">
        <v>3136</v>
      </c>
      <c r="L8" s="3209" t="s">
        <v>3137</v>
      </c>
      <c r="M8" s="3209" t="s">
        <v>3135</v>
      </c>
      <c r="N8" s="3209" t="s">
        <v>3138</v>
      </c>
      <c r="O8" s="3209">
        <v>70480</v>
      </c>
      <c r="P8" s="3209">
        <v>960.05</v>
      </c>
      <c r="Q8" s="3209">
        <v>9000.4500000000007</v>
      </c>
      <c r="R8" s="3209">
        <v>0</v>
      </c>
      <c r="S8" s="3209" t="s">
        <v>3124</v>
      </c>
      <c r="T8" s="3209" t="s">
        <v>3139</v>
      </c>
    </row>
    <row r="9" spans="1:21" s="3210" customFormat="1" ht="23.25" customHeight="1">
      <c r="A9" s="3209" t="s">
        <v>3140</v>
      </c>
      <c r="B9" s="3209" t="s">
        <v>3004</v>
      </c>
      <c r="C9" s="3209" t="s">
        <v>3119</v>
      </c>
      <c r="D9" s="3209" t="s">
        <v>2816</v>
      </c>
      <c r="E9" s="3209" t="s">
        <v>3140</v>
      </c>
      <c r="F9" s="3209" t="s">
        <v>3101</v>
      </c>
      <c r="G9" s="3209" t="s">
        <v>3141</v>
      </c>
      <c r="H9" s="3209" t="s">
        <v>3121</v>
      </c>
      <c r="I9" s="3209">
        <v>147660.1</v>
      </c>
      <c r="J9" s="3209">
        <v>236256.2</v>
      </c>
      <c r="K9" s="3209" t="s">
        <v>3136</v>
      </c>
      <c r="L9" s="3209" t="s">
        <v>3142</v>
      </c>
      <c r="M9" s="3209" t="s">
        <v>3141</v>
      </c>
      <c r="N9" s="3209" t="s">
        <v>3143</v>
      </c>
      <c r="O9" s="3209">
        <v>331500</v>
      </c>
      <c r="P9" s="3209">
        <v>1496.68</v>
      </c>
      <c r="Q9" s="3209">
        <v>14031.37</v>
      </c>
      <c r="R9" s="3209">
        <v>40.31</v>
      </c>
      <c r="S9" s="3209" t="s">
        <v>3124</v>
      </c>
      <c r="T9" s="3209" t="s">
        <v>3139</v>
      </c>
    </row>
    <row r="10" spans="1:21" s="3210" customFormat="1" ht="23.25" customHeight="1">
      <c r="A10" s="3209" t="s">
        <v>3144</v>
      </c>
      <c r="B10" s="3209" t="s">
        <v>3004</v>
      </c>
      <c r="C10" s="3209" t="s">
        <v>3119</v>
      </c>
      <c r="D10" s="3209" t="s">
        <v>2816</v>
      </c>
      <c r="E10" s="3209" t="s">
        <v>3144</v>
      </c>
      <c r="F10" s="3209" t="s">
        <v>3101</v>
      </c>
      <c r="G10" s="3209" t="s">
        <v>3145</v>
      </c>
      <c r="H10" s="3209" t="s">
        <v>3146</v>
      </c>
      <c r="I10" s="3209">
        <v>26577.3</v>
      </c>
      <c r="J10" s="3209">
        <v>66463.75</v>
      </c>
      <c r="K10" s="3209" t="s">
        <v>3147</v>
      </c>
      <c r="L10" s="3209" t="s">
        <v>3142</v>
      </c>
      <c r="M10" s="3209" t="s">
        <v>3145</v>
      </c>
      <c r="N10" s="3209" t="s">
        <v>3148</v>
      </c>
      <c r="O10" s="3209">
        <v>101000</v>
      </c>
      <c r="P10" s="3209">
        <v>2533.4899999999998</v>
      </c>
      <c r="Q10" s="3209">
        <v>15196.25</v>
      </c>
      <c r="R10" s="3209">
        <v>44.57</v>
      </c>
      <c r="S10" s="3209" t="s">
        <v>3124</v>
      </c>
      <c r="T10" s="3209" t="s">
        <v>3133</v>
      </c>
    </row>
    <row r="11" spans="1:21" s="3210" customFormat="1" ht="23.25" customHeight="1">
      <c r="A11" s="3209" t="s">
        <v>3149</v>
      </c>
      <c r="B11" s="3209" t="s">
        <v>3004</v>
      </c>
      <c r="C11" s="3209" t="s">
        <v>3100</v>
      </c>
      <c r="D11" s="3209" t="s">
        <v>2816</v>
      </c>
      <c r="E11" s="3209" t="s">
        <v>3149</v>
      </c>
      <c r="F11" s="3209" t="s">
        <v>3101</v>
      </c>
      <c r="G11" s="3209" t="s">
        <v>3150</v>
      </c>
      <c r="H11" s="3209" t="s">
        <v>3151</v>
      </c>
      <c r="I11" s="3209">
        <v>146706.70000000001</v>
      </c>
      <c r="J11" s="3209">
        <v>228827.7</v>
      </c>
      <c r="K11" s="3209" t="s">
        <v>3152</v>
      </c>
      <c r="L11" s="3209" t="s">
        <v>3142</v>
      </c>
      <c r="M11" s="3209" t="s">
        <v>3150</v>
      </c>
      <c r="N11" s="3209" t="s">
        <v>3153</v>
      </c>
      <c r="O11" s="3209">
        <v>144350</v>
      </c>
      <c r="P11" s="3209">
        <v>655.96</v>
      </c>
      <c r="Q11" s="3209">
        <v>6308.23</v>
      </c>
      <c r="R11" s="3209">
        <v>0</v>
      </c>
      <c r="S11" s="3209" t="s">
        <v>3154</v>
      </c>
      <c r="T11" s="3209" t="s">
        <v>3139</v>
      </c>
    </row>
    <row r="12" spans="1:21" s="3212" customFormat="1" ht="23.25" customHeight="1">
      <c r="A12" s="3211" t="s">
        <v>3155</v>
      </c>
      <c r="B12" s="3211" t="s">
        <v>3004</v>
      </c>
      <c r="C12" s="3211" t="s">
        <v>3100</v>
      </c>
      <c r="D12" s="3211" t="s">
        <v>2816</v>
      </c>
      <c r="E12" s="3211" t="s">
        <v>3155</v>
      </c>
      <c r="F12" s="3211" t="s">
        <v>3101</v>
      </c>
      <c r="G12" s="3211" t="s">
        <v>3156</v>
      </c>
      <c r="H12" s="3211" t="s">
        <v>3008</v>
      </c>
      <c r="I12" s="3211">
        <v>72394.600000000006</v>
      </c>
      <c r="J12" s="3211">
        <v>130305.2</v>
      </c>
      <c r="K12" s="3211" t="s">
        <v>3157</v>
      </c>
      <c r="L12" s="3211" t="s">
        <v>3158</v>
      </c>
      <c r="M12" s="3211" t="s">
        <v>3156</v>
      </c>
      <c r="N12" s="3211" t="s">
        <v>3006</v>
      </c>
      <c r="O12" s="3211">
        <v>36490</v>
      </c>
      <c r="P12" s="3211">
        <v>336.03</v>
      </c>
      <c r="Q12" s="3211">
        <v>2800.34</v>
      </c>
      <c r="R12" s="3211">
        <v>0</v>
      </c>
      <c r="S12" s="3211" t="s">
        <v>3112</v>
      </c>
      <c r="T12" s="3211" t="s">
        <v>3113</v>
      </c>
    </row>
    <row r="13" spans="1:21" s="3210" customFormat="1" ht="23.25" customHeight="1">
      <c r="A13" s="3209" t="s">
        <v>3159</v>
      </c>
      <c r="B13" s="3209" t="s">
        <v>3004</v>
      </c>
      <c r="C13" s="3209" t="s">
        <v>3100</v>
      </c>
      <c r="D13" s="3209" t="s">
        <v>2816</v>
      </c>
      <c r="E13" s="3209" t="s">
        <v>3159</v>
      </c>
      <c r="F13" s="3209" t="s">
        <v>3101</v>
      </c>
      <c r="G13" s="3209" t="s">
        <v>3160</v>
      </c>
      <c r="H13" s="3209" t="s">
        <v>3008</v>
      </c>
      <c r="I13" s="3209">
        <v>34522.699999999997</v>
      </c>
      <c r="J13" s="3209">
        <v>51784.05</v>
      </c>
      <c r="K13" s="3209" t="s">
        <v>3103</v>
      </c>
      <c r="L13" s="3209" t="s">
        <v>3161</v>
      </c>
      <c r="M13" s="3209" t="s">
        <v>3160</v>
      </c>
      <c r="N13" s="3209" t="s">
        <v>3162</v>
      </c>
      <c r="O13" s="3209">
        <v>26240</v>
      </c>
      <c r="P13" s="3209">
        <v>506.72</v>
      </c>
      <c r="Q13" s="3209">
        <v>5067.1899999999996</v>
      </c>
      <c r="R13" s="3209">
        <v>0</v>
      </c>
      <c r="S13" s="3209" t="s">
        <v>3112</v>
      </c>
      <c r="T13" s="3209" t="s">
        <v>3113</v>
      </c>
    </row>
    <row r="14" spans="1:21" s="3210" customFormat="1" ht="23.25" customHeight="1">
      <c r="A14" s="3209" t="s">
        <v>3163</v>
      </c>
      <c r="B14" s="3209" t="s">
        <v>3004</v>
      </c>
      <c r="C14" s="3209" t="s">
        <v>3100</v>
      </c>
      <c r="D14" s="3209" t="s">
        <v>2816</v>
      </c>
      <c r="E14" s="3209" t="s">
        <v>3163</v>
      </c>
      <c r="F14" s="3209" t="s">
        <v>3101</v>
      </c>
      <c r="G14" s="3209" t="s">
        <v>3164</v>
      </c>
      <c r="H14" s="3209" t="s">
        <v>3165</v>
      </c>
      <c r="I14" s="3209">
        <v>52334.8</v>
      </c>
      <c r="J14" s="3209">
        <v>109293.5</v>
      </c>
      <c r="K14" s="3209" t="s">
        <v>3166</v>
      </c>
      <c r="L14" s="3209" t="s">
        <v>3161</v>
      </c>
      <c r="M14" s="3209" t="s">
        <v>3164</v>
      </c>
      <c r="N14" s="3209" t="s">
        <v>3167</v>
      </c>
      <c r="O14" s="3209">
        <v>75300</v>
      </c>
      <c r="P14" s="3209">
        <v>959.21</v>
      </c>
      <c r="Q14" s="3209">
        <v>6889.71</v>
      </c>
      <c r="R14" s="3209">
        <v>11.36</v>
      </c>
      <c r="S14" s="3209" t="s">
        <v>3112</v>
      </c>
      <c r="T14" s="3209" t="s">
        <v>3133</v>
      </c>
    </row>
    <row r="15" spans="1:21" s="3210" customFormat="1" ht="23.25" customHeight="1">
      <c r="A15" s="3209" t="s">
        <v>3168</v>
      </c>
      <c r="B15" s="3209" t="s">
        <v>3004</v>
      </c>
      <c r="C15" s="3209" t="s">
        <v>3100</v>
      </c>
      <c r="D15" s="3209" t="s">
        <v>2816</v>
      </c>
      <c r="E15" s="3209" t="s">
        <v>3168</v>
      </c>
      <c r="F15" s="3209" t="s">
        <v>3101</v>
      </c>
      <c r="G15" s="3209" t="s">
        <v>3169</v>
      </c>
      <c r="H15" s="3209" t="s">
        <v>3008</v>
      </c>
      <c r="I15" s="3209">
        <v>77211.899999999994</v>
      </c>
      <c r="J15" s="3209">
        <v>100372</v>
      </c>
      <c r="K15" s="3209" t="s">
        <v>3170</v>
      </c>
      <c r="L15" s="3209" t="s">
        <v>3171</v>
      </c>
      <c r="M15" s="3209" t="s">
        <v>3169</v>
      </c>
      <c r="N15" s="3209" t="s">
        <v>3172</v>
      </c>
      <c r="O15" s="3209">
        <v>46810</v>
      </c>
      <c r="P15" s="3209">
        <v>404.17</v>
      </c>
      <c r="Q15" s="3209">
        <v>4663.6400000000003</v>
      </c>
      <c r="R15" s="3209">
        <v>0</v>
      </c>
      <c r="S15" s="3209" t="s">
        <v>3173</v>
      </c>
      <c r="T15" s="3209" t="s">
        <v>3113</v>
      </c>
    </row>
    <row r="16" spans="1:21" s="3210" customFormat="1" ht="23.25" customHeight="1">
      <c r="A16" s="3209" t="s">
        <v>3174</v>
      </c>
      <c r="B16" s="3209" t="s">
        <v>3004</v>
      </c>
      <c r="C16" s="3209" t="s">
        <v>3100</v>
      </c>
      <c r="D16" s="3209" t="s">
        <v>2816</v>
      </c>
      <c r="E16" s="3209" t="s">
        <v>3174</v>
      </c>
      <c r="F16" s="3209" t="s">
        <v>3101</v>
      </c>
      <c r="G16" s="3209" t="s">
        <v>3175</v>
      </c>
      <c r="H16" s="3209" t="s">
        <v>3176</v>
      </c>
      <c r="I16" s="3209">
        <v>50766.6</v>
      </c>
      <c r="J16" s="3209">
        <v>99806.52</v>
      </c>
      <c r="K16" s="3209" t="s">
        <v>3177</v>
      </c>
      <c r="L16" s="3209" t="s">
        <v>3178</v>
      </c>
      <c r="M16" s="3209" t="s">
        <v>3175</v>
      </c>
      <c r="N16" s="3209" t="s">
        <v>3179</v>
      </c>
      <c r="O16" s="3209">
        <v>80100</v>
      </c>
      <c r="P16" s="3209">
        <v>1051.8699999999999</v>
      </c>
      <c r="Q16" s="3209">
        <v>8025.52</v>
      </c>
      <c r="R16" s="3209">
        <v>17.57</v>
      </c>
      <c r="S16" s="3209" t="s">
        <v>3180</v>
      </c>
      <c r="T16" s="3209" t="s">
        <v>3139</v>
      </c>
      <c r="U16" s="3312" t="s">
        <v>3438</v>
      </c>
    </row>
    <row r="17" spans="1:21" s="3210" customFormat="1" ht="23.25" customHeight="1">
      <c r="A17" s="3209" t="s">
        <v>3174</v>
      </c>
      <c r="B17" s="3209" t="s">
        <v>3004</v>
      </c>
      <c r="C17" s="3209" t="s">
        <v>3100</v>
      </c>
      <c r="D17" s="3209" t="s">
        <v>2816</v>
      </c>
      <c r="E17" s="3209" t="s">
        <v>3174</v>
      </c>
      <c r="F17" s="3209" t="s">
        <v>3101</v>
      </c>
      <c r="G17" s="3209" t="s">
        <v>3181</v>
      </c>
      <c r="H17" s="3209" t="s">
        <v>3182</v>
      </c>
      <c r="I17" s="3209">
        <v>35202.699999999997</v>
      </c>
      <c r="J17" s="3209">
        <v>65580.3</v>
      </c>
      <c r="K17" s="3209" t="s">
        <v>3183</v>
      </c>
      <c r="L17" s="3209" t="s">
        <v>3184</v>
      </c>
      <c r="M17" s="3209" t="s">
        <v>3181</v>
      </c>
      <c r="N17" s="3209" t="s">
        <v>3185</v>
      </c>
      <c r="O17" s="3209">
        <v>33220</v>
      </c>
      <c r="P17" s="3209">
        <v>629.12</v>
      </c>
      <c r="Q17" s="3209">
        <v>5065.55</v>
      </c>
      <c r="R17" s="3209">
        <v>0</v>
      </c>
      <c r="S17" s="3209" t="s">
        <v>3186</v>
      </c>
      <c r="T17" s="3209" t="s">
        <v>3125</v>
      </c>
      <c r="U17" s="3311" t="s">
        <v>3439</v>
      </c>
    </row>
    <row r="18" spans="1:21" s="3216" customFormat="1" ht="23.25" customHeight="1">
      <c r="A18" s="3215" t="s">
        <v>3174</v>
      </c>
      <c r="B18" s="3215" t="s">
        <v>3004</v>
      </c>
      <c r="C18" s="3215" t="s">
        <v>3100</v>
      </c>
      <c r="D18" s="3215" t="s">
        <v>2816</v>
      </c>
      <c r="E18" s="3215" t="s">
        <v>3174</v>
      </c>
      <c r="F18" s="3215" t="s">
        <v>3101</v>
      </c>
      <c r="G18" s="3215" t="s">
        <v>3187</v>
      </c>
      <c r="H18" s="3215" t="s">
        <v>3188</v>
      </c>
      <c r="I18" s="3215">
        <v>37406</v>
      </c>
      <c r="J18" s="3215">
        <v>62562.25</v>
      </c>
      <c r="K18" s="3215" t="s">
        <v>3189</v>
      </c>
      <c r="L18" s="3215" t="s">
        <v>3184</v>
      </c>
      <c r="M18" s="3215" t="s">
        <v>3187</v>
      </c>
      <c r="N18" s="3215" t="s">
        <v>3185</v>
      </c>
      <c r="O18" s="3215">
        <v>33070</v>
      </c>
      <c r="P18" s="3215">
        <v>589.39</v>
      </c>
      <c r="Q18" s="3215">
        <v>5285.93</v>
      </c>
      <c r="R18" s="3215">
        <v>0</v>
      </c>
      <c r="S18" s="3215" t="s">
        <v>3190</v>
      </c>
      <c r="T18" s="3215" t="s">
        <v>3125</v>
      </c>
    </row>
    <row r="19" spans="1:21" s="3210" customFormat="1" ht="23.25" customHeight="1">
      <c r="A19" s="3209" t="s">
        <v>3191</v>
      </c>
      <c r="B19" s="3209" t="s">
        <v>3004</v>
      </c>
      <c r="C19" s="3209" t="s">
        <v>3100</v>
      </c>
      <c r="D19" s="3209" t="s">
        <v>2816</v>
      </c>
      <c r="E19" s="3209" t="s">
        <v>3191</v>
      </c>
      <c r="F19" s="3209" t="s">
        <v>3101</v>
      </c>
      <c r="G19" s="3209" t="s">
        <v>3192</v>
      </c>
      <c r="H19" s="3209" t="s">
        <v>3008</v>
      </c>
      <c r="I19" s="3209">
        <v>19921.099999999999</v>
      </c>
      <c r="J19" s="3209">
        <v>51792.52</v>
      </c>
      <c r="K19" s="3209" t="s">
        <v>3193</v>
      </c>
      <c r="L19" s="3209" t="s">
        <v>3184</v>
      </c>
      <c r="M19" s="3209" t="s">
        <v>3192</v>
      </c>
      <c r="N19" s="3209" t="s">
        <v>3194</v>
      </c>
      <c r="O19" s="3209">
        <v>20660</v>
      </c>
      <c r="P19" s="3209">
        <v>691.39</v>
      </c>
      <c r="Q19" s="3209">
        <v>3988.98</v>
      </c>
      <c r="R19" s="3209">
        <v>0</v>
      </c>
      <c r="S19" s="3209" t="s">
        <v>3173</v>
      </c>
      <c r="T19" s="3209" t="s">
        <v>3125</v>
      </c>
    </row>
    <row r="20" spans="1:21" s="3216" customFormat="1" ht="23.25" customHeight="1">
      <c r="A20" s="3215" t="s">
        <v>3174</v>
      </c>
      <c r="B20" s="3215" t="s">
        <v>3004</v>
      </c>
      <c r="C20" s="3215" t="s">
        <v>3100</v>
      </c>
      <c r="D20" s="3215" t="s">
        <v>2816</v>
      </c>
      <c r="E20" s="3215" t="s">
        <v>3174</v>
      </c>
      <c r="F20" s="3215" t="s">
        <v>3101</v>
      </c>
      <c r="G20" s="3215" t="s">
        <v>3195</v>
      </c>
      <c r="H20" s="3215" t="s">
        <v>3008</v>
      </c>
      <c r="I20" s="3215">
        <v>19012.400000000001</v>
      </c>
      <c r="J20" s="3215">
        <v>41825.519999999997</v>
      </c>
      <c r="K20" s="3215" t="s">
        <v>3196</v>
      </c>
      <c r="L20" s="3215" t="s">
        <v>3184</v>
      </c>
      <c r="M20" s="3215" t="s">
        <v>3195</v>
      </c>
      <c r="N20" s="3215" t="s">
        <v>3185</v>
      </c>
      <c r="O20" s="3215">
        <v>21130</v>
      </c>
      <c r="P20" s="3215">
        <v>740.92</v>
      </c>
      <c r="Q20" s="3215">
        <v>5051.93</v>
      </c>
      <c r="R20" s="3215">
        <v>0</v>
      </c>
      <c r="S20" s="3215" t="s">
        <v>3173</v>
      </c>
      <c r="T20" s="3215" t="s">
        <v>3125</v>
      </c>
    </row>
    <row r="21" spans="1:21" s="3214" customFormat="1" ht="23.25" customHeight="1">
      <c r="A21" s="3213" t="s">
        <v>3108</v>
      </c>
      <c r="B21" s="3213" t="s">
        <v>3004</v>
      </c>
      <c r="C21" s="3213" t="s">
        <v>3100</v>
      </c>
      <c r="D21" s="3213" t="s">
        <v>2816</v>
      </c>
      <c r="E21" s="3213" t="s">
        <v>3108</v>
      </c>
      <c r="F21" s="3213" t="s">
        <v>3101</v>
      </c>
      <c r="G21" s="3213" t="s">
        <v>3197</v>
      </c>
      <c r="H21" s="3213" t="s">
        <v>3008</v>
      </c>
      <c r="I21" s="3213">
        <v>41595</v>
      </c>
      <c r="J21" s="3213">
        <v>62389.8</v>
      </c>
      <c r="K21" s="3213" t="s">
        <v>3103</v>
      </c>
      <c r="L21" s="3213" t="s">
        <v>3184</v>
      </c>
      <c r="M21" s="3213" t="s">
        <v>3197</v>
      </c>
      <c r="N21" s="3213" t="s">
        <v>3198</v>
      </c>
      <c r="O21" s="3213">
        <v>33300</v>
      </c>
      <c r="P21" s="3213">
        <v>533.72</v>
      </c>
      <c r="Q21" s="3213">
        <v>5337.4</v>
      </c>
      <c r="R21" s="3213">
        <v>5.35</v>
      </c>
      <c r="S21" s="3213" t="s">
        <v>3112</v>
      </c>
      <c r="T21" s="3213" t="s">
        <v>3113</v>
      </c>
    </row>
    <row r="22" spans="1:21" s="3216" customFormat="1" ht="23.25" customHeight="1">
      <c r="A22" s="3215" t="s">
        <v>3174</v>
      </c>
      <c r="B22" s="3215" t="s">
        <v>3004</v>
      </c>
      <c r="C22" s="3215" t="s">
        <v>3100</v>
      </c>
      <c r="D22" s="3215" t="s">
        <v>2816</v>
      </c>
      <c r="E22" s="3215" t="s">
        <v>3174</v>
      </c>
      <c r="F22" s="3215" t="s">
        <v>3101</v>
      </c>
      <c r="G22" s="3215" t="s">
        <v>3199</v>
      </c>
      <c r="H22" s="3215" t="s">
        <v>3008</v>
      </c>
      <c r="I22" s="3215">
        <v>23679.200000000001</v>
      </c>
      <c r="J22" s="3215">
        <v>52091.16</v>
      </c>
      <c r="K22" s="3215" t="s">
        <v>3196</v>
      </c>
      <c r="L22" s="3215" t="s">
        <v>3184</v>
      </c>
      <c r="M22" s="3215" t="s">
        <v>3199</v>
      </c>
      <c r="N22" s="3215" t="s">
        <v>3185</v>
      </c>
      <c r="O22" s="3215">
        <v>26300</v>
      </c>
      <c r="P22" s="3215">
        <v>740.45</v>
      </c>
      <c r="Q22" s="3215">
        <v>5048.84</v>
      </c>
      <c r="R22" s="3215">
        <v>0</v>
      </c>
      <c r="S22" s="3215" t="s">
        <v>2816</v>
      </c>
      <c r="T22" s="3215" t="s">
        <v>3125</v>
      </c>
    </row>
    <row r="23" spans="1:21" s="3214" customFormat="1" ht="23.25" customHeight="1">
      <c r="A23" s="3213" t="s">
        <v>3200</v>
      </c>
      <c r="B23" s="3213" t="s">
        <v>3004</v>
      </c>
      <c r="C23" s="3213" t="s">
        <v>3100</v>
      </c>
      <c r="D23" s="3213" t="s">
        <v>2816</v>
      </c>
      <c r="E23" s="3213" t="s">
        <v>3200</v>
      </c>
      <c r="F23" s="3213" t="s">
        <v>3101</v>
      </c>
      <c r="G23" s="3213" t="s">
        <v>3201</v>
      </c>
      <c r="H23" s="3213" t="s">
        <v>3008</v>
      </c>
      <c r="I23" s="3213">
        <v>36043.5</v>
      </c>
      <c r="J23" s="3213">
        <v>79292.179999999993</v>
      </c>
      <c r="K23" s="3213" t="s">
        <v>3196</v>
      </c>
      <c r="L23" s="3213" t="s">
        <v>3184</v>
      </c>
      <c r="M23" s="3213" t="s">
        <v>3201</v>
      </c>
      <c r="N23" s="3213" t="s">
        <v>3202</v>
      </c>
      <c r="O23" s="3213">
        <v>36110</v>
      </c>
      <c r="P23" s="3213">
        <v>667.9</v>
      </c>
      <c r="Q23" s="3213">
        <v>4554.03</v>
      </c>
      <c r="R23" s="3213">
        <v>0</v>
      </c>
      <c r="S23" s="3213" t="s">
        <v>2816</v>
      </c>
      <c r="T23" s="3213" t="s">
        <v>3125</v>
      </c>
    </row>
    <row r="24" spans="1:21" s="3214" customFormat="1" ht="23.25" customHeight="1">
      <c r="A24" s="3213" t="s">
        <v>3168</v>
      </c>
      <c r="B24" s="3213" t="s">
        <v>3004</v>
      </c>
      <c r="C24" s="3213" t="s">
        <v>3100</v>
      </c>
      <c r="D24" s="3213" t="s">
        <v>2816</v>
      </c>
      <c r="E24" s="3213" t="s">
        <v>3168</v>
      </c>
      <c r="F24" s="3213" t="s">
        <v>3101</v>
      </c>
      <c r="G24" s="3213" t="s">
        <v>3203</v>
      </c>
      <c r="H24" s="3213" t="s">
        <v>3188</v>
      </c>
      <c r="I24" s="3213">
        <v>50500.3</v>
      </c>
      <c r="J24" s="3213">
        <v>68997.75</v>
      </c>
      <c r="K24" s="3213" t="s">
        <v>3204</v>
      </c>
      <c r="L24" s="3213" t="s">
        <v>3205</v>
      </c>
      <c r="M24" s="3213" t="s">
        <v>3203</v>
      </c>
      <c r="N24" s="3213" t="s">
        <v>3206</v>
      </c>
      <c r="O24" s="3213">
        <v>30130</v>
      </c>
      <c r="P24" s="3213">
        <v>397.75</v>
      </c>
      <c r="Q24" s="3213">
        <v>4366.8100000000004</v>
      </c>
      <c r="R24" s="3213">
        <v>0</v>
      </c>
      <c r="S24" s="3213" t="s">
        <v>3190</v>
      </c>
      <c r="T24" s="3213" t="s">
        <v>3113</v>
      </c>
    </row>
    <row r="25" spans="1:21" s="3214" customFormat="1" ht="23.25" customHeight="1">
      <c r="A25" s="3213" t="s">
        <v>3168</v>
      </c>
      <c r="B25" s="3213" t="s">
        <v>3004</v>
      </c>
      <c r="C25" s="3213" t="s">
        <v>3100</v>
      </c>
      <c r="D25" s="3213" t="s">
        <v>2816</v>
      </c>
      <c r="E25" s="3213" t="s">
        <v>3168</v>
      </c>
      <c r="F25" s="3213" t="s">
        <v>3101</v>
      </c>
      <c r="G25" s="3213" t="s">
        <v>3207</v>
      </c>
      <c r="H25" s="3213" t="s">
        <v>3008</v>
      </c>
      <c r="I25" s="3213">
        <v>40543.699999999997</v>
      </c>
      <c r="J25" s="3213">
        <v>60813</v>
      </c>
      <c r="K25" s="3213" t="s">
        <v>3103</v>
      </c>
      <c r="L25" s="3213" t="s">
        <v>3205</v>
      </c>
      <c r="M25" s="3213" t="s">
        <v>3207</v>
      </c>
      <c r="N25" s="3213" t="s">
        <v>3208</v>
      </c>
      <c r="O25" s="3213">
        <v>25550</v>
      </c>
      <c r="P25" s="3213">
        <v>420.12</v>
      </c>
      <c r="Q25" s="3213">
        <v>4201.3900000000003</v>
      </c>
      <c r="R25" s="3213">
        <v>0</v>
      </c>
      <c r="S25" s="3213" t="s">
        <v>3112</v>
      </c>
      <c r="T25" s="3213" t="s">
        <v>3113</v>
      </c>
    </row>
    <row r="26" spans="1:21" s="3214" customFormat="1" ht="23.25" customHeight="1">
      <c r="A26" s="3213" t="s">
        <v>3168</v>
      </c>
      <c r="B26" s="3213" t="s">
        <v>3004</v>
      </c>
      <c r="C26" s="3213" t="s">
        <v>3100</v>
      </c>
      <c r="D26" s="3213" t="s">
        <v>2816</v>
      </c>
      <c r="E26" s="3213" t="s">
        <v>3168</v>
      </c>
      <c r="F26" s="3213" t="s">
        <v>3101</v>
      </c>
      <c r="G26" s="3213" t="s">
        <v>3209</v>
      </c>
      <c r="H26" s="3213" t="s">
        <v>3188</v>
      </c>
      <c r="I26" s="3213">
        <v>56232.4</v>
      </c>
      <c r="J26" s="3213">
        <v>67249.649999999994</v>
      </c>
      <c r="K26" s="3213" t="s">
        <v>3210</v>
      </c>
      <c r="L26" s="3213" t="s">
        <v>3205</v>
      </c>
      <c r="M26" s="3213" t="s">
        <v>3209</v>
      </c>
      <c r="N26" s="3213" t="s">
        <v>3208</v>
      </c>
      <c r="O26" s="3213">
        <v>31480</v>
      </c>
      <c r="P26" s="3213">
        <v>373.21</v>
      </c>
      <c r="Q26" s="3213">
        <v>4681.0600000000004</v>
      </c>
      <c r="R26" s="3213">
        <v>0</v>
      </c>
      <c r="S26" s="3213" t="s">
        <v>3190</v>
      </c>
      <c r="T26" s="3213" t="s">
        <v>3113</v>
      </c>
    </row>
    <row r="27" spans="1:21" s="3214" customFormat="1" ht="23.25" customHeight="1">
      <c r="A27" s="3213" t="s">
        <v>3168</v>
      </c>
      <c r="B27" s="3213" t="s">
        <v>3004</v>
      </c>
      <c r="C27" s="3213" t="s">
        <v>3100</v>
      </c>
      <c r="D27" s="3213" t="s">
        <v>2816</v>
      </c>
      <c r="E27" s="3213" t="s">
        <v>3168</v>
      </c>
      <c r="F27" s="3213" t="s">
        <v>3101</v>
      </c>
      <c r="G27" s="3213" t="s">
        <v>3211</v>
      </c>
      <c r="H27" s="3213" t="s">
        <v>3008</v>
      </c>
      <c r="I27" s="3213">
        <v>94898.5</v>
      </c>
      <c r="J27" s="3213">
        <v>123363</v>
      </c>
      <c r="K27" s="3213" t="s">
        <v>3170</v>
      </c>
      <c r="L27" s="3213" t="s">
        <v>3205</v>
      </c>
      <c r="M27" s="3213" t="s">
        <v>3211</v>
      </c>
      <c r="N27" s="3213" t="s">
        <v>3212</v>
      </c>
      <c r="O27" s="3213">
        <v>57660</v>
      </c>
      <c r="P27" s="3213">
        <v>405.06</v>
      </c>
      <c r="Q27" s="3213">
        <v>4674.01</v>
      </c>
      <c r="R27" s="3213">
        <v>0</v>
      </c>
      <c r="S27" s="3213" t="s">
        <v>3112</v>
      </c>
      <c r="T27" s="3213" t="s">
        <v>3113</v>
      </c>
    </row>
    <row r="28" spans="1:21" s="3214" customFormat="1" ht="23.25" customHeight="1">
      <c r="A28" s="3213" t="s">
        <v>3168</v>
      </c>
      <c r="B28" s="3213" t="s">
        <v>3004</v>
      </c>
      <c r="C28" s="3213" t="s">
        <v>3100</v>
      </c>
      <c r="D28" s="3213" t="s">
        <v>2816</v>
      </c>
      <c r="E28" s="3213" t="s">
        <v>3168</v>
      </c>
      <c r="F28" s="3213" t="s">
        <v>3101</v>
      </c>
      <c r="G28" s="3213" t="s">
        <v>3213</v>
      </c>
      <c r="H28" s="3213" t="s">
        <v>3008</v>
      </c>
      <c r="I28" s="3213">
        <v>47045.8</v>
      </c>
      <c r="J28" s="3213">
        <v>70566</v>
      </c>
      <c r="K28" s="3213" t="s">
        <v>3103</v>
      </c>
      <c r="L28" s="3213" t="s">
        <v>3205</v>
      </c>
      <c r="M28" s="3213" t="s">
        <v>3213</v>
      </c>
      <c r="N28" s="3213" t="s">
        <v>3206</v>
      </c>
      <c r="O28" s="3213">
        <v>29760</v>
      </c>
      <c r="P28" s="3213">
        <v>421.72</v>
      </c>
      <c r="Q28" s="3213">
        <v>4217.32</v>
      </c>
      <c r="R28" s="3213">
        <v>0</v>
      </c>
      <c r="S28" s="3213" t="s">
        <v>3112</v>
      </c>
      <c r="T28" s="3213" t="s">
        <v>3113</v>
      </c>
    </row>
    <row r="29" spans="1:21" s="3214" customFormat="1" ht="23.25" customHeight="1">
      <c r="A29" s="3213" t="s">
        <v>3168</v>
      </c>
      <c r="B29" s="3213" t="s">
        <v>3004</v>
      </c>
      <c r="C29" s="3213" t="s">
        <v>3100</v>
      </c>
      <c r="D29" s="3213" t="s">
        <v>2816</v>
      </c>
      <c r="E29" s="3213" t="s">
        <v>3168</v>
      </c>
      <c r="F29" s="3213" t="s">
        <v>3101</v>
      </c>
      <c r="G29" s="3213" t="s">
        <v>3214</v>
      </c>
      <c r="H29" s="3213" t="s">
        <v>3173</v>
      </c>
      <c r="I29" s="3213">
        <v>50758.3</v>
      </c>
      <c r="J29" s="3213">
        <v>71059.100000000006</v>
      </c>
      <c r="K29" s="3213" t="s">
        <v>3215</v>
      </c>
      <c r="L29" s="3213" t="s">
        <v>3205</v>
      </c>
      <c r="M29" s="3213" t="s">
        <v>3214</v>
      </c>
      <c r="N29" s="3213" t="s">
        <v>3206</v>
      </c>
      <c r="O29" s="3213">
        <v>31840</v>
      </c>
      <c r="P29" s="3213">
        <v>418.19</v>
      </c>
      <c r="Q29" s="3213">
        <v>4480.7700000000004</v>
      </c>
      <c r="R29" s="3213">
        <v>0</v>
      </c>
      <c r="S29" s="3213" t="s">
        <v>3173</v>
      </c>
      <c r="T29" s="3213" t="s">
        <v>3113</v>
      </c>
    </row>
    <row r="30" spans="1:21" s="3214" customFormat="1" ht="23.25" customHeight="1">
      <c r="A30" s="3213" t="s">
        <v>3168</v>
      </c>
      <c r="B30" s="3213" t="s">
        <v>3004</v>
      </c>
      <c r="C30" s="3213" t="s">
        <v>3100</v>
      </c>
      <c r="D30" s="3213" t="s">
        <v>2816</v>
      </c>
      <c r="E30" s="3315" t="s">
        <v>3443</v>
      </c>
      <c r="F30" s="3213" t="s">
        <v>3101</v>
      </c>
      <c r="G30" s="3213" t="s">
        <v>3216</v>
      </c>
      <c r="H30" s="3213" t="s">
        <v>3008</v>
      </c>
      <c r="I30" s="3213">
        <v>65418.9</v>
      </c>
      <c r="J30" s="3213">
        <v>98124</v>
      </c>
      <c r="K30" s="3213" t="s">
        <v>3103</v>
      </c>
      <c r="L30" s="3213" t="s">
        <v>3205</v>
      </c>
      <c r="M30" s="3213" t="s">
        <v>3216</v>
      </c>
      <c r="N30" s="3213" t="s">
        <v>3212</v>
      </c>
      <c r="O30" s="3213">
        <v>41650</v>
      </c>
      <c r="P30" s="3213">
        <v>424.44</v>
      </c>
      <c r="Q30" s="3213">
        <v>4244.63</v>
      </c>
      <c r="R30" s="3213">
        <v>0</v>
      </c>
      <c r="S30" s="3213" t="s">
        <v>3112</v>
      </c>
      <c r="T30" s="3213" t="s">
        <v>3113</v>
      </c>
    </row>
    <row r="31" spans="1:21" s="3214" customFormat="1" ht="23.25" customHeight="1">
      <c r="A31" s="3213" t="s">
        <v>3217</v>
      </c>
      <c r="B31" s="3213" t="s">
        <v>3004</v>
      </c>
      <c r="C31" s="3213" t="s">
        <v>3119</v>
      </c>
      <c r="D31" s="3213" t="s">
        <v>2816</v>
      </c>
      <c r="E31" s="3213" t="s">
        <v>3217</v>
      </c>
      <c r="F31" s="3213" t="s">
        <v>3101</v>
      </c>
      <c r="G31" s="3213" t="s">
        <v>3218</v>
      </c>
      <c r="H31" s="3213" t="s">
        <v>3121</v>
      </c>
      <c r="I31" s="3213">
        <v>109685.7</v>
      </c>
      <c r="J31" s="3213">
        <v>87748.56</v>
      </c>
      <c r="K31" s="3213" t="s">
        <v>3219</v>
      </c>
      <c r="L31" s="3213" t="s">
        <v>3220</v>
      </c>
      <c r="M31" s="3213" t="s">
        <v>3218</v>
      </c>
      <c r="N31" s="3213" t="s">
        <v>3221</v>
      </c>
      <c r="O31" s="3213">
        <v>107000</v>
      </c>
      <c r="P31" s="3213">
        <v>650.34</v>
      </c>
      <c r="Q31" s="3213">
        <v>12193.93</v>
      </c>
      <c r="R31" s="3213">
        <v>0</v>
      </c>
      <c r="S31" s="3213" t="s">
        <v>3124</v>
      </c>
      <c r="T31" s="3213" t="s">
        <v>3125</v>
      </c>
    </row>
    <row r="32" spans="1:21" s="3214" customFormat="1" ht="23.25" customHeight="1">
      <c r="A32" s="3213" t="s">
        <v>3134</v>
      </c>
      <c r="B32" s="3213" t="s">
        <v>3004</v>
      </c>
      <c r="C32" s="3213" t="s">
        <v>3100</v>
      </c>
      <c r="D32" s="3213" t="s">
        <v>2816</v>
      </c>
      <c r="E32" s="3213" t="s">
        <v>3134</v>
      </c>
      <c r="F32" s="3213" t="s">
        <v>3101</v>
      </c>
      <c r="G32" s="3213" t="s">
        <v>3222</v>
      </c>
      <c r="H32" s="3213" t="s">
        <v>3008</v>
      </c>
      <c r="I32" s="3213">
        <v>37280.1</v>
      </c>
      <c r="J32" s="3213">
        <v>55920.15</v>
      </c>
      <c r="K32" s="3213" t="s">
        <v>3223</v>
      </c>
      <c r="L32" s="3213" t="s">
        <v>3224</v>
      </c>
      <c r="M32" s="3213" t="s">
        <v>3222</v>
      </c>
      <c r="N32" s="3213" t="s">
        <v>3225</v>
      </c>
      <c r="O32" s="3213">
        <v>15100</v>
      </c>
      <c r="P32" s="3213">
        <v>270.02999999999997</v>
      </c>
      <c r="Q32" s="3213">
        <v>2700.28</v>
      </c>
      <c r="R32" s="3213">
        <v>0</v>
      </c>
      <c r="S32" s="3213" t="s">
        <v>3226</v>
      </c>
      <c r="T32" s="3213" t="s">
        <v>3139</v>
      </c>
      <c r="U32" s="3313" t="s">
        <v>3440</v>
      </c>
    </row>
    <row r="33" spans="1:20" s="3214" customFormat="1" ht="23.25" customHeight="1">
      <c r="A33" s="3213" t="s">
        <v>3227</v>
      </c>
      <c r="B33" s="3213" t="s">
        <v>3004</v>
      </c>
      <c r="C33" s="3213" t="s">
        <v>3100</v>
      </c>
      <c r="D33" s="3213" t="s">
        <v>2816</v>
      </c>
      <c r="E33" s="3213" t="s">
        <v>3227</v>
      </c>
      <c r="F33" s="3213" t="s">
        <v>3101</v>
      </c>
      <c r="G33" s="3213" t="s">
        <v>3228</v>
      </c>
      <c r="H33" s="3213" t="s">
        <v>3008</v>
      </c>
      <c r="I33" s="3213">
        <v>145201.79999999999</v>
      </c>
      <c r="J33" s="3213">
        <v>217791.6</v>
      </c>
      <c r="K33" s="3213" t="s">
        <v>3103</v>
      </c>
      <c r="L33" s="3213" t="s">
        <v>3229</v>
      </c>
      <c r="M33" s="3213" t="s">
        <v>3228</v>
      </c>
      <c r="N33" s="3213" t="s">
        <v>3230</v>
      </c>
      <c r="O33" s="3213">
        <v>79500</v>
      </c>
      <c r="P33" s="3213">
        <v>365.01</v>
      </c>
      <c r="Q33" s="3213">
        <v>3650.28</v>
      </c>
      <c r="R33" s="3213">
        <v>0</v>
      </c>
      <c r="S33" s="3213" t="s">
        <v>3112</v>
      </c>
      <c r="T33" s="3213" t="s">
        <v>3107</v>
      </c>
    </row>
    <row r="34" spans="1:20" s="3214" customFormat="1" ht="23.25" customHeight="1">
      <c r="A34" s="3213" t="s">
        <v>3134</v>
      </c>
      <c r="B34" s="3213" t="s">
        <v>3004</v>
      </c>
      <c r="C34" s="3213" t="s">
        <v>3100</v>
      </c>
      <c r="D34" s="3213" t="s">
        <v>2816</v>
      </c>
      <c r="E34" s="3213" t="s">
        <v>3134</v>
      </c>
      <c r="F34" s="3213" t="s">
        <v>3101</v>
      </c>
      <c r="G34" s="3213" t="s">
        <v>3231</v>
      </c>
      <c r="H34" s="3213" t="s">
        <v>3232</v>
      </c>
      <c r="I34" s="3213">
        <v>53294.2</v>
      </c>
      <c r="J34" s="3213">
        <v>70863.149999999994</v>
      </c>
      <c r="K34" s="3213" t="s">
        <v>3233</v>
      </c>
      <c r="L34" s="3213" t="s">
        <v>3229</v>
      </c>
      <c r="M34" s="3213" t="s">
        <v>3231</v>
      </c>
      <c r="N34" s="3213" t="s">
        <v>3225</v>
      </c>
      <c r="O34" s="3213">
        <v>107210</v>
      </c>
      <c r="P34" s="3213">
        <v>1341.11</v>
      </c>
      <c r="Q34" s="3213">
        <v>15129.15</v>
      </c>
      <c r="R34" s="3213">
        <v>0</v>
      </c>
      <c r="S34" s="3213" t="s">
        <v>3234</v>
      </c>
      <c r="T34" s="3213" t="s">
        <v>3139</v>
      </c>
    </row>
    <row r="35" spans="1:20" s="3214" customFormat="1" ht="23.25" customHeight="1">
      <c r="A35" s="3213" t="s">
        <v>3235</v>
      </c>
      <c r="B35" s="3213" t="s">
        <v>3004</v>
      </c>
      <c r="C35" s="3213" t="s">
        <v>3100</v>
      </c>
      <c r="D35" s="3213" t="s">
        <v>2816</v>
      </c>
      <c r="E35" s="3213" t="s">
        <v>3235</v>
      </c>
      <c r="F35" s="3213" t="s">
        <v>3101</v>
      </c>
      <c r="G35" s="3213" t="s">
        <v>3236</v>
      </c>
      <c r="H35" s="3213" t="s">
        <v>3008</v>
      </c>
      <c r="I35" s="3213">
        <v>17455.7</v>
      </c>
      <c r="J35" s="3213">
        <v>19201.27</v>
      </c>
      <c r="K35" s="3213" t="s">
        <v>3122</v>
      </c>
      <c r="L35" s="3213" t="s">
        <v>3237</v>
      </c>
      <c r="M35" s="3213" t="s">
        <v>3236</v>
      </c>
      <c r="N35" s="3213" t="s">
        <v>3238</v>
      </c>
      <c r="O35" s="3213">
        <v>9540</v>
      </c>
      <c r="P35" s="3213">
        <v>364.35</v>
      </c>
      <c r="Q35" s="3213">
        <v>4968.42</v>
      </c>
      <c r="R35" s="3213">
        <v>0</v>
      </c>
      <c r="S35" s="3213" t="s">
        <v>3112</v>
      </c>
      <c r="T35" s="3213" t="s">
        <v>3139</v>
      </c>
    </row>
    <row r="36" spans="1:20" s="3214" customFormat="1" ht="23.25" customHeight="1">
      <c r="A36" s="3213" t="s">
        <v>3239</v>
      </c>
      <c r="B36" s="3213" t="s">
        <v>3004</v>
      </c>
      <c r="C36" s="3213" t="s">
        <v>3100</v>
      </c>
      <c r="D36" s="3213" t="s">
        <v>2816</v>
      </c>
      <c r="E36" s="3213" t="s">
        <v>3239</v>
      </c>
      <c r="F36" s="3213" t="s">
        <v>3101</v>
      </c>
      <c r="G36" s="3213" t="s">
        <v>3240</v>
      </c>
      <c r="H36" s="3213" t="s">
        <v>3008</v>
      </c>
      <c r="I36" s="3213">
        <v>16177.1</v>
      </c>
      <c r="J36" s="3213">
        <v>17794.810000000001</v>
      </c>
      <c r="K36" s="3213" t="s">
        <v>3122</v>
      </c>
      <c r="L36" s="3213" t="s">
        <v>3237</v>
      </c>
      <c r="M36" s="3213" t="s">
        <v>3240</v>
      </c>
      <c r="N36" s="3213" t="s">
        <v>3241</v>
      </c>
      <c r="O36" s="3213">
        <v>8700</v>
      </c>
      <c r="P36" s="3213">
        <v>358.53</v>
      </c>
      <c r="Q36" s="3213">
        <v>4889.0600000000004</v>
      </c>
      <c r="R36" s="3213">
        <v>0</v>
      </c>
      <c r="S36" s="3213" t="s">
        <v>3112</v>
      </c>
      <c r="T36" s="3213" t="s">
        <v>3139</v>
      </c>
    </row>
    <row r="37" spans="1:20" s="3210" customFormat="1" ht="23.25" customHeight="1">
      <c r="A37" s="3209" t="s">
        <v>3242</v>
      </c>
      <c r="B37" s="3209" t="s">
        <v>3004</v>
      </c>
      <c r="C37" s="3209" t="s">
        <v>3100</v>
      </c>
      <c r="D37" s="3209" t="s">
        <v>2816</v>
      </c>
      <c r="E37" s="3209" t="s">
        <v>3242</v>
      </c>
      <c r="F37" s="3209" t="s">
        <v>3101</v>
      </c>
      <c r="G37" s="3209" t="s">
        <v>3243</v>
      </c>
      <c r="H37" s="3209" t="s">
        <v>3008</v>
      </c>
      <c r="I37" s="3209">
        <v>17455.7</v>
      </c>
      <c r="J37" s="3209">
        <v>19201.27</v>
      </c>
      <c r="K37" s="3209" t="s">
        <v>3122</v>
      </c>
      <c r="L37" s="3209" t="s">
        <v>3237</v>
      </c>
      <c r="M37" s="3209" t="s">
        <v>3243</v>
      </c>
      <c r="N37" s="3209" t="s">
        <v>3238</v>
      </c>
      <c r="O37" s="3209">
        <v>9390</v>
      </c>
      <c r="P37" s="3209">
        <v>358.62</v>
      </c>
      <c r="Q37" s="3209">
        <v>4890.3</v>
      </c>
      <c r="R37" s="3209">
        <v>0</v>
      </c>
      <c r="S37" s="3209" t="s">
        <v>3112</v>
      </c>
      <c r="T37" s="3209" t="s">
        <v>3139</v>
      </c>
    </row>
    <row r="38" spans="1:20" s="3210" customFormat="1" ht="23.25" customHeight="1">
      <c r="A38" s="3209" t="s">
        <v>3244</v>
      </c>
      <c r="B38" s="3209" t="s">
        <v>3004</v>
      </c>
      <c r="C38" s="3209" t="s">
        <v>3100</v>
      </c>
      <c r="D38" s="3209" t="s">
        <v>2816</v>
      </c>
      <c r="E38" s="3209" t="s">
        <v>3244</v>
      </c>
      <c r="F38" s="3209" t="s">
        <v>3101</v>
      </c>
      <c r="G38" s="3209" t="s">
        <v>3245</v>
      </c>
      <c r="H38" s="3209" t="s">
        <v>3008</v>
      </c>
      <c r="I38" s="3209">
        <v>18478.400000000001</v>
      </c>
      <c r="J38" s="3209">
        <v>22174.080000000002</v>
      </c>
      <c r="K38" s="3209" t="s">
        <v>3246</v>
      </c>
      <c r="L38" s="3209" t="s">
        <v>3237</v>
      </c>
      <c r="M38" s="3209" t="s">
        <v>3245</v>
      </c>
      <c r="N38" s="3209" t="s">
        <v>3247</v>
      </c>
      <c r="O38" s="3209">
        <v>10100</v>
      </c>
      <c r="P38" s="3209">
        <v>364.39</v>
      </c>
      <c r="Q38" s="3209">
        <v>4554.8599999999997</v>
      </c>
      <c r="R38" s="3209">
        <v>0</v>
      </c>
      <c r="S38" s="3209" t="s">
        <v>3112</v>
      </c>
      <c r="T38" s="3209" t="s">
        <v>3139</v>
      </c>
    </row>
    <row r="39" spans="1:20" s="3210" customFormat="1" ht="23.25" customHeight="1">
      <c r="A39" s="3209" t="s">
        <v>3248</v>
      </c>
      <c r="B39" s="3209" t="s">
        <v>3004</v>
      </c>
      <c r="C39" s="3209" t="s">
        <v>3119</v>
      </c>
      <c r="D39" s="3209" t="s">
        <v>2816</v>
      </c>
      <c r="E39" s="3209" t="s">
        <v>3248</v>
      </c>
      <c r="F39" s="3209" t="s">
        <v>3101</v>
      </c>
      <c r="G39" s="3209" t="s">
        <v>3249</v>
      </c>
      <c r="H39" s="3209" t="s">
        <v>3121</v>
      </c>
      <c r="I39" s="3209">
        <v>87678.5</v>
      </c>
      <c r="J39" s="3209">
        <v>219100</v>
      </c>
      <c r="K39" s="3209" t="s">
        <v>3250</v>
      </c>
      <c r="L39" s="3209" t="s">
        <v>3251</v>
      </c>
      <c r="M39" s="3209" t="s">
        <v>3249</v>
      </c>
      <c r="N39" s="3209" t="s">
        <v>3252</v>
      </c>
      <c r="O39" s="3209">
        <v>146000</v>
      </c>
      <c r="P39" s="3209">
        <v>1110.1199999999999</v>
      </c>
      <c r="Q39" s="3209">
        <v>6663.61</v>
      </c>
      <c r="R39" s="3209">
        <v>6.9</v>
      </c>
      <c r="S39" s="3209" t="s">
        <v>3124</v>
      </c>
      <c r="T39" s="3209" t="s">
        <v>3133</v>
      </c>
    </row>
    <row r="40" spans="1:20" s="3210" customFormat="1" ht="23.25" customHeight="1">
      <c r="A40" s="3209" t="s">
        <v>3248</v>
      </c>
      <c r="B40" s="3209" t="s">
        <v>3004</v>
      </c>
      <c r="C40" s="3209" t="s">
        <v>3119</v>
      </c>
      <c r="D40" s="3209" t="s">
        <v>2816</v>
      </c>
      <c r="E40" s="3209" t="s">
        <v>3248</v>
      </c>
      <c r="F40" s="3209" t="s">
        <v>3101</v>
      </c>
      <c r="G40" s="3209" t="s">
        <v>3253</v>
      </c>
      <c r="H40" s="3209" t="s">
        <v>3121</v>
      </c>
      <c r="I40" s="3209">
        <v>79422.399999999994</v>
      </c>
      <c r="J40" s="3209">
        <v>79500</v>
      </c>
      <c r="K40" s="3209" t="s">
        <v>3122</v>
      </c>
      <c r="L40" s="3209" t="s">
        <v>3254</v>
      </c>
      <c r="M40" s="3209" t="s">
        <v>3253</v>
      </c>
      <c r="N40" s="3209" t="s">
        <v>3255</v>
      </c>
      <c r="O40" s="3209">
        <v>83510</v>
      </c>
      <c r="P40" s="3209">
        <v>700.98</v>
      </c>
      <c r="Q40" s="3209">
        <v>10504.39</v>
      </c>
      <c r="R40" s="3209">
        <v>0.12</v>
      </c>
      <c r="S40" s="3209">
        <v>79500</v>
      </c>
      <c r="T40" s="3209" t="s">
        <v>3133</v>
      </c>
    </row>
    <row r="41" spans="1:20" s="3210" customFormat="1" ht="23.25" customHeight="1">
      <c r="A41" s="3209" t="s">
        <v>3256</v>
      </c>
      <c r="B41" s="3209" t="s">
        <v>3004</v>
      </c>
      <c r="C41" s="3209" t="s">
        <v>3100</v>
      </c>
      <c r="D41" s="3209" t="s">
        <v>2816</v>
      </c>
      <c r="E41" s="3209" t="s">
        <v>3256</v>
      </c>
      <c r="F41" s="3209" t="s">
        <v>3101</v>
      </c>
      <c r="G41" s="3209" t="s">
        <v>3257</v>
      </c>
      <c r="H41" s="3209" t="s">
        <v>3258</v>
      </c>
      <c r="I41" s="3209">
        <v>456410.2</v>
      </c>
      <c r="J41" s="3209">
        <v>283981.3</v>
      </c>
      <c r="K41" s="3209" t="s">
        <v>3259</v>
      </c>
      <c r="L41" s="3209" t="s">
        <v>3260</v>
      </c>
      <c r="M41" s="3209" t="s">
        <v>3257</v>
      </c>
      <c r="N41" s="3209" t="s">
        <v>3261</v>
      </c>
      <c r="O41" s="3209">
        <v>134050</v>
      </c>
      <c r="P41" s="3209">
        <v>195.8</v>
      </c>
      <c r="Q41" s="3209">
        <v>4720.38</v>
      </c>
      <c r="R41" s="3209">
        <v>0</v>
      </c>
      <c r="S41" s="3209" t="s">
        <v>3262</v>
      </c>
      <c r="T41" s="3209" t="s">
        <v>3107</v>
      </c>
    </row>
    <row r="42" spans="1:20" s="3210" customFormat="1" ht="23.25" customHeight="1">
      <c r="A42" s="3209" t="s">
        <v>3256</v>
      </c>
      <c r="B42" s="3209" t="s">
        <v>3004</v>
      </c>
      <c r="C42" s="3209" t="s">
        <v>3100</v>
      </c>
      <c r="D42" s="3209" t="s">
        <v>2816</v>
      </c>
      <c r="E42" s="3209" t="s">
        <v>3256</v>
      </c>
      <c r="F42" s="3209" t="s">
        <v>3101</v>
      </c>
      <c r="G42" s="3209" t="s">
        <v>3263</v>
      </c>
      <c r="H42" s="3209" t="s">
        <v>3264</v>
      </c>
      <c r="I42" s="3209">
        <v>264903.8</v>
      </c>
      <c r="J42" s="3209">
        <v>298732.09999999998</v>
      </c>
      <c r="K42" s="3209" t="s">
        <v>3265</v>
      </c>
      <c r="L42" s="3209" t="s">
        <v>3266</v>
      </c>
      <c r="M42" s="3209" t="s">
        <v>3263</v>
      </c>
      <c r="N42" s="3209" t="s">
        <v>3267</v>
      </c>
      <c r="O42" s="3209">
        <v>192430</v>
      </c>
      <c r="P42" s="3209">
        <v>484.28</v>
      </c>
      <c r="Q42" s="3209">
        <v>6441.56</v>
      </c>
      <c r="R42" s="3209">
        <v>0</v>
      </c>
      <c r="S42" s="3209" t="s">
        <v>3112</v>
      </c>
      <c r="T42" s="3209" t="s">
        <v>3113</v>
      </c>
    </row>
    <row r="43" spans="1:20" s="3210" customFormat="1" ht="23.25" customHeight="1">
      <c r="A43" s="3209" t="s">
        <v>3256</v>
      </c>
      <c r="B43" s="3209" t="s">
        <v>3004</v>
      </c>
      <c r="C43" s="3209" t="s">
        <v>3100</v>
      </c>
      <c r="D43" s="3209" t="s">
        <v>2816</v>
      </c>
      <c r="E43" s="3209" t="s">
        <v>3256</v>
      </c>
      <c r="F43" s="3209" t="s">
        <v>3101</v>
      </c>
      <c r="G43" s="3209" t="s">
        <v>3268</v>
      </c>
      <c r="H43" s="3209" t="s">
        <v>3008</v>
      </c>
      <c r="I43" s="3209">
        <v>28056.9</v>
      </c>
      <c r="J43" s="3209">
        <v>33668.28</v>
      </c>
      <c r="K43" s="3209" t="s">
        <v>3246</v>
      </c>
      <c r="L43" s="3209" t="s">
        <v>3269</v>
      </c>
      <c r="M43" s="3209" t="s">
        <v>3268</v>
      </c>
      <c r="N43" s="3209" t="s">
        <v>3270</v>
      </c>
      <c r="O43" s="3209">
        <v>27468</v>
      </c>
      <c r="P43" s="3209">
        <v>652.66999999999996</v>
      </c>
      <c r="Q43" s="3209">
        <v>8158.42</v>
      </c>
      <c r="R43" s="3209">
        <v>20</v>
      </c>
      <c r="S43" s="3209" t="s">
        <v>3112</v>
      </c>
      <c r="T43" s="3209" t="s">
        <v>3113</v>
      </c>
    </row>
    <row r="44" spans="1:20" s="3210" customFormat="1" ht="23.25" customHeight="1">
      <c r="A44" s="3209" t="s">
        <v>3256</v>
      </c>
      <c r="B44" s="3209" t="s">
        <v>3004</v>
      </c>
      <c r="C44" s="3209" t="s">
        <v>3100</v>
      </c>
      <c r="D44" s="3209" t="s">
        <v>2816</v>
      </c>
      <c r="E44" s="3209" t="s">
        <v>3256</v>
      </c>
      <c r="F44" s="3209" t="s">
        <v>3101</v>
      </c>
      <c r="G44" s="3209" t="s">
        <v>3271</v>
      </c>
      <c r="H44" s="3209" t="s">
        <v>3008</v>
      </c>
      <c r="I44" s="3209">
        <v>16590.5</v>
      </c>
      <c r="J44" s="3209">
        <v>19908.599999999999</v>
      </c>
      <c r="K44" s="3209" t="s">
        <v>3246</v>
      </c>
      <c r="L44" s="3209" t="s">
        <v>3269</v>
      </c>
      <c r="M44" s="3209" t="s">
        <v>3271</v>
      </c>
      <c r="N44" s="3209" t="s">
        <v>3270</v>
      </c>
      <c r="O44" s="3209">
        <v>16248</v>
      </c>
      <c r="P44" s="3209">
        <v>652.9</v>
      </c>
      <c r="Q44" s="3209">
        <v>8161.3</v>
      </c>
      <c r="R44" s="3209">
        <v>20</v>
      </c>
      <c r="S44" s="3209" t="s">
        <v>3112</v>
      </c>
      <c r="T44" s="3209" t="s">
        <v>3113</v>
      </c>
    </row>
    <row r="45" spans="1:20" s="3210" customFormat="1" ht="23.25" customHeight="1">
      <c r="A45" s="3209" t="s">
        <v>3256</v>
      </c>
      <c r="B45" s="3209" t="s">
        <v>3004</v>
      </c>
      <c r="C45" s="3209" t="s">
        <v>3100</v>
      </c>
      <c r="D45" s="3209" t="s">
        <v>2816</v>
      </c>
      <c r="E45" s="3209" t="s">
        <v>3256</v>
      </c>
      <c r="F45" s="3209" t="s">
        <v>3101</v>
      </c>
      <c r="G45" s="3209" t="s">
        <v>3272</v>
      </c>
      <c r="H45" s="3209" t="s">
        <v>3008</v>
      </c>
      <c r="I45" s="3209">
        <v>30184.5</v>
      </c>
      <c r="J45" s="3209">
        <v>36221.4</v>
      </c>
      <c r="K45" s="3209" t="s">
        <v>3246</v>
      </c>
      <c r="L45" s="3209" t="s">
        <v>3269</v>
      </c>
      <c r="M45" s="3209" t="s">
        <v>3272</v>
      </c>
      <c r="N45" s="3209" t="s">
        <v>3270</v>
      </c>
      <c r="O45" s="3209">
        <v>29556</v>
      </c>
      <c r="P45" s="3209">
        <v>652.79</v>
      </c>
      <c r="Q45" s="3209">
        <v>8159.81</v>
      </c>
      <c r="R45" s="3209">
        <v>20</v>
      </c>
      <c r="S45" s="3209" t="s">
        <v>3112</v>
      </c>
      <c r="T45" s="3209" t="s">
        <v>3113</v>
      </c>
    </row>
    <row r="46" spans="1:20" s="3210" customFormat="1" ht="23.25" customHeight="1">
      <c r="A46" s="3209" t="s">
        <v>3200</v>
      </c>
      <c r="B46" s="3209" t="s">
        <v>3004</v>
      </c>
      <c r="C46" s="3209" t="s">
        <v>3100</v>
      </c>
      <c r="D46" s="3209" t="s">
        <v>2816</v>
      </c>
      <c r="E46" s="3209" t="s">
        <v>3200</v>
      </c>
      <c r="F46" s="3209" t="s">
        <v>3101</v>
      </c>
      <c r="G46" s="3209" t="s">
        <v>3273</v>
      </c>
      <c r="H46" s="3209" t="s">
        <v>3008</v>
      </c>
      <c r="I46" s="3209">
        <v>90780.4</v>
      </c>
      <c r="J46" s="3209">
        <v>196854.3</v>
      </c>
      <c r="K46" s="3209" t="s">
        <v>3274</v>
      </c>
      <c r="L46" s="3209" t="s">
        <v>3269</v>
      </c>
      <c r="M46" s="3209" t="s">
        <v>3273</v>
      </c>
      <c r="N46" s="3209" t="s">
        <v>3275</v>
      </c>
      <c r="O46" s="3209">
        <v>90740</v>
      </c>
      <c r="P46" s="3209">
        <v>666.37</v>
      </c>
      <c r="Q46" s="3209">
        <v>4609.5</v>
      </c>
      <c r="R46" s="3209">
        <v>0.11</v>
      </c>
      <c r="S46" s="3209" t="s">
        <v>3112</v>
      </c>
      <c r="T46" s="3209" t="s">
        <v>3125</v>
      </c>
    </row>
    <row r="47" spans="1:20" s="3210" customFormat="1" ht="23.25" customHeight="1">
      <c r="A47" s="3209" t="s">
        <v>3256</v>
      </c>
      <c r="B47" s="3209" t="s">
        <v>3004</v>
      </c>
      <c r="C47" s="3209" t="s">
        <v>3100</v>
      </c>
      <c r="D47" s="3209" t="s">
        <v>2816</v>
      </c>
      <c r="E47" s="3209" t="s">
        <v>3256</v>
      </c>
      <c r="F47" s="3209" t="s">
        <v>3101</v>
      </c>
      <c r="G47" s="3209" t="s">
        <v>3276</v>
      </c>
      <c r="H47" s="3209" t="s">
        <v>3008</v>
      </c>
      <c r="I47" s="3209">
        <v>21097</v>
      </c>
      <c r="J47" s="3209">
        <v>25316.400000000001</v>
      </c>
      <c r="K47" s="3209" t="s">
        <v>3246</v>
      </c>
      <c r="L47" s="3209" t="s">
        <v>3269</v>
      </c>
      <c r="M47" s="3209" t="s">
        <v>3276</v>
      </c>
      <c r="N47" s="3209" t="s">
        <v>3270</v>
      </c>
      <c r="O47" s="3209">
        <v>20664</v>
      </c>
      <c r="P47" s="3209">
        <v>652.98</v>
      </c>
      <c r="Q47" s="3209">
        <v>8162.3</v>
      </c>
      <c r="R47" s="3209">
        <v>20</v>
      </c>
      <c r="S47" s="3209" t="s">
        <v>3112</v>
      </c>
      <c r="T47" s="3209" t="s">
        <v>3113</v>
      </c>
    </row>
    <row r="48" spans="1:20" s="3210" customFormat="1" ht="23.25" customHeight="1">
      <c r="A48" s="3209" t="s">
        <v>3277</v>
      </c>
      <c r="B48" s="3209" t="s">
        <v>3004</v>
      </c>
      <c r="C48" s="3209" t="s">
        <v>3100</v>
      </c>
      <c r="D48" s="3209" t="s">
        <v>2816</v>
      </c>
      <c r="E48" s="3209" t="s">
        <v>3277</v>
      </c>
      <c r="F48" s="3209" t="s">
        <v>3101</v>
      </c>
      <c r="G48" s="3209" t="s">
        <v>3278</v>
      </c>
      <c r="H48" s="3209" t="s">
        <v>3008</v>
      </c>
      <c r="I48" s="3209">
        <v>28558.3</v>
      </c>
      <c r="J48" s="3209">
        <v>57116.6</v>
      </c>
      <c r="K48" s="3209" t="s">
        <v>3279</v>
      </c>
      <c r="L48" s="3209" t="s">
        <v>3280</v>
      </c>
      <c r="M48" s="3209" t="s">
        <v>3278</v>
      </c>
      <c r="N48" s="3209" t="s">
        <v>3281</v>
      </c>
      <c r="O48" s="3209">
        <v>29400</v>
      </c>
      <c r="P48" s="3209">
        <v>686.32</v>
      </c>
      <c r="Q48" s="3209">
        <v>5147.3599999999997</v>
      </c>
      <c r="R48" s="3209">
        <v>25.64</v>
      </c>
      <c r="S48" s="3209" t="s">
        <v>3112</v>
      </c>
      <c r="T48" s="3209" t="s">
        <v>3139</v>
      </c>
    </row>
    <row r="49" spans="1:20" s="3210" customFormat="1" ht="23.25" customHeight="1">
      <c r="A49" s="3209" t="s">
        <v>3282</v>
      </c>
      <c r="B49" s="3209" t="s">
        <v>3004</v>
      </c>
      <c r="C49" s="3209" t="s">
        <v>3100</v>
      </c>
      <c r="D49" s="3209" t="s">
        <v>2816</v>
      </c>
      <c r="E49" s="3209" t="s">
        <v>3282</v>
      </c>
      <c r="F49" s="3209" t="s">
        <v>3101</v>
      </c>
      <c r="G49" s="3209" t="s">
        <v>3283</v>
      </c>
      <c r="H49" s="3209" t="s">
        <v>3284</v>
      </c>
      <c r="I49" s="3209">
        <v>159465.9</v>
      </c>
      <c r="J49" s="3209">
        <v>268022.09999999998</v>
      </c>
      <c r="K49" s="3209" t="s">
        <v>3285</v>
      </c>
      <c r="L49" s="3209" t="s">
        <v>3286</v>
      </c>
      <c r="M49" s="3209" t="s">
        <v>3283</v>
      </c>
      <c r="N49" s="3209" t="s">
        <v>3287</v>
      </c>
      <c r="O49" s="3209">
        <v>66440</v>
      </c>
      <c r="P49" s="3209">
        <v>277.76</v>
      </c>
      <c r="Q49" s="3209">
        <v>2478.9</v>
      </c>
      <c r="R49" s="3209">
        <v>0</v>
      </c>
      <c r="S49" s="3209" t="s">
        <v>3112</v>
      </c>
      <c r="T49" s="3209" t="s">
        <v>3139</v>
      </c>
    </row>
    <row r="50" spans="1:20" s="3210" customFormat="1" ht="23.25" customHeight="1">
      <c r="A50" s="3209" t="s">
        <v>3282</v>
      </c>
      <c r="B50" s="3209" t="s">
        <v>3004</v>
      </c>
      <c r="C50" s="3209" t="s">
        <v>3100</v>
      </c>
      <c r="D50" s="3209" t="s">
        <v>2816</v>
      </c>
      <c r="E50" s="3209" t="s">
        <v>3282</v>
      </c>
      <c r="F50" s="3209" t="s">
        <v>3101</v>
      </c>
      <c r="G50" s="3209" t="s">
        <v>3288</v>
      </c>
      <c r="H50" s="3209" t="s">
        <v>3008</v>
      </c>
      <c r="I50" s="3209">
        <v>68830.399999999994</v>
      </c>
      <c r="J50" s="3209">
        <v>103245.6</v>
      </c>
      <c r="K50" s="3209" t="s">
        <v>3103</v>
      </c>
      <c r="L50" s="3209" t="s">
        <v>3286</v>
      </c>
      <c r="M50" s="3209" t="s">
        <v>3288</v>
      </c>
      <c r="N50" s="3209" t="s">
        <v>3289</v>
      </c>
      <c r="O50" s="3209">
        <v>28180</v>
      </c>
      <c r="P50" s="3209">
        <v>272.94</v>
      </c>
      <c r="Q50" s="3209">
        <v>2729.4</v>
      </c>
      <c r="R50" s="3209">
        <v>0</v>
      </c>
      <c r="S50" s="3209" t="s">
        <v>3112</v>
      </c>
      <c r="T50" s="3209" t="s">
        <v>3139</v>
      </c>
    </row>
    <row r="51" spans="1:20" s="3210" customFormat="1" ht="23.25" customHeight="1">
      <c r="A51" s="3209" t="s">
        <v>3159</v>
      </c>
      <c r="B51" s="3209" t="s">
        <v>3004</v>
      </c>
      <c r="C51" s="3209" t="s">
        <v>3100</v>
      </c>
      <c r="D51" s="3209" t="s">
        <v>2816</v>
      </c>
      <c r="E51" s="3209" t="s">
        <v>3159</v>
      </c>
      <c r="F51" s="3209" t="s">
        <v>3101</v>
      </c>
      <c r="G51" s="3209" t="s">
        <v>3290</v>
      </c>
      <c r="H51" s="3209" t="s">
        <v>3008</v>
      </c>
      <c r="I51" s="3209">
        <v>30410.6</v>
      </c>
      <c r="J51" s="3209">
        <v>45615.9</v>
      </c>
      <c r="K51" s="3209" t="s">
        <v>3103</v>
      </c>
      <c r="L51" s="3209" t="s">
        <v>3291</v>
      </c>
      <c r="M51" s="3209" t="s">
        <v>3290</v>
      </c>
      <c r="N51" s="3209" t="s">
        <v>3292</v>
      </c>
      <c r="O51" s="3209">
        <v>33090</v>
      </c>
      <c r="P51" s="3209">
        <v>725.4</v>
      </c>
      <c r="Q51" s="3209">
        <v>7254.05</v>
      </c>
      <c r="R51" s="3209">
        <v>50</v>
      </c>
      <c r="S51" s="3209" t="s">
        <v>3112</v>
      </c>
      <c r="T51" s="3209" t="s">
        <v>3113</v>
      </c>
    </row>
    <row r="52" spans="1:20" s="3210" customFormat="1" ht="23.25" customHeight="1">
      <c r="A52" s="3209" t="s">
        <v>3159</v>
      </c>
      <c r="B52" s="3209" t="s">
        <v>3004</v>
      </c>
      <c r="C52" s="3209" t="s">
        <v>3100</v>
      </c>
      <c r="D52" s="3209" t="s">
        <v>2816</v>
      </c>
      <c r="E52" s="3209" t="s">
        <v>3159</v>
      </c>
      <c r="F52" s="3209" t="s">
        <v>3101</v>
      </c>
      <c r="G52" s="3209" t="s">
        <v>3293</v>
      </c>
      <c r="H52" s="3209" t="s">
        <v>3008</v>
      </c>
      <c r="I52" s="3209">
        <v>44712</v>
      </c>
      <c r="J52" s="3209">
        <v>80481.600000000006</v>
      </c>
      <c r="K52" s="3209" t="s">
        <v>3157</v>
      </c>
      <c r="L52" s="3209" t="s">
        <v>3291</v>
      </c>
      <c r="M52" s="3209" t="s">
        <v>3293</v>
      </c>
      <c r="N52" s="3209" t="s">
        <v>3294</v>
      </c>
      <c r="O52" s="3209">
        <v>53775</v>
      </c>
      <c r="P52" s="3209">
        <v>801.8</v>
      </c>
      <c r="Q52" s="3209">
        <v>6681.64</v>
      </c>
      <c r="R52" s="3209">
        <v>50</v>
      </c>
      <c r="S52" s="3209" t="s">
        <v>3112</v>
      </c>
      <c r="T52" s="3209" t="s">
        <v>3113</v>
      </c>
    </row>
    <row r="53" spans="1:20" s="3306" customFormat="1"/>
    <row r="54" spans="1:20" s="3306" customFormat="1"/>
    <row r="55" spans="1:20" s="3212" customFormat="1" ht="23.25" customHeight="1">
      <c r="A55" s="3211" t="s">
        <v>3155</v>
      </c>
      <c r="B55" s="3211" t="s">
        <v>3004</v>
      </c>
      <c r="C55" s="3211" t="s">
        <v>3100</v>
      </c>
      <c r="D55" s="3211" t="s">
        <v>2816</v>
      </c>
      <c r="E55" s="3211" t="s">
        <v>3155</v>
      </c>
      <c r="F55" s="3211" t="s">
        <v>3101</v>
      </c>
      <c r="G55" s="3211" t="s">
        <v>3156</v>
      </c>
      <c r="H55" s="3211" t="s">
        <v>3008</v>
      </c>
      <c r="I55" s="3211">
        <v>72394.600000000006</v>
      </c>
      <c r="J55" s="3211">
        <v>130305.2</v>
      </c>
      <c r="K55" s="3211" t="s">
        <v>3157</v>
      </c>
      <c r="L55" s="3211" t="s">
        <v>3158</v>
      </c>
      <c r="M55" s="3211" t="s">
        <v>3156</v>
      </c>
      <c r="N55" s="3211" t="s">
        <v>3006</v>
      </c>
      <c r="O55" s="3211">
        <v>36490</v>
      </c>
      <c r="P55" s="3211">
        <v>336.03</v>
      </c>
      <c r="Q55" s="3211">
        <v>2800.34</v>
      </c>
      <c r="R55" s="3211">
        <v>0</v>
      </c>
      <c r="S55" s="3211" t="s">
        <v>3112</v>
      </c>
      <c r="T55" s="3211" t="s">
        <v>3113</v>
      </c>
    </row>
    <row r="56" spans="1:20" s="3210" customFormat="1" ht="23.25" customHeight="1">
      <c r="A56" s="3209" t="s">
        <v>3155</v>
      </c>
      <c r="B56" s="3209" t="s">
        <v>3004</v>
      </c>
      <c r="C56" s="3209" t="s">
        <v>3100</v>
      </c>
      <c r="D56" s="3209" t="s">
        <v>2816</v>
      </c>
      <c r="E56" s="3209" t="s">
        <v>3155</v>
      </c>
      <c r="F56" s="3209" t="s">
        <v>3101</v>
      </c>
      <c r="G56" s="3209" t="s">
        <v>3400</v>
      </c>
      <c r="H56" s="3209" t="s">
        <v>3401</v>
      </c>
      <c r="I56" s="3209">
        <v>33233</v>
      </c>
      <c r="J56" s="3209">
        <v>59819.4</v>
      </c>
      <c r="K56" s="3209" t="s">
        <v>3402</v>
      </c>
      <c r="L56" s="3209" t="s">
        <v>3403</v>
      </c>
      <c r="M56" s="3209" t="s">
        <v>3400</v>
      </c>
      <c r="N56" s="3209" t="s">
        <v>3404</v>
      </c>
      <c r="O56" s="3209">
        <v>12510</v>
      </c>
      <c r="P56" s="3209">
        <v>250.96</v>
      </c>
      <c r="Q56" s="3209">
        <v>2091.2800000000002</v>
      </c>
      <c r="R56" s="3209">
        <v>0</v>
      </c>
      <c r="S56" s="3209" t="s">
        <v>3112</v>
      </c>
      <c r="T56" s="3209" t="s">
        <v>3113</v>
      </c>
    </row>
    <row r="57" spans="1:20" s="3210" customFormat="1" ht="23.25" customHeight="1">
      <c r="A57" s="3209" t="s">
        <v>3155</v>
      </c>
      <c r="B57" s="3209" t="s">
        <v>3004</v>
      </c>
      <c r="C57" s="3209" t="s">
        <v>3100</v>
      </c>
      <c r="D57" s="3209" t="s">
        <v>2816</v>
      </c>
      <c r="E57" s="3209" t="s">
        <v>3155</v>
      </c>
      <c r="F57" s="3209" t="s">
        <v>3101</v>
      </c>
      <c r="G57" s="3209" t="s">
        <v>3405</v>
      </c>
      <c r="H57" s="3209" t="s">
        <v>3401</v>
      </c>
      <c r="I57" s="3209">
        <v>93880.3</v>
      </c>
      <c r="J57" s="3209">
        <v>168984.5</v>
      </c>
      <c r="K57" s="3209" t="s">
        <v>3402</v>
      </c>
      <c r="L57" s="3209" t="s">
        <v>3403</v>
      </c>
      <c r="M57" s="3209" t="s">
        <v>3405</v>
      </c>
      <c r="N57" s="3209" t="s">
        <v>3404</v>
      </c>
      <c r="O57" s="3209">
        <v>35320</v>
      </c>
      <c r="P57" s="3209">
        <v>250.82</v>
      </c>
      <c r="Q57" s="3209">
        <v>2090.13</v>
      </c>
      <c r="R57" s="3209">
        <v>0</v>
      </c>
      <c r="S57" s="3209" t="s">
        <v>3112</v>
      </c>
      <c r="T57" s="3209" t="s">
        <v>3113</v>
      </c>
    </row>
    <row r="58" spans="1:20" s="3210" customFormat="1" ht="23.25" customHeight="1">
      <c r="A58" s="3209" t="s">
        <v>3406</v>
      </c>
      <c r="B58" s="3209" t="s">
        <v>3004</v>
      </c>
      <c r="C58" s="3209" t="s">
        <v>3100</v>
      </c>
      <c r="D58" s="3209" t="s">
        <v>2816</v>
      </c>
      <c r="E58" s="3209" t="s">
        <v>3406</v>
      </c>
      <c r="F58" s="3209" t="s">
        <v>3101</v>
      </c>
      <c r="G58" s="3209" t="s">
        <v>3407</v>
      </c>
      <c r="H58" s="3209" t="s">
        <v>3408</v>
      </c>
      <c r="I58" s="3209">
        <v>128716.6</v>
      </c>
      <c r="J58" s="3209">
        <v>216323</v>
      </c>
      <c r="K58" s="3209" t="s">
        <v>2816</v>
      </c>
      <c r="L58" s="3209" t="s">
        <v>3409</v>
      </c>
      <c r="M58" s="3209" t="s">
        <v>3407</v>
      </c>
      <c r="N58" s="3209" t="s">
        <v>3410</v>
      </c>
      <c r="O58" s="3209">
        <v>44030</v>
      </c>
      <c r="P58" s="3209">
        <v>228.05</v>
      </c>
      <c r="Q58" s="3209">
        <v>2035.38</v>
      </c>
      <c r="R58" s="3209">
        <v>0</v>
      </c>
      <c r="S58" s="3209" t="s">
        <v>3411</v>
      </c>
      <c r="T58" s="3209" t="s">
        <v>3113</v>
      </c>
    </row>
    <row r="59" spans="1:20" s="3210" customFormat="1" ht="23.25" customHeight="1">
      <c r="A59" s="3209" t="s">
        <v>3406</v>
      </c>
      <c r="B59" s="3209" t="s">
        <v>3004</v>
      </c>
      <c r="C59" s="3209" t="s">
        <v>3100</v>
      </c>
      <c r="D59" s="3209" t="s">
        <v>2816</v>
      </c>
      <c r="E59" s="3209" t="s">
        <v>3406</v>
      </c>
      <c r="F59" s="3209" t="s">
        <v>3101</v>
      </c>
      <c r="G59" s="3209" t="s">
        <v>3412</v>
      </c>
      <c r="H59" s="3209" t="s">
        <v>3264</v>
      </c>
      <c r="I59" s="3209">
        <v>60065.1</v>
      </c>
      <c r="J59" s="3209">
        <v>108114</v>
      </c>
      <c r="K59" s="3209" t="s">
        <v>2816</v>
      </c>
      <c r="L59" s="3209" t="s">
        <v>3409</v>
      </c>
      <c r="M59" s="3209" t="s">
        <v>3412</v>
      </c>
      <c r="N59" s="3209" t="s">
        <v>3410</v>
      </c>
      <c r="O59" s="3209">
        <v>21680</v>
      </c>
      <c r="P59" s="3209">
        <v>240.63</v>
      </c>
      <c r="Q59" s="3209">
        <v>2005.28</v>
      </c>
      <c r="R59" s="3209">
        <v>0</v>
      </c>
      <c r="S59" s="3209" t="s">
        <v>3413</v>
      </c>
      <c r="T59" s="3209" t="s">
        <v>3113</v>
      </c>
    </row>
    <row r="60" spans="1:20" s="3210" customFormat="1" ht="23.25" customHeight="1">
      <c r="A60" s="3209" t="s">
        <v>3155</v>
      </c>
      <c r="B60" s="3209" t="s">
        <v>3004</v>
      </c>
      <c r="C60" s="3209" t="s">
        <v>3119</v>
      </c>
      <c r="D60" s="3209" t="s">
        <v>2816</v>
      </c>
      <c r="E60" s="3209" t="s">
        <v>3155</v>
      </c>
      <c r="F60" s="3209" t="s">
        <v>3101</v>
      </c>
      <c r="G60" s="3209" t="s">
        <v>3414</v>
      </c>
      <c r="H60" s="3209" t="s">
        <v>3415</v>
      </c>
      <c r="I60" s="3209">
        <v>33233</v>
      </c>
      <c r="J60" s="3209">
        <v>59819.4</v>
      </c>
      <c r="K60" s="3209" t="s">
        <v>3416</v>
      </c>
      <c r="L60" s="3209" t="s">
        <v>3417</v>
      </c>
      <c r="M60" s="3209" t="s">
        <v>2816</v>
      </c>
      <c r="N60" s="3209" t="s">
        <v>3418</v>
      </c>
      <c r="O60" s="3209">
        <v>11187</v>
      </c>
      <c r="P60" s="3209">
        <v>224.42</v>
      </c>
      <c r="Q60" s="3209">
        <v>1870.13</v>
      </c>
      <c r="R60" s="3209">
        <v>0</v>
      </c>
      <c r="S60" s="3209" t="s">
        <v>3124</v>
      </c>
      <c r="T60" s="3209" t="s">
        <v>3113</v>
      </c>
    </row>
    <row r="61" spans="1:20" s="3210" customFormat="1" ht="23.25" customHeight="1">
      <c r="A61" s="3209" t="s">
        <v>3155</v>
      </c>
      <c r="B61" s="3209" t="s">
        <v>3004</v>
      </c>
      <c r="C61" s="3209" t="s">
        <v>3119</v>
      </c>
      <c r="D61" s="3209" t="s">
        <v>2816</v>
      </c>
      <c r="E61" s="3209" t="s">
        <v>3155</v>
      </c>
      <c r="F61" s="3209" t="s">
        <v>3101</v>
      </c>
      <c r="G61" s="3209" t="s">
        <v>3419</v>
      </c>
      <c r="H61" s="3209" t="s">
        <v>3415</v>
      </c>
      <c r="I61" s="3209">
        <v>93880.3</v>
      </c>
      <c r="J61" s="3209">
        <v>168984.5</v>
      </c>
      <c r="K61" s="3209" t="s">
        <v>3416</v>
      </c>
      <c r="L61" s="3209" t="s">
        <v>3417</v>
      </c>
      <c r="M61" s="3209" t="s">
        <v>2816</v>
      </c>
      <c r="N61" s="3209" t="s">
        <v>3418</v>
      </c>
      <c r="O61" s="3209">
        <v>31601</v>
      </c>
      <c r="P61" s="3209">
        <v>224.41</v>
      </c>
      <c r="Q61" s="3209">
        <v>1870.04</v>
      </c>
      <c r="R61" s="3209">
        <v>0</v>
      </c>
      <c r="S61" s="3209" t="s">
        <v>3124</v>
      </c>
      <c r="T61" s="3209" t="s">
        <v>3113</v>
      </c>
    </row>
    <row r="62" spans="1:20" s="3210" customFormat="1" ht="23.25" customHeight="1">
      <c r="A62" s="3209" t="s">
        <v>3420</v>
      </c>
      <c r="B62" s="3209" t="s">
        <v>3004</v>
      </c>
      <c r="C62" s="3209" t="s">
        <v>3119</v>
      </c>
      <c r="D62" s="3209" t="s">
        <v>2816</v>
      </c>
      <c r="E62" s="3209" t="s">
        <v>3420</v>
      </c>
      <c r="F62" s="3209" t="s">
        <v>3421</v>
      </c>
      <c r="G62" s="3209" t="s">
        <v>3422</v>
      </c>
      <c r="H62" s="3209" t="s">
        <v>3423</v>
      </c>
      <c r="I62" s="3209">
        <v>140237.70000000001</v>
      </c>
      <c r="J62" s="3209">
        <v>252427.9</v>
      </c>
      <c r="K62" s="3209" t="s">
        <v>3424</v>
      </c>
      <c r="L62" s="3209" t="s">
        <v>3425</v>
      </c>
      <c r="M62" s="3209" t="s">
        <v>2816</v>
      </c>
      <c r="N62" s="3209" t="s">
        <v>3426</v>
      </c>
      <c r="O62" s="3209">
        <v>19040</v>
      </c>
      <c r="P62" s="3209">
        <v>90.51</v>
      </c>
      <c r="Q62" s="3209">
        <v>754.26</v>
      </c>
      <c r="R62" s="3209" t="s">
        <v>2816</v>
      </c>
      <c r="S62" s="3209" t="s">
        <v>3124</v>
      </c>
      <c r="T62" s="3209" t="s">
        <v>3107</v>
      </c>
    </row>
    <row r="63" spans="1:20" s="3210" customFormat="1" ht="23.25" customHeight="1">
      <c r="A63" s="3209" t="s">
        <v>3420</v>
      </c>
      <c r="B63" s="3209" t="s">
        <v>3004</v>
      </c>
      <c r="C63" s="3209" t="s">
        <v>3119</v>
      </c>
      <c r="D63" s="3209" t="s">
        <v>2816</v>
      </c>
      <c r="E63" s="3209" t="s">
        <v>3420</v>
      </c>
      <c r="F63" s="3209" t="s">
        <v>3101</v>
      </c>
      <c r="G63" s="3209" t="s">
        <v>3427</v>
      </c>
      <c r="H63" s="3209" t="s">
        <v>3423</v>
      </c>
      <c r="I63" s="3209">
        <v>223665.8</v>
      </c>
      <c r="J63" s="3209">
        <v>275099.8</v>
      </c>
      <c r="K63" s="3209" t="s">
        <v>2816</v>
      </c>
      <c r="L63" s="3209" t="s">
        <v>3428</v>
      </c>
      <c r="M63" s="3209" t="s">
        <v>2816</v>
      </c>
      <c r="N63" s="3209" t="s">
        <v>3429</v>
      </c>
      <c r="O63" s="3209">
        <v>38070</v>
      </c>
      <c r="P63" s="3209">
        <v>113.47</v>
      </c>
      <c r="Q63" s="3209">
        <v>1383.85</v>
      </c>
      <c r="R63" s="3209">
        <v>0</v>
      </c>
      <c r="S63" s="3209" t="s">
        <v>3124</v>
      </c>
      <c r="T63" s="3209" t="s">
        <v>3113</v>
      </c>
    </row>
    <row r="64" spans="1:20" s="3210" customFormat="1" ht="23.25" customHeight="1">
      <c r="A64" s="3209" t="s">
        <v>3420</v>
      </c>
      <c r="B64" s="3209" t="s">
        <v>3004</v>
      </c>
      <c r="C64" s="3209" t="s">
        <v>3119</v>
      </c>
      <c r="D64" s="3209" t="s">
        <v>2816</v>
      </c>
      <c r="E64" s="3209" t="s">
        <v>3420</v>
      </c>
      <c r="F64" s="3209" t="s">
        <v>3421</v>
      </c>
      <c r="G64" s="3209" t="s">
        <v>3430</v>
      </c>
      <c r="H64" s="3209" t="s">
        <v>3423</v>
      </c>
      <c r="I64" s="3209">
        <v>63723.1</v>
      </c>
      <c r="J64" s="3209">
        <v>114701.6</v>
      </c>
      <c r="K64" s="3209" t="s">
        <v>3431</v>
      </c>
      <c r="L64" s="3209" t="s">
        <v>3432</v>
      </c>
      <c r="M64" s="3209" t="s">
        <v>2816</v>
      </c>
      <c r="N64" s="3209" t="s">
        <v>3426</v>
      </c>
      <c r="O64" s="3209">
        <v>7647</v>
      </c>
      <c r="P64" s="3209">
        <v>80</v>
      </c>
      <c r="Q64" s="3209">
        <v>666.69</v>
      </c>
      <c r="R64" s="3209" t="s">
        <v>2816</v>
      </c>
      <c r="S64" s="3209" t="s">
        <v>3124</v>
      </c>
      <c r="T64" s="3209" t="s">
        <v>3107</v>
      </c>
    </row>
  </sheetData>
  <phoneticPr fontId="228" type="noConversion"/>
  <hyperlinks>
    <hyperlink ref="U16" r:id="rId1"/>
    <hyperlink ref="U32"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AF142"/>
  <sheetViews>
    <sheetView topLeftCell="A13" workbookViewId="0">
      <selection activeCell="N42" sqref="A42:N44"/>
    </sheetView>
  </sheetViews>
  <sheetFormatPr defaultRowHeight="13.5"/>
  <cols>
    <col min="19" max="19" width="10.875" customWidth="1"/>
  </cols>
  <sheetData>
    <row r="48" spans="17:17">
      <c r="Q48" s="3314"/>
    </row>
    <row r="49" spans="1:32">
      <c r="A49" s="3314" t="s">
        <v>3441</v>
      </c>
      <c r="Q49" s="3314" t="s">
        <v>3442</v>
      </c>
      <c r="AF49" s="3314" t="s">
        <v>3444</v>
      </c>
    </row>
    <row r="136" spans="1:3">
      <c r="A136" s="3580" t="s">
        <v>3296</v>
      </c>
      <c r="B136" s="3581"/>
      <c r="C136" s="3582"/>
    </row>
    <row r="137" spans="1:3">
      <c r="A137" s="3217" t="s">
        <v>3297</v>
      </c>
      <c r="B137" s="3217" t="s">
        <v>3298</v>
      </c>
      <c r="C137" s="3217" t="s">
        <v>3299</v>
      </c>
    </row>
    <row r="138" spans="1:3">
      <c r="A138" s="3217">
        <v>2018.2</v>
      </c>
      <c r="B138" s="3217">
        <v>13111</v>
      </c>
      <c r="C138" s="3217">
        <v>0.31</v>
      </c>
    </row>
    <row r="139" spans="1:3">
      <c r="A139" s="3217">
        <v>2018.3</v>
      </c>
      <c r="B139" s="3217">
        <v>13203</v>
      </c>
      <c r="C139" s="3217">
        <v>0.7</v>
      </c>
    </row>
    <row r="140" spans="1:3">
      <c r="A140" s="3217">
        <v>2018.4</v>
      </c>
      <c r="B140" s="3217">
        <v>13350</v>
      </c>
      <c r="C140" s="3217">
        <v>1.1100000000000001</v>
      </c>
    </row>
    <row r="141" spans="1:3">
      <c r="A141" s="3217">
        <v>2019.1</v>
      </c>
      <c r="B141" s="3217">
        <v>13464</v>
      </c>
      <c r="C141" s="3217">
        <v>0.85</v>
      </c>
    </row>
    <row r="142" spans="1:3">
      <c r="A142" s="3217">
        <v>2019.2</v>
      </c>
      <c r="B142" s="3217">
        <v>14781</v>
      </c>
      <c r="C142" s="3217">
        <v>1.03</v>
      </c>
    </row>
  </sheetData>
  <mergeCells count="1">
    <mergeCell ref="A136:C136"/>
  </mergeCells>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53916</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2872</v>
      </c>
      <c r="C3" s="2088"/>
      <c r="D3" s="2088"/>
      <c r="E3" s="2088"/>
      <c r="F3" s="2088"/>
      <c r="G3" s="2088"/>
      <c r="H3" s="2088"/>
      <c r="I3" s="2088"/>
      <c r="J3" s="2088"/>
      <c r="K3" s="2088"/>
    </row>
    <row r="4" spans="1:31" s="2025" customFormat="1" ht="18" customHeight="1">
      <c r="A4" s="425" t="s">
        <v>468</v>
      </c>
      <c r="B4" s="426">
        <f ca="1">ROUND(B2*10000/IF(B1="",'数据-汇总表'!D3,INDIRECT("'数据-取费表'!R"&amp;$K$1)),0)</f>
        <v>7448</v>
      </c>
      <c r="C4" s="427"/>
      <c r="D4" s="421"/>
      <c r="E4" s="421"/>
      <c r="F4" s="421"/>
      <c r="G4" s="421"/>
      <c r="H4" s="421"/>
      <c r="I4" s="421"/>
      <c r="J4" s="421"/>
      <c r="K4" s="421"/>
    </row>
    <row r="5" spans="1:31" s="2025" customFormat="1" ht="18" customHeight="1" thickBot="1">
      <c r="A5" s="428"/>
      <c r="B5" s="429">
        <f ca="1">ROUND(B2/(IF(B1="",'数据-汇总表'!D3,INDIRECT("'数据-取费表'!R"&amp;$K$1))/666.67),0)</f>
        <v>497</v>
      </c>
      <c r="C5" s="430" t="s">
        <v>469</v>
      </c>
      <c r="D5" s="421"/>
      <c r="E5" s="421"/>
      <c r="F5" s="421"/>
      <c r="G5" s="421"/>
      <c r="H5" s="421"/>
      <c r="I5" s="421"/>
      <c r="J5" s="421"/>
      <c r="K5" s="421"/>
    </row>
    <row r="6" spans="1:31" s="2095" customFormat="1" ht="16.5" customHeight="1">
      <c r="A6" s="2782" t="s">
        <v>1842</v>
      </c>
      <c r="B6" s="2783"/>
      <c r="C6" s="2784">
        <f ca="1">SUM(C10:K10)</f>
        <v>155500</v>
      </c>
      <c r="D6" s="2783"/>
      <c r="E6" s="2783"/>
      <c r="F6" s="2783"/>
      <c r="G6" s="2783"/>
      <c r="H6" s="2783"/>
      <c r="I6" s="2783"/>
      <c r="J6" s="2783"/>
      <c r="K6" s="2785"/>
    </row>
    <row r="7" spans="1:31" s="2097" customFormat="1" ht="15">
      <c r="A7" s="2786" t="s">
        <v>470</v>
      </c>
      <c r="B7" s="2787" t="s">
        <v>471</v>
      </c>
      <c r="C7" s="435" t="s">
        <v>923</v>
      </c>
      <c r="D7" s="435" t="s">
        <v>3011</v>
      </c>
      <c r="E7" s="435" t="s">
        <v>35</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12012</v>
      </c>
      <c r="D8" s="2788">
        <f ca="1">'不动产收益法（商业）'!B3</f>
        <v>11367</v>
      </c>
      <c r="E8" s="2788">
        <f ca="1">'不动产收益法（地下车库）'!B3</f>
        <v>1656</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119327.24000000002</v>
      </c>
      <c r="D9" s="440">
        <f>SUMIF('数据-汇总表'!$C19:$C33,'剩余法-待开发'!D7,'数据-汇总表'!$E19:$E33)</f>
        <v>3913.9399999999996</v>
      </c>
      <c r="E9" s="440">
        <f>SUMIF('数据-汇总表'!$C19:$C33,'剩余法-待开发'!E7,'数据-汇总表'!$E19:$E33)</f>
        <v>46598.59</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143336</v>
      </c>
      <c r="D10" s="2980">
        <f ca="1">'不动产收益法（商业）'!B2</f>
        <v>4449</v>
      </c>
      <c r="E10" s="2980">
        <f ca="1">'不动产收益法（地下车库）'!B2</f>
        <v>7715</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52910</v>
      </c>
      <c r="D13" s="2798"/>
      <c r="E13" s="2799"/>
      <c r="F13" s="2800"/>
      <c r="G13" s="2766"/>
      <c r="H13" s="2767"/>
      <c r="I13" s="2767"/>
      <c r="J13" s="2767"/>
      <c r="K13" s="2768"/>
    </row>
    <row r="14" spans="1:31" s="2100" customFormat="1" ht="13.5" customHeight="1">
      <c r="A14" s="2796" t="s">
        <v>1849</v>
      </c>
      <c r="B14" s="2797" t="s">
        <v>480</v>
      </c>
      <c r="C14" s="53">
        <f ca="1">ROUND(C13*F14,0)</f>
        <v>1587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1146</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3755</v>
      </c>
      <c r="D16" s="2798">
        <f ca="1">IF(B1="",'数据-汇总表'!E3,INDIRECT("'数据-取费表'!K"&amp;$K$1)+INDIRECT("'数据-取费表'!S"&amp;$K$1))</f>
        <v>187743.54</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794</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60192</v>
      </c>
      <c r="D18" s="2807"/>
      <c r="E18" s="467"/>
      <c r="F18" s="467"/>
      <c r="G18" s="2770" t="s">
        <v>2429</v>
      </c>
      <c r="H18" s="2771"/>
      <c r="I18" s="2771"/>
      <c r="J18" s="2771"/>
      <c r="K18" s="2772"/>
    </row>
    <row r="19" spans="1:14" s="2100" customFormat="1" ht="13.5" customHeight="1">
      <c r="A19" s="2804" t="s">
        <v>1854</v>
      </c>
      <c r="B19" s="2805" t="s">
        <v>488</v>
      </c>
      <c r="C19" s="2762">
        <f ca="1">ROUND(D19*E19/10000,0)</f>
        <v>0</v>
      </c>
      <c r="D19" s="2808">
        <f ca="1">D16</f>
        <v>187743.54</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8200</v>
      </c>
      <c r="D20" s="2808"/>
      <c r="E20" s="2762"/>
      <c r="F20" s="2809"/>
      <c r="G20" s="3039"/>
      <c r="H20" s="2764"/>
      <c r="I20" s="2765" t="s">
        <v>2649</v>
      </c>
      <c r="J20" s="2771"/>
      <c r="K20" s="2772"/>
    </row>
    <row r="21" spans="1:14" s="2100" customFormat="1" ht="13.5" customHeight="1">
      <c r="A21" s="2796" t="s">
        <v>1856</v>
      </c>
      <c r="B21" s="2797" t="s">
        <v>491</v>
      </c>
      <c r="C21" s="53">
        <f ca="1">ROUND(D21*E21/10000,0)</f>
        <v>4916</v>
      </c>
      <c r="D21" s="2798">
        <f ca="1">IF(B1="",'数据-汇总表'!E5,IF(INDIRECT("'数据-取费表'!c"&amp;$K$1)="住宅",INDIRECT("'数据-取费表'!k"&amp;$K$1),0))</f>
        <v>119327.24000000002</v>
      </c>
      <c r="E21" s="53">
        <f>'数据-取费表'!B27</f>
        <v>412</v>
      </c>
      <c r="F21" s="2801"/>
      <c r="G21" s="26"/>
      <c r="H21" s="51"/>
      <c r="I21" s="51"/>
      <c r="J21" s="51"/>
      <c r="K21" s="2773"/>
    </row>
    <row r="22" spans="1:14" s="2100" customFormat="1" ht="13.5" customHeight="1">
      <c r="A22" s="2796" t="s">
        <v>1857</v>
      </c>
      <c r="B22" s="2797" t="s">
        <v>492</v>
      </c>
      <c r="C22" s="53">
        <f ca="1">ROUND(D22*E22/10000,0)</f>
        <v>3284</v>
      </c>
      <c r="D22" s="2798">
        <f ca="1">IF(B1="",'数据-汇总表'!E6,IF(INDIRECT("'数据-取费表'!c"&amp;$K$1)="住宅",INDIRECT("'数据-取费表'!s"&amp;$K$1),INDIRECT("'数据-取费表'!k"&amp;$K$1)+INDIRECT("'数据-取费表'!s"&amp;$K$1)))</f>
        <v>68416.299999999988</v>
      </c>
      <c r="E22" s="53">
        <f>'数据-取费表'!B28</f>
        <v>480</v>
      </c>
      <c r="F22" s="2801"/>
      <c r="G22" s="26"/>
      <c r="H22" s="51"/>
      <c r="I22" s="51"/>
      <c r="J22" s="51"/>
      <c r="K22" s="2773"/>
    </row>
    <row r="23" spans="1:14" s="2100" customFormat="1" ht="13.5" customHeight="1">
      <c r="A23" s="2804" t="s">
        <v>1858</v>
      </c>
      <c r="B23" s="2986" t="s">
        <v>2832</v>
      </c>
      <c r="C23" s="2806">
        <f ca="1">ROUND((C18+C19+C20)*F23,0)</f>
        <v>1368</v>
      </c>
      <c r="D23" s="467"/>
      <c r="E23" s="467"/>
      <c r="F23" s="2810">
        <f>'数据-取费表'!B37</f>
        <v>0.02</v>
      </c>
      <c r="G23" s="2766" t="s">
        <v>2430</v>
      </c>
      <c r="H23" s="2767"/>
      <c r="I23" s="2767"/>
      <c r="J23" s="2767"/>
      <c r="K23" s="2768"/>
      <c r="L23" s="2102"/>
      <c r="M23" s="2102"/>
      <c r="N23" s="2102"/>
    </row>
    <row r="24" spans="1:14" s="2100" customFormat="1" ht="13.5" customHeight="1">
      <c r="A24" s="2804" t="s">
        <v>1859</v>
      </c>
      <c r="B24" s="2986" t="s">
        <v>2835</v>
      </c>
      <c r="C24" s="2806">
        <f ca="1">ROUND(C6*F24,0)</f>
        <v>2333</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6" t="s">
        <v>2833</v>
      </c>
      <c r="C25" s="466">
        <f>ROUND(F25/(1+'数据-取费表'!C42),4)</f>
        <v>3.8600000000000002E-2</v>
      </c>
      <c r="D25" s="461" t="s">
        <v>2827</v>
      </c>
      <c r="E25" s="468"/>
      <c r="F25" s="2810">
        <f>IF(项目基本情况!B8="出让",0,'数据-取费表'!B48+'数据-取费表'!B49)</f>
        <v>4.0500000000000001E-2</v>
      </c>
      <c r="G25" s="2774" t="s">
        <v>2289</v>
      </c>
      <c r="H25" s="2767"/>
      <c r="I25" s="2767"/>
      <c r="J25" s="2767"/>
      <c r="K25" s="2768"/>
    </row>
    <row r="26" spans="1:14" s="2102" customFormat="1" ht="13.5" customHeight="1">
      <c r="A26" s="2804" t="s">
        <v>1861</v>
      </c>
      <c r="B26" s="2987" t="s">
        <v>2834</v>
      </c>
      <c r="C26" s="2811">
        <f ca="1">C28</f>
        <v>3424</v>
      </c>
      <c r="D26" s="466">
        <f ca="1">C27</f>
        <v>0.10100000000000001</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2836</v>
      </c>
      <c r="C28" s="2814">
        <f ca="1">ROUND(IF('数据-取费表'!B22&lt;=1,(C18+C19+C20+C23+C24)*F26*'数据-取费表'!B24/2,(C18+C19+C20+C23+C24)*(POWER((1+F26),'数据-取费表'!B24/2)-1)),0)</f>
        <v>3424</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8293</v>
      </c>
      <c r="D29" s="467"/>
      <c r="E29" s="467"/>
      <c r="F29" s="2988">
        <f>'数据-取费表'!B41</f>
        <v>5.6000000000000001E-2</v>
      </c>
      <c r="G29" s="2775" t="s">
        <v>498</v>
      </c>
      <c r="H29" s="2767"/>
      <c r="I29" s="2767"/>
      <c r="J29" s="2767"/>
      <c r="K29" s="2768"/>
    </row>
    <row r="30" spans="1:14" s="2105" customFormat="1" ht="13.5" customHeight="1">
      <c r="A30" s="1619" t="s">
        <v>1863</v>
      </c>
      <c r="B30" s="2816" t="s">
        <v>500</v>
      </c>
      <c r="C30" s="2811">
        <f ca="1">C31</f>
        <v>83810</v>
      </c>
      <c r="D30" s="476">
        <f ca="1">C32</f>
        <v>0.1396</v>
      </c>
      <c r="E30" s="468" t="s">
        <v>495</v>
      </c>
      <c r="F30" s="470"/>
      <c r="G30" s="2774" t="s">
        <v>2970</v>
      </c>
      <c r="H30" s="2767"/>
      <c r="I30" s="2767"/>
      <c r="J30" s="2767"/>
      <c r="K30" s="2768"/>
    </row>
    <row r="31" spans="1:14" s="2104" customFormat="1" ht="13.5" customHeight="1">
      <c r="A31" s="802" t="s">
        <v>1856</v>
      </c>
      <c r="B31" s="2812"/>
      <c r="C31" s="449">
        <f ca="1">C18+C19+C20+C23+C24+C26+C29</f>
        <v>83810</v>
      </c>
      <c r="D31" s="471"/>
      <c r="E31" s="472"/>
      <c r="F31" s="473"/>
      <c r="G31" s="260"/>
      <c r="H31" s="2769"/>
      <c r="I31" s="2769"/>
      <c r="J31" s="2769"/>
      <c r="K31" s="278"/>
    </row>
    <row r="32" spans="1:14" s="2104" customFormat="1" ht="13.5" customHeight="1">
      <c r="A32" s="802" t="s">
        <v>1857</v>
      </c>
      <c r="B32" s="2812"/>
      <c r="C32" s="53">
        <f ca="1">ROUND(C25+D26,4)</f>
        <v>0.1396</v>
      </c>
      <c r="D32" s="471"/>
      <c r="E32" s="472"/>
      <c r="F32" s="473"/>
      <c r="G32" s="260"/>
      <c r="H32" s="2769"/>
      <c r="I32" s="2769"/>
      <c r="J32" s="2769"/>
      <c r="K32" s="278"/>
    </row>
    <row r="33" spans="1:11" s="2106" customFormat="1" ht="13.5" customHeight="1">
      <c r="A33" s="2985" t="s">
        <v>2831</v>
      </c>
      <c r="B33" s="2983" t="s">
        <v>2829</v>
      </c>
      <c r="C33" s="477">
        <f ca="1">C35</f>
        <v>5767</v>
      </c>
      <c r="D33" s="466">
        <f ca="1">C34</f>
        <v>8.3099999999999993E-2</v>
      </c>
      <c r="E33" s="468" t="s">
        <v>495</v>
      </c>
      <c r="F33" s="478">
        <f ca="1">IF(B1="",'数据-取费表'!Q16,INDIRECT("'数据-取费表'!q"&amp;$K$1))</f>
        <v>0.08</v>
      </c>
      <c r="G33" s="2770"/>
      <c r="H33" s="2771"/>
      <c r="I33" s="2771"/>
      <c r="J33" s="2771"/>
      <c r="K33" s="2772"/>
    </row>
    <row r="34" spans="1:11" s="2107" customFormat="1" ht="13.5" customHeight="1">
      <c r="A34" s="374" t="s">
        <v>1856</v>
      </c>
      <c r="B34" s="2817" t="s">
        <v>501</v>
      </c>
      <c r="C34" s="471">
        <f ca="1">ROUND((1+C25)*F33,4)</f>
        <v>8.3099999999999993E-2</v>
      </c>
      <c r="D34" s="471"/>
      <c r="E34" s="472"/>
      <c r="F34" s="479"/>
      <c r="G34" s="260" t="s">
        <v>2290</v>
      </c>
      <c r="H34" s="2769"/>
      <c r="I34" s="2769"/>
      <c r="J34" s="2769"/>
      <c r="K34" s="278"/>
    </row>
    <row r="35" spans="1:11" s="2107" customFormat="1" ht="13.5" customHeight="1" thickBot="1">
      <c r="A35" s="1620" t="s">
        <v>1857</v>
      </c>
      <c r="B35" s="2984" t="s">
        <v>2837</v>
      </c>
      <c r="C35" s="1612">
        <f ca="1">ROUND((C18+C19+C20+C23+C24)*F33,0)</f>
        <v>5767</v>
      </c>
      <c r="D35" s="1613"/>
      <c r="E35" s="2818"/>
      <c r="F35" s="1614"/>
      <c r="G35" s="2776"/>
      <c r="H35" s="2777"/>
      <c r="I35" s="2777"/>
      <c r="J35" s="2777"/>
      <c r="K35" s="2778"/>
    </row>
    <row r="36" spans="1:11" s="2069" customFormat="1" ht="13.5" customHeight="1" thickBot="1">
      <c r="A36" s="283" t="s">
        <v>1844</v>
      </c>
      <c r="B36" s="2780"/>
      <c r="C36" s="2819">
        <f ca="1">ROUND((C6-C30-C33)/(1+D30+D33),0)</f>
        <v>53916</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2650</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52910</v>
      </c>
      <c r="D13" s="450"/>
      <c r="E13" s="364"/>
      <c r="F13" s="451"/>
      <c r="G13" s="443"/>
      <c r="H13" s="446"/>
      <c r="I13" s="446"/>
      <c r="J13" s="446"/>
      <c r="K13" s="447"/>
    </row>
    <row r="14" spans="1:41" s="2100" customFormat="1" ht="13.5" customHeight="1">
      <c r="A14" s="1617" t="s">
        <v>1849</v>
      </c>
      <c r="B14" s="448" t="s">
        <v>480</v>
      </c>
      <c r="C14" s="53">
        <f ca="1">ROUND(C13*F14,0)</f>
        <v>1587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1146</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3755</v>
      </c>
      <c r="D16" s="450">
        <f ca="1">IF(B1="",'数据-汇总表'!E3,INDIRECT("'数据-取费表'!K"&amp;$K$1)+INDIRECT("'数据-取费表'!S"&amp;$K$1))</f>
        <v>187743.54</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794</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60192</v>
      </c>
      <c r="D18" s="460"/>
      <c r="E18" s="461"/>
      <c r="F18" s="461"/>
      <c r="G18" s="1321" t="s">
        <v>2431</v>
      </c>
      <c r="H18" s="446"/>
      <c r="I18" s="446"/>
      <c r="J18" s="446"/>
      <c r="K18" s="447"/>
    </row>
    <row r="19" spans="1:14" s="2103" customFormat="1" ht="13.5" customHeight="1">
      <c r="A19" s="1618" t="s">
        <v>1854</v>
      </c>
      <c r="B19" s="458" t="s">
        <v>493</v>
      </c>
      <c r="C19" s="459">
        <f ca="1">ROUND(C18*F19,0)</f>
        <v>1204</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81">
        <f>F20</f>
        <v>1.4999999999999999E-2</v>
      </c>
      <c r="D20" s="468" t="s">
        <v>505</v>
      </c>
      <c r="E20" s="468"/>
      <c r="F20" s="485">
        <f>'数据-取费表'!B38</f>
        <v>1.4999999999999999E-2</v>
      </c>
      <c r="G20" s="1321" t="s">
        <v>506</v>
      </c>
      <c r="H20" s="446"/>
      <c r="I20" s="446"/>
      <c r="J20" s="446"/>
      <c r="K20" s="447"/>
      <c r="L20" s="2105"/>
      <c r="M20" s="2105"/>
      <c r="N20" s="2105"/>
    </row>
    <row r="21" spans="1:14" s="2105" customFormat="1" ht="13.5" customHeight="1">
      <c r="A21" s="1618" t="s">
        <v>1858</v>
      </c>
      <c r="B21" s="460" t="s">
        <v>494</v>
      </c>
      <c r="C21" s="469">
        <f ca="1">C22</f>
        <v>2916</v>
      </c>
      <c r="D21" s="466">
        <f ca="1">C23</f>
        <v>6.9999999999999999E-4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2" t="s">
        <v>2453</v>
      </c>
    </row>
    <row r="22" spans="1:14" s="2104" customFormat="1" ht="13.5" customHeight="1">
      <c r="A22" s="1617" t="s">
        <v>1848</v>
      </c>
      <c r="B22" s="1322" t="s">
        <v>2434</v>
      </c>
      <c r="C22" s="486">
        <f ca="1">ROUND(IF('数据-取费表'!B22&lt;=1,(C18+C19)*F21*'数据-取费表'!B20/2,(C18+C19)*(POWER((1+F21),'数据-取费表'!B20/2)-1)),0)</f>
        <v>2916</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2"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3" t="s">
        <v>2830</v>
      </c>
      <c r="C24" s="477">
        <f ca="1">C25</f>
        <v>4912</v>
      </c>
      <c r="D24" s="488">
        <f ca="1">C26</f>
        <v>1.1999999999999999E-3</v>
      </c>
      <c r="E24" s="468" t="s">
        <v>507</v>
      </c>
      <c r="F24" s="478">
        <f ca="1">IF(B1="",'数据-取费表'!Q16,INDIRECT("'数据-取费表'!q"&amp;$K$1))</f>
        <v>0.08</v>
      </c>
      <c r="G24" s="443"/>
      <c r="H24" s="446"/>
      <c r="I24" s="446"/>
      <c r="J24" s="446"/>
      <c r="K24" s="447"/>
    </row>
    <row r="25" spans="1:14" s="2104" customFormat="1" ht="13.5" customHeight="1">
      <c r="A25" s="1617" t="s">
        <v>1848</v>
      </c>
      <c r="B25" s="1322" t="s">
        <v>2435</v>
      </c>
      <c r="C25" s="489">
        <f ca="1">ROUND((C18+C19)*F24,0)</f>
        <v>4912</v>
      </c>
      <c r="D25" s="471"/>
      <c r="E25" s="472"/>
      <c r="F25" s="479"/>
      <c r="G25" s="1320" t="s">
        <v>2432</v>
      </c>
      <c r="H25" s="456"/>
      <c r="I25" s="456"/>
      <c r="J25" s="456"/>
      <c r="K25" s="457"/>
    </row>
    <row r="26" spans="1:14" s="2104" customFormat="1" ht="13.5" customHeight="1">
      <c r="A26" s="1617" t="s">
        <v>1849</v>
      </c>
      <c r="B26" s="1322" t="s">
        <v>509</v>
      </c>
      <c r="C26" s="490">
        <f ca="1">ROUND(F20*F24,4)</f>
        <v>1.1999999999999999E-3</v>
      </c>
      <c r="D26" s="471"/>
      <c r="E26" s="480"/>
      <c r="F26" s="479"/>
      <c r="G26" s="1320" t="s">
        <v>510</v>
      </c>
      <c r="H26" s="456"/>
      <c r="I26" s="456"/>
      <c r="J26" s="456"/>
      <c r="K26" s="457"/>
    </row>
    <row r="27" spans="1:14" s="2104" customFormat="1" ht="13.5" customHeight="1">
      <c r="A27" s="1621" t="s">
        <v>1867</v>
      </c>
      <c r="B27" s="458" t="s">
        <v>511</v>
      </c>
      <c r="C27" s="2982">
        <f>ROUND(F27/(1+'数据-取费表'!C42),4)</f>
        <v>5.33E-2</v>
      </c>
      <c r="D27" s="461" t="s">
        <v>2828</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74450</v>
      </c>
      <c r="D28" s="476"/>
      <c r="E28" s="468"/>
      <c r="F28" s="470"/>
      <c r="G28" s="1321" t="s">
        <v>2433</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3" t="s">
        <v>515</v>
      </c>
      <c r="H30" s="495"/>
      <c r="I30" s="495"/>
      <c r="J30" s="446"/>
      <c r="K30" s="447"/>
    </row>
    <row r="31" spans="1:14" s="2110" customFormat="1" ht="13.5" customHeight="1">
      <c r="A31" s="2445" t="s">
        <v>1865</v>
      </c>
      <c r="B31" s="1324"/>
      <c r="C31" s="499">
        <f>ROUND(C6*F31/(1+'数据-取费表'!C42),0)</f>
        <v>0</v>
      </c>
      <c r="D31" s="1325"/>
      <c r="E31" s="1325"/>
      <c r="F31" s="500">
        <f>'数据-取费表'!B41</f>
        <v>5.6000000000000001E-2</v>
      </c>
      <c r="G31" s="1326"/>
      <c r="H31" s="1326"/>
      <c r="I31" s="1326"/>
      <c r="J31" s="1327"/>
      <c r="K31" s="1328"/>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548" t="s">
        <v>522</v>
      </c>
      <c r="D6" s="3549"/>
      <c r="E6" s="3585" t="s">
        <v>523</v>
      </c>
      <c r="F6" s="3586"/>
      <c r="G6" s="3548" t="s">
        <v>524</v>
      </c>
      <c r="H6" s="3549"/>
      <c r="I6" s="3548" t="s">
        <v>525</v>
      </c>
      <c r="J6" s="3549"/>
      <c r="K6" s="513" t="s">
        <v>526</v>
      </c>
      <c r="L6" s="2117"/>
      <c r="M6" s="2118"/>
      <c r="N6" s="2118"/>
      <c r="O6" s="2118"/>
      <c r="P6" s="3550" t="s">
        <v>527</v>
      </c>
      <c r="Q6" s="3551"/>
      <c r="R6" s="3556" t="s">
        <v>523</v>
      </c>
      <c r="S6" s="3557"/>
      <c r="T6" s="3556" t="s">
        <v>524</v>
      </c>
      <c r="U6" s="3557"/>
      <c r="V6" s="3543" t="s">
        <v>525</v>
      </c>
      <c r="W6" s="3543"/>
      <c r="X6" s="1552"/>
      <c r="Y6" s="3556" t="s">
        <v>527</v>
      </c>
      <c r="Z6" s="3557"/>
      <c r="AA6" s="3545" t="s">
        <v>523</v>
      </c>
      <c r="AB6" s="3546" t="s">
        <v>524</v>
      </c>
      <c r="AC6" s="3545" t="s">
        <v>525</v>
      </c>
    </row>
    <row r="7" spans="1:29" ht="15">
      <c r="A7" s="514"/>
      <c r="B7" s="515"/>
      <c r="C7" s="3564" t="s">
        <v>2928</v>
      </c>
      <c r="D7" s="3565"/>
      <c r="E7" s="3587" t="s">
        <v>2929</v>
      </c>
      <c r="F7" s="3588"/>
      <c r="G7" s="3564" t="s">
        <v>2930</v>
      </c>
      <c r="H7" s="3565"/>
      <c r="I7" s="3564" t="s">
        <v>2931</v>
      </c>
      <c r="J7" s="3565"/>
      <c r="K7" s="513"/>
      <c r="L7" s="2117"/>
      <c r="M7" s="2118"/>
      <c r="N7" s="2118"/>
      <c r="O7" s="2118"/>
      <c r="P7" s="3552"/>
      <c r="Q7" s="3553"/>
      <c r="R7" s="3558"/>
      <c r="S7" s="3559"/>
      <c r="T7" s="3558"/>
      <c r="U7" s="3559"/>
      <c r="V7" s="3543"/>
      <c r="W7" s="3543"/>
      <c r="X7" s="1552"/>
      <c r="Y7" s="3558"/>
      <c r="Z7" s="3559"/>
      <c r="AA7" s="3546"/>
      <c r="AB7" s="3546"/>
      <c r="AC7" s="3546"/>
    </row>
    <row r="8" spans="1:29" ht="15.75" thickBot="1">
      <c r="A8" s="516"/>
      <c r="B8" s="517"/>
      <c r="C8" s="3562" t="s">
        <v>2932</v>
      </c>
      <c r="D8" s="3563"/>
      <c r="E8" s="3583" t="s">
        <v>2932</v>
      </c>
      <c r="F8" s="3584"/>
      <c r="G8" s="3562" t="s">
        <v>2932</v>
      </c>
      <c r="H8" s="3563"/>
      <c r="I8" s="3562" t="s">
        <v>2932</v>
      </c>
      <c r="J8" s="3563"/>
      <c r="K8" s="513" t="s">
        <v>528</v>
      </c>
      <c r="L8" s="2117"/>
      <c r="M8" s="2118"/>
      <c r="N8" s="2118"/>
      <c r="O8" s="2118"/>
      <c r="P8" s="3554"/>
      <c r="Q8" s="3555"/>
      <c r="R8" s="3558"/>
      <c r="S8" s="3559"/>
      <c r="T8" s="3560"/>
      <c r="U8" s="3561"/>
      <c r="V8" s="3543"/>
      <c r="W8" s="3543"/>
      <c r="X8" s="1552"/>
      <c r="Y8" s="3560"/>
      <c r="Z8" s="3561"/>
      <c r="AA8" s="3547"/>
      <c r="AB8" s="3547"/>
      <c r="AC8" s="3547"/>
    </row>
    <row r="9" spans="1:29" s="1214" customFormat="1" ht="15.75" thickBot="1">
      <c r="A9" s="2866"/>
      <c r="B9" s="2873" t="s">
        <v>529</v>
      </c>
      <c r="C9" s="518">
        <f>'数据-取费表'!B2</f>
        <v>43698</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573" t="s">
        <v>530</v>
      </c>
      <c r="Q9" s="3575"/>
      <c r="R9" s="1553" t="s">
        <v>8</v>
      </c>
      <c r="S9" s="1554">
        <f t="shared" ref="S9:S17" si="0">F9</f>
        <v>0</v>
      </c>
      <c r="T9" s="1553" t="s">
        <v>8</v>
      </c>
      <c r="U9" s="1554">
        <f t="shared" ref="U9:U17" si="1">H9</f>
        <v>0</v>
      </c>
      <c r="V9" s="1553" t="s">
        <v>8</v>
      </c>
      <c r="W9" s="1554">
        <f t="shared" ref="W9:W17" si="2">J9</f>
        <v>0</v>
      </c>
      <c r="X9" s="1555"/>
      <c r="Y9" s="3573" t="s">
        <v>530</v>
      </c>
      <c r="Z9" s="3574"/>
      <c r="AA9" s="1556" t="e">
        <f>D9/F9</f>
        <v>#DIV/0!</v>
      </c>
      <c r="AB9" s="1556" t="e">
        <f>D9/H9</f>
        <v>#DIV/0!</v>
      </c>
      <c r="AC9" s="1556" t="e">
        <f>D9/J9</f>
        <v>#DIV/0!</v>
      </c>
    </row>
    <row r="10" spans="1:29" s="1214"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573" t="s">
        <v>533</v>
      </c>
      <c r="Q10" s="3574"/>
      <c r="R10" s="1553" t="s">
        <v>8</v>
      </c>
      <c r="S10" s="1554">
        <f t="shared" si="0"/>
        <v>0</v>
      </c>
      <c r="T10" s="1553" t="s">
        <v>8</v>
      </c>
      <c r="U10" s="1554">
        <f t="shared" si="1"/>
        <v>0</v>
      </c>
      <c r="V10" s="1553" t="s">
        <v>8</v>
      </c>
      <c r="W10" s="1554">
        <f t="shared" si="2"/>
        <v>0</v>
      </c>
      <c r="X10" s="1555"/>
      <c r="Y10" s="3573" t="s">
        <v>533</v>
      </c>
      <c r="Z10" s="3574"/>
      <c r="AA10" s="1556" t="e">
        <f t="shared" ref="AA10:AA42" si="3">D10/F10</f>
        <v>#DIV/0!</v>
      </c>
      <c r="AB10" s="1556" t="e">
        <f t="shared" ref="AB10:AB42" si="4">D10/H10</f>
        <v>#DIV/0!</v>
      </c>
      <c r="AC10" s="1556" t="e">
        <f t="shared" ref="AC10:AC42" si="5">D10/J10</f>
        <v>#DIV/0!</v>
      </c>
    </row>
    <row r="11" spans="1:29" s="1214" customFormat="1" ht="15">
      <c r="A11" s="2868"/>
      <c r="B11" s="2875" t="s">
        <v>2754</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542" t="s">
        <v>535</v>
      </c>
      <c r="Q11" s="1145" t="str">
        <f t="shared" ref="Q11:Q17" si="6">B11</f>
        <v>用途</v>
      </c>
      <c r="R11" s="1553" t="s">
        <v>8</v>
      </c>
      <c r="S11" s="1554">
        <f t="shared" si="0"/>
        <v>100</v>
      </c>
      <c r="T11" s="1553" t="s">
        <v>8</v>
      </c>
      <c r="U11" s="1554">
        <f t="shared" si="1"/>
        <v>100</v>
      </c>
      <c r="V11" s="1553" t="s">
        <v>8</v>
      </c>
      <c r="W11" s="1554">
        <f t="shared" si="2"/>
        <v>100</v>
      </c>
      <c r="X11" s="1555"/>
      <c r="Y11" s="3488" t="s">
        <v>536</v>
      </c>
      <c r="Z11" s="1144" t="str">
        <f t="shared" ref="Z11:Z17" si="7">Q11</f>
        <v>用途</v>
      </c>
      <c r="AA11" s="1556">
        <f t="shared" si="3"/>
        <v>1</v>
      </c>
      <c r="AB11" s="1556">
        <f t="shared" si="4"/>
        <v>1</v>
      </c>
      <c r="AC11" s="1556">
        <f t="shared" si="5"/>
        <v>1</v>
      </c>
    </row>
    <row r="12" spans="1:29" s="1332" customFormat="1" ht="27">
      <c r="A12" s="2869"/>
      <c r="B12" s="2874" t="s">
        <v>2755</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542"/>
      <c r="Q12" s="1145" t="str">
        <f t="shared" si="6"/>
        <v>土地使用年限（年）</v>
      </c>
      <c r="R12" s="1553" t="s">
        <v>8</v>
      </c>
      <c r="S12" s="1554">
        <f t="shared" si="0"/>
        <v>100</v>
      </c>
      <c r="T12" s="1553" t="s">
        <v>8</v>
      </c>
      <c r="U12" s="1554">
        <f t="shared" si="1"/>
        <v>100</v>
      </c>
      <c r="V12" s="1553" t="s">
        <v>8</v>
      </c>
      <c r="W12" s="1554">
        <f t="shared" si="2"/>
        <v>100</v>
      </c>
      <c r="X12" s="1555"/>
      <c r="Y12" s="3488"/>
      <c r="Z12" s="1144" t="str">
        <f t="shared" si="7"/>
        <v>土地使用年限（年）</v>
      </c>
      <c r="AA12" s="1556">
        <f t="shared" si="3"/>
        <v>1</v>
      </c>
      <c r="AB12" s="1556">
        <f t="shared" si="4"/>
        <v>1</v>
      </c>
      <c r="AC12" s="1556">
        <f t="shared" si="5"/>
        <v>1</v>
      </c>
    </row>
    <row r="13" spans="1:29" ht="15">
      <c r="A13" s="2870"/>
      <c r="B13" s="2874"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542"/>
      <c r="Q13" s="1145" t="str">
        <f t="shared" si="6"/>
        <v>容积率</v>
      </c>
      <c r="R13" s="1553" t="s">
        <v>8</v>
      </c>
      <c r="S13" s="1554" t="e">
        <f t="shared" si="0"/>
        <v>#N/A</v>
      </c>
      <c r="T13" s="1553" t="s">
        <v>8</v>
      </c>
      <c r="U13" s="1554" t="e">
        <f t="shared" si="1"/>
        <v>#N/A</v>
      </c>
      <c r="V13" s="1553" t="s">
        <v>8</v>
      </c>
      <c r="W13" s="1554" t="e">
        <f t="shared" si="2"/>
        <v>#N/A</v>
      </c>
      <c r="X13" s="1555"/>
      <c r="Y13" s="3488"/>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542"/>
      <c r="Q14" s="1145">
        <f t="shared" si="6"/>
        <v>111</v>
      </c>
      <c r="R14" s="1553" t="s">
        <v>8</v>
      </c>
      <c r="S14" s="1554">
        <f t="shared" si="0"/>
        <v>100</v>
      </c>
      <c r="T14" s="1553" t="s">
        <v>8</v>
      </c>
      <c r="U14" s="1554">
        <f t="shared" si="1"/>
        <v>100</v>
      </c>
      <c r="V14" s="1553" t="s">
        <v>8</v>
      </c>
      <c r="W14" s="1554">
        <f t="shared" si="2"/>
        <v>100</v>
      </c>
      <c r="X14" s="1555"/>
      <c r="Y14" s="3488"/>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542"/>
      <c r="Q15" s="1145">
        <f t="shared" si="6"/>
        <v>111</v>
      </c>
      <c r="R15" s="1553" t="s">
        <v>8</v>
      </c>
      <c r="S15" s="1554">
        <f t="shared" si="0"/>
        <v>100</v>
      </c>
      <c r="T15" s="1553" t="s">
        <v>8</v>
      </c>
      <c r="U15" s="1554">
        <f t="shared" si="1"/>
        <v>100</v>
      </c>
      <c r="V15" s="1553" t="s">
        <v>8</v>
      </c>
      <c r="W15" s="1554">
        <f t="shared" si="2"/>
        <v>100</v>
      </c>
      <c r="X15" s="1555"/>
      <c r="Y15" s="3488"/>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542"/>
      <c r="Q16" s="1145">
        <f t="shared" si="6"/>
        <v>111</v>
      </c>
      <c r="R16" s="1553" t="s">
        <v>8</v>
      </c>
      <c r="S16" s="1554">
        <f t="shared" si="0"/>
        <v>100</v>
      </c>
      <c r="T16" s="1553" t="s">
        <v>8</v>
      </c>
      <c r="U16" s="1554">
        <f t="shared" si="1"/>
        <v>100</v>
      </c>
      <c r="V16" s="1553" t="s">
        <v>8</v>
      </c>
      <c r="W16" s="1554">
        <f t="shared" si="2"/>
        <v>100</v>
      </c>
      <c r="X16" s="1555"/>
      <c r="Y16" s="3488"/>
      <c r="Z16" s="1144">
        <f t="shared" si="7"/>
        <v>111</v>
      </c>
      <c r="AA16" s="1556">
        <f t="shared" si="3"/>
        <v>1</v>
      </c>
      <c r="AB16" s="1556">
        <f t="shared" si="4"/>
        <v>1</v>
      </c>
      <c r="AC16" s="1556">
        <f t="shared" si="5"/>
        <v>1</v>
      </c>
    </row>
    <row r="17" spans="1:29" ht="57">
      <c r="A17" s="2864"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576" t="s">
        <v>540</v>
      </c>
      <c r="Q17" s="1557" t="str">
        <f t="shared" si="6"/>
        <v>产业集聚程度</v>
      </c>
      <c r="R17" s="1558" t="s">
        <v>8</v>
      </c>
      <c r="S17" s="1559">
        <f t="shared" si="0"/>
        <v>100</v>
      </c>
      <c r="T17" s="1558" t="s">
        <v>8</v>
      </c>
      <c r="U17" s="1559">
        <f t="shared" si="1"/>
        <v>100</v>
      </c>
      <c r="V17" s="1558" t="s">
        <v>8</v>
      </c>
      <c r="W17" s="1559">
        <f t="shared" si="2"/>
        <v>100</v>
      </c>
      <c r="X17" s="1552"/>
      <c r="Y17" s="3576"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577"/>
      <c r="Q18" s="1557"/>
      <c r="R18" s="1558"/>
      <c r="S18" s="1559"/>
      <c r="T18" s="1558"/>
      <c r="U18" s="1559"/>
      <c r="V18" s="1558"/>
      <c r="W18" s="1559"/>
      <c r="X18" s="1552"/>
      <c r="Y18" s="3577"/>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577"/>
      <c r="Q19" s="1557" t="str">
        <f>B19</f>
        <v>交通便捷度</v>
      </c>
      <c r="R19" s="1558" t="s">
        <v>8</v>
      </c>
      <c r="S19" s="1559">
        <f>F19</f>
        <v>100</v>
      </c>
      <c r="T19" s="1558" t="s">
        <v>8</v>
      </c>
      <c r="U19" s="1559">
        <f>H19</f>
        <v>100</v>
      </c>
      <c r="V19" s="1558" t="s">
        <v>8</v>
      </c>
      <c r="W19" s="1559">
        <f>J19</f>
        <v>100</v>
      </c>
      <c r="X19" s="1552"/>
      <c r="Y19" s="3577"/>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577"/>
      <c r="Q20" s="1557"/>
      <c r="R20" s="1558"/>
      <c r="S20" s="1559"/>
      <c r="T20" s="1558"/>
      <c r="U20" s="1559"/>
      <c r="V20" s="1558"/>
      <c r="W20" s="1559"/>
      <c r="X20" s="1552"/>
      <c r="Y20" s="3577"/>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577"/>
      <c r="Q21" s="1557" t="str">
        <f t="shared" ref="Q21:Q35" si="8">B21</f>
        <v>区域土地利用方向</v>
      </c>
      <c r="R21" s="1558" t="s">
        <v>8</v>
      </c>
      <c r="S21" s="1559">
        <f>F21</f>
        <v>100</v>
      </c>
      <c r="T21" s="1558" t="s">
        <v>8</v>
      </c>
      <c r="U21" s="1559">
        <f>H21</f>
        <v>100</v>
      </c>
      <c r="V21" s="1558" t="s">
        <v>8</v>
      </c>
      <c r="W21" s="1559">
        <f>J21</f>
        <v>100</v>
      </c>
      <c r="X21" s="1552"/>
      <c r="Y21" s="3577"/>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577"/>
      <c r="Q22" s="1557"/>
      <c r="R22" s="1558"/>
      <c r="S22" s="1559"/>
      <c r="T22" s="1558"/>
      <c r="U22" s="1559"/>
      <c r="V22" s="1558"/>
      <c r="W22" s="1559"/>
      <c r="X22" s="1552"/>
      <c r="Y22" s="3577"/>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577"/>
      <c r="Q23" s="1557" t="str">
        <f t="shared" si="8"/>
        <v>环境状况</v>
      </c>
      <c r="R23" s="1558" t="s">
        <v>8</v>
      </c>
      <c r="S23" s="1559">
        <f>F23</f>
        <v>100</v>
      </c>
      <c r="T23" s="1558" t="s">
        <v>8</v>
      </c>
      <c r="U23" s="1559">
        <f>H23</f>
        <v>100</v>
      </c>
      <c r="V23" s="1558" t="s">
        <v>8</v>
      </c>
      <c r="W23" s="1559">
        <f>J23</f>
        <v>100</v>
      </c>
      <c r="X23" s="1552"/>
      <c r="Y23" s="3577"/>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577"/>
      <c r="Q24" s="1557"/>
      <c r="R24" s="1558"/>
      <c r="S24" s="1559"/>
      <c r="T24" s="1558"/>
      <c r="U24" s="1559"/>
      <c r="V24" s="1558"/>
      <c r="W24" s="1559"/>
      <c r="X24" s="1552"/>
      <c r="Y24" s="3577"/>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577"/>
      <c r="Q25" s="1145" t="str">
        <f t="shared" si="8"/>
        <v>公共配套设施</v>
      </c>
      <c r="R25" s="1553" t="s">
        <v>8</v>
      </c>
      <c r="S25" s="1554">
        <f>F25</f>
        <v>100</v>
      </c>
      <c r="T25" s="1553" t="s">
        <v>8</v>
      </c>
      <c r="U25" s="1554">
        <f>H25</f>
        <v>100</v>
      </c>
      <c r="V25" s="1553" t="s">
        <v>8</v>
      </c>
      <c r="W25" s="1554">
        <f>J25</f>
        <v>100</v>
      </c>
      <c r="X25" s="1555"/>
      <c r="Y25" s="3577"/>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577"/>
      <c r="Q26" s="1145"/>
      <c r="R26" s="1553"/>
      <c r="S26" s="1554"/>
      <c r="T26" s="1553"/>
      <c r="U26" s="1554"/>
      <c r="V26" s="1553"/>
      <c r="W26" s="1554"/>
      <c r="X26" s="1555"/>
      <c r="Y26" s="3577"/>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577"/>
      <c r="Q27" s="2541" t="str">
        <f t="shared" ref="Q27" si="9">B27</f>
        <v>基础设施水平</v>
      </c>
      <c r="R27" s="1553" t="s">
        <v>8</v>
      </c>
      <c r="S27" s="1554">
        <f>F27</f>
        <v>100</v>
      </c>
      <c r="T27" s="1553" t="s">
        <v>8</v>
      </c>
      <c r="U27" s="1554">
        <f>H27</f>
        <v>100</v>
      </c>
      <c r="V27" s="1553" t="s">
        <v>8</v>
      </c>
      <c r="W27" s="1554">
        <f>J27</f>
        <v>100</v>
      </c>
      <c r="X27" s="1555"/>
      <c r="Y27" s="3577"/>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577"/>
      <c r="Q28" s="2541"/>
      <c r="R28" s="1553"/>
      <c r="S28" s="1554"/>
      <c r="T28" s="1553"/>
      <c r="U28" s="1554"/>
      <c r="V28" s="1553"/>
      <c r="W28" s="1554"/>
      <c r="X28" s="1555"/>
      <c r="Y28" s="3577"/>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57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77"/>
      <c r="Z29" s="1560" t="str">
        <f t="shared" ref="Z29:Z42" si="13">Q29</f>
        <v>临街状况</v>
      </c>
      <c r="AA29" s="1561">
        <f t="shared" si="3"/>
        <v>1</v>
      </c>
      <c r="AB29" s="1561">
        <f t="shared" si="4"/>
        <v>1</v>
      </c>
      <c r="AC29" s="1561">
        <f t="shared" si="5"/>
        <v>1</v>
      </c>
    </row>
    <row r="30" spans="1:29" ht="27">
      <c r="A30" s="531"/>
      <c r="B30" s="920"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577"/>
      <c r="Q30" s="1557" t="str">
        <f t="shared" si="8"/>
        <v>毗邻道路的类型与等级</v>
      </c>
      <c r="R30" s="1558" t="s">
        <v>8</v>
      </c>
      <c r="S30" s="1559">
        <f t="shared" si="10"/>
        <v>100</v>
      </c>
      <c r="T30" s="1558" t="s">
        <v>8</v>
      </c>
      <c r="U30" s="1559">
        <f t="shared" si="11"/>
        <v>100</v>
      </c>
      <c r="V30" s="1558" t="s">
        <v>8</v>
      </c>
      <c r="W30" s="1559">
        <f t="shared" si="12"/>
        <v>100</v>
      </c>
      <c r="X30" s="1552"/>
      <c r="Y30" s="3577"/>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577"/>
      <c r="Q31" s="1557"/>
      <c r="R31" s="1558"/>
      <c r="S31" s="1559"/>
      <c r="T31" s="1558"/>
      <c r="U31" s="1559"/>
      <c r="V31" s="1558"/>
      <c r="W31" s="1559"/>
      <c r="X31" s="1552"/>
      <c r="Y31" s="3577"/>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577"/>
      <c r="Q32" s="1557" t="str">
        <f t="shared" si="8"/>
        <v>土地级别</v>
      </c>
      <c r="R32" s="1558" t="s">
        <v>8</v>
      </c>
      <c r="S32" s="1559">
        <f t="shared" si="10"/>
        <v>100</v>
      </c>
      <c r="T32" s="1558" t="s">
        <v>8</v>
      </c>
      <c r="U32" s="1559">
        <f t="shared" si="11"/>
        <v>100</v>
      </c>
      <c r="V32" s="1558" t="s">
        <v>8</v>
      </c>
      <c r="W32" s="1559">
        <f t="shared" si="12"/>
        <v>100</v>
      </c>
      <c r="X32" s="1552"/>
      <c r="Y32" s="357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577"/>
      <c r="Q33" s="1557">
        <f t="shared" si="8"/>
        <v>111</v>
      </c>
      <c r="R33" s="1558" t="s">
        <v>8</v>
      </c>
      <c r="S33" s="1559">
        <f t="shared" si="10"/>
        <v>100</v>
      </c>
      <c r="T33" s="1558" t="s">
        <v>8</v>
      </c>
      <c r="U33" s="1559">
        <f t="shared" si="11"/>
        <v>100</v>
      </c>
      <c r="V33" s="1558" t="s">
        <v>8</v>
      </c>
      <c r="W33" s="1559">
        <f t="shared" si="12"/>
        <v>100</v>
      </c>
      <c r="X33" s="1552"/>
      <c r="Y33" s="357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578" t="s">
        <v>550</v>
      </c>
      <c r="Q34" s="1557">
        <f t="shared" si="8"/>
        <v>111</v>
      </c>
      <c r="R34" s="1558" t="s">
        <v>8</v>
      </c>
      <c r="S34" s="1559">
        <f t="shared" si="10"/>
        <v>100</v>
      </c>
      <c r="T34" s="1558" t="s">
        <v>8</v>
      </c>
      <c r="U34" s="1559">
        <f t="shared" si="11"/>
        <v>100</v>
      </c>
      <c r="V34" s="1558" t="s">
        <v>8</v>
      </c>
      <c r="W34" s="1559">
        <f t="shared" si="12"/>
        <v>100</v>
      </c>
      <c r="X34" s="1552"/>
      <c r="Y34" s="3579" t="s">
        <v>550</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579"/>
      <c r="Q35" s="1557">
        <f t="shared" si="8"/>
        <v>111</v>
      </c>
      <c r="R35" s="1562" t="s">
        <v>8</v>
      </c>
      <c r="S35" s="1563">
        <f t="shared" si="10"/>
        <v>100</v>
      </c>
      <c r="T35" s="1562" t="s">
        <v>8</v>
      </c>
      <c r="U35" s="1563">
        <f t="shared" si="11"/>
        <v>100</v>
      </c>
      <c r="V35" s="1562" t="s">
        <v>8</v>
      </c>
      <c r="W35" s="1563">
        <f t="shared" si="12"/>
        <v>100</v>
      </c>
      <c r="X35" s="1564"/>
      <c r="Y35" s="3579"/>
      <c r="Z35" s="1565">
        <f t="shared" si="13"/>
        <v>111</v>
      </c>
      <c r="AA35" s="1561">
        <f t="shared" si="3"/>
        <v>1</v>
      </c>
      <c r="AB35" s="1561">
        <f t="shared" si="4"/>
        <v>1</v>
      </c>
      <c r="AC35" s="1561">
        <f t="shared" si="5"/>
        <v>1</v>
      </c>
    </row>
    <row r="36" spans="1:29" ht="15">
      <c r="A36" s="2861"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579"/>
      <c r="Q36" s="1557" t="str">
        <f>B36</f>
        <v>宗地面积</v>
      </c>
      <c r="R36" s="1558" t="s">
        <v>8</v>
      </c>
      <c r="S36" s="1559" t="e">
        <f t="shared" si="10"/>
        <v>#N/A</v>
      </c>
      <c r="T36" s="1558" t="s">
        <v>8</v>
      </c>
      <c r="U36" s="1559" t="e">
        <f t="shared" si="11"/>
        <v>#N/A</v>
      </c>
      <c r="V36" s="1558" t="s">
        <v>8</v>
      </c>
      <c r="W36" s="1559" t="e">
        <f t="shared" si="12"/>
        <v>#N/A</v>
      </c>
      <c r="X36" s="1552"/>
      <c r="Y36" s="3579"/>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579"/>
      <c r="Q37" s="1557" t="str">
        <f t="shared" ref="Q37:Q42" si="14">B37</f>
        <v>宗地形状</v>
      </c>
      <c r="R37" s="1558" t="s">
        <v>8</v>
      </c>
      <c r="S37" s="1559">
        <f t="shared" si="10"/>
        <v>100</v>
      </c>
      <c r="T37" s="1558" t="s">
        <v>8</v>
      </c>
      <c r="U37" s="1559">
        <f t="shared" si="11"/>
        <v>100</v>
      </c>
      <c r="V37" s="1558" t="s">
        <v>8</v>
      </c>
      <c r="W37" s="1559">
        <f t="shared" si="12"/>
        <v>100</v>
      </c>
      <c r="X37" s="1552"/>
      <c r="Y37" s="3579"/>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579"/>
      <c r="Q38" s="1557" t="str">
        <f t="shared" si="14"/>
        <v>宗地开发程度</v>
      </c>
      <c r="R38" s="1553" t="s">
        <v>8</v>
      </c>
      <c r="S38" s="1554">
        <f t="shared" si="10"/>
        <v>100</v>
      </c>
      <c r="T38" s="1553" t="s">
        <v>8</v>
      </c>
      <c r="U38" s="1554">
        <f t="shared" si="11"/>
        <v>100</v>
      </c>
      <c r="V38" s="1553" t="s">
        <v>8</v>
      </c>
      <c r="W38" s="1554">
        <f t="shared" si="12"/>
        <v>100</v>
      </c>
      <c r="X38" s="1555"/>
      <c r="Y38" s="3579"/>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579" t="s">
        <v>601</v>
      </c>
      <c r="Q39" s="1557" t="str">
        <f t="shared" si="14"/>
        <v>工程地质条件</v>
      </c>
      <c r="R39" s="1558" t="s">
        <v>8</v>
      </c>
      <c r="S39" s="1559">
        <f t="shared" si="10"/>
        <v>100</v>
      </c>
      <c r="T39" s="1558" t="s">
        <v>8</v>
      </c>
      <c r="U39" s="1559">
        <f t="shared" si="11"/>
        <v>100</v>
      </c>
      <c r="V39" s="1558" t="s">
        <v>8</v>
      </c>
      <c r="W39" s="1559">
        <f t="shared" si="12"/>
        <v>100</v>
      </c>
      <c r="X39" s="1552"/>
      <c r="Y39" s="357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579"/>
      <c r="Q40" s="1557">
        <f t="shared" si="14"/>
        <v>111</v>
      </c>
      <c r="R40" s="1558" t="s">
        <v>8</v>
      </c>
      <c r="S40" s="1559">
        <f t="shared" si="10"/>
        <v>100</v>
      </c>
      <c r="T40" s="1558" t="s">
        <v>8</v>
      </c>
      <c r="U40" s="1559">
        <f t="shared" si="11"/>
        <v>100</v>
      </c>
      <c r="V40" s="1558" t="s">
        <v>8</v>
      </c>
      <c r="W40" s="1559">
        <f t="shared" si="12"/>
        <v>100</v>
      </c>
      <c r="X40" s="1552"/>
      <c r="Y40" s="357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579"/>
      <c r="Q41" s="1557">
        <f t="shared" si="14"/>
        <v>111</v>
      </c>
      <c r="R41" s="1558" t="s">
        <v>8</v>
      </c>
      <c r="S41" s="1559">
        <f t="shared" si="10"/>
        <v>100</v>
      </c>
      <c r="T41" s="1558" t="s">
        <v>8</v>
      </c>
      <c r="U41" s="1559">
        <f t="shared" si="11"/>
        <v>100</v>
      </c>
      <c r="V41" s="1558" t="s">
        <v>8</v>
      </c>
      <c r="W41" s="1559">
        <f t="shared" si="12"/>
        <v>100</v>
      </c>
      <c r="X41" s="1552"/>
      <c r="Y41" s="3579"/>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579"/>
      <c r="Q42" s="1557">
        <f t="shared" si="14"/>
        <v>111</v>
      </c>
      <c r="R42" s="1562" t="s">
        <v>8</v>
      </c>
      <c r="S42" s="1563">
        <f t="shared" si="10"/>
        <v>100</v>
      </c>
      <c r="T42" s="1562" t="s">
        <v>8</v>
      </c>
      <c r="U42" s="1563">
        <f t="shared" si="11"/>
        <v>100</v>
      </c>
      <c r="V42" s="1562" t="s">
        <v>8</v>
      </c>
      <c r="W42" s="1563">
        <f t="shared" si="12"/>
        <v>100</v>
      </c>
      <c r="X42" s="1564"/>
      <c r="Y42" s="3579"/>
      <c r="Z42" s="1565">
        <f t="shared" si="13"/>
        <v>111</v>
      </c>
      <c r="AA42" s="1561">
        <f t="shared" si="3"/>
        <v>1</v>
      </c>
      <c r="AB42" s="1561">
        <f t="shared" si="4"/>
        <v>1</v>
      </c>
      <c r="AC42" s="1561">
        <f t="shared" si="5"/>
        <v>1</v>
      </c>
    </row>
    <row r="43" spans="1:29" ht="15">
      <c r="A43" s="606" t="s">
        <v>556</v>
      </c>
      <c r="B43" s="607" t="s">
        <v>2933</v>
      </c>
      <c r="C43" s="608" t="s">
        <v>1</v>
      </c>
      <c r="D43" s="609"/>
      <c r="E43" s="610"/>
      <c r="F43" s="611"/>
      <c r="G43" s="612"/>
      <c r="H43" s="613"/>
      <c r="I43" s="610"/>
      <c r="J43" s="613"/>
      <c r="K43" s="1334"/>
      <c r="L43" s="2128"/>
      <c r="M43" s="2118"/>
      <c r="N43" s="2118"/>
      <c r="O43" s="2129"/>
      <c r="P43" s="3542" t="str">
        <f>A43</f>
        <v>成交单价</v>
      </c>
      <c r="Q43" s="3542"/>
      <c r="R43" s="3543">
        <f>E43</f>
        <v>0</v>
      </c>
      <c r="S43" s="3543"/>
      <c r="T43" s="3543">
        <f>G43</f>
        <v>0</v>
      </c>
      <c r="U43" s="3543"/>
      <c r="V43" s="3543">
        <f>I43</f>
        <v>0</v>
      </c>
      <c r="W43" s="3543"/>
      <c r="X43" s="1544"/>
      <c r="Y43" s="1566"/>
      <c r="Z43" s="1544"/>
      <c r="AA43" s="1544"/>
      <c r="AB43" s="1544"/>
      <c r="AC43" s="1544"/>
    </row>
    <row r="44" spans="1:29" ht="15.75" thickBot="1">
      <c r="A44" s="614" t="s">
        <v>2691</v>
      </c>
      <c r="B44" s="615"/>
      <c r="C44" s="616" t="e">
        <f>R45</f>
        <v>#DIV/0!</v>
      </c>
      <c r="D44" s="617"/>
      <c r="E44" s="616" t="e">
        <f>R44</f>
        <v>#DIV/0!</v>
      </c>
      <c r="F44" s="618"/>
      <c r="G44" s="619" t="e">
        <f>T44</f>
        <v>#DIV/0!</v>
      </c>
      <c r="H44" s="617"/>
      <c r="I44" s="616" t="e">
        <f>V44</f>
        <v>#DIV/0!</v>
      </c>
      <c r="J44" s="617"/>
      <c r="K44" s="1335"/>
      <c r="L44" s="2128"/>
      <c r="M44" s="2118"/>
      <c r="N44" s="2118"/>
      <c r="O44" s="2129"/>
      <c r="P44" s="3542" t="str">
        <f>A44</f>
        <v>比较价格（元/平方米）</v>
      </c>
      <c r="Q44" s="3542"/>
      <c r="R44" s="3544" t="e">
        <f>ROUND(PRODUCT(R43,AA9:AA42),0)</f>
        <v>#DIV/0!</v>
      </c>
      <c r="S44" s="3544"/>
      <c r="T44" s="3544" t="e">
        <f>ROUND(PRODUCT(T43,AB9:AB42),0)</f>
        <v>#DIV/0!</v>
      </c>
      <c r="U44" s="3544"/>
      <c r="V44" s="3544" t="e">
        <f>ROUND(PRODUCT(V43,AC9:AC42),0)</f>
        <v>#DIV/0!</v>
      </c>
      <c r="W44" s="3544"/>
      <c r="X44" s="1544"/>
      <c r="Y44" s="1544"/>
      <c r="Z44" s="1544"/>
      <c r="AA44" s="1544"/>
      <c r="AB44" s="1544"/>
      <c r="AC44" s="1544"/>
    </row>
    <row r="45" spans="1:29" ht="15.75" thickBot="1">
      <c r="A45" s="620" t="s">
        <v>2934</v>
      </c>
      <c r="B45" s="621"/>
      <c r="C45" s="622" t="e">
        <f>R45</f>
        <v>#DIV/0!</v>
      </c>
      <c r="D45" s="622"/>
      <c r="E45" s="622"/>
      <c r="F45" s="622"/>
      <c r="G45" s="622"/>
      <c r="H45" s="622"/>
      <c r="I45" s="622"/>
      <c r="J45" s="622"/>
      <c r="K45" s="1336"/>
      <c r="L45" s="2128"/>
      <c r="M45" s="2118"/>
      <c r="N45" s="2118"/>
      <c r="O45" s="2129"/>
      <c r="P45" s="3539" t="str">
        <f>A45</f>
        <v>估价对象XX用房的比较价格（楼面单价，元/平方米）</v>
      </c>
      <c r="Q45" s="3540"/>
      <c r="R45" s="3541" t="e">
        <f>ROUND(AVERAGE(R44:V44),0)</f>
        <v>#DIV/0!</v>
      </c>
      <c r="S45" s="3541"/>
      <c r="T45" s="3541"/>
      <c r="U45" s="3541"/>
      <c r="V45" s="3541"/>
      <c r="W45" s="354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589" t="s">
        <v>2284</v>
      </c>
      <c r="H52" s="3590"/>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564</v>
      </c>
      <c r="B53" s="633" t="e">
        <f>C45</f>
        <v>#DIV/0!</v>
      </c>
      <c r="C53" s="634">
        <v>1</v>
      </c>
      <c r="D53" s="2212">
        <v>1</v>
      </c>
      <c r="E53" s="634">
        <f>'数据-汇总表'!E8+'数据-汇总表'!E9</f>
        <v>123241.18000000002</v>
      </c>
      <c r="F53" s="1934" t="e">
        <f t="shared" ref="F53:F62" si="15">ROUND(B53*E53/10000,0)</f>
        <v>#DIV/0!</v>
      </c>
      <c r="G53" s="3591"/>
      <c r="H53" s="359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565</v>
      </c>
      <c r="B54" s="637" t="e">
        <f>ROUND($C$45*C54*D54,0)</f>
        <v>#DIV/0!</v>
      </c>
      <c r="C54" s="377">
        <f t="shared" ref="C54:C62" si="16">IF($C$52="北京市系数",I54,J54)</f>
        <v>0</v>
      </c>
      <c r="D54" s="2213">
        <v>0.25</v>
      </c>
      <c r="E54" s="638"/>
      <c r="F54" s="1934" t="e">
        <f t="shared" si="15"/>
        <v>#DIV/0!</v>
      </c>
      <c r="G54" s="3593"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566</v>
      </c>
      <c r="B55" s="637" t="e">
        <f t="shared" ref="B55:B62" si="17">ROUND($C$45*C55*D55,0)</f>
        <v>#DIV/0!</v>
      </c>
      <c r="C55" s="377">
        <f t="shared" si="16"/>
        <v>0</v>
      </c>
      <c r="D55" s="2213">
        <v>0.25</v>
      </c>
      <c r="E55" s="638"/>
      <c r="F55" s="1934" t="e">
        <f t="shared" si="15"/>
        <v>#DIV/0!</v>
      </c>
      <c r="G55" s="359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567</v>
      </c>
      <c r="B56" s="637" t="e">
        <f t="shared" si="17"/>
        <v>#DIV/0!</v>
      </c>
      <c r="C56" s="377">
        <f t="shared" si="16"/>
        <v>0</v>
      </c>
      <c r="D56" s="2213">
        <v>0.25</v>
      </c>
      <c r="E56" s="638"/>
      <c r="F56" s="1934" t="e">
        <f t="shared" si="15"/>
        <v>#DIV/0!</v>
      </c>
      <c r="G56" s="359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568</v>
      </c>
      <c r="B57" s="637" t="e">
        <f t="shared" si="17"/>
        <v>#DIV/0!</v>
      </c>
      <c r="C57" s="377">
        <f t="shared" si="16"/>
        <v>0</v>
      </c>
      <c r="D57" s="2213">
        <v>0.25</v>
      </c>
      <c r="E57" s="638"/>
      <c r="F57" s="1934" t="e">
        <f t="shared" si="15"/>
        <v>#DIV/0!</v>
      </c>
      <c r="G57" s="359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570</v>
      </c>
      <c r="B60" s="637" t="e">
        <f t="shared" si="17"/>
        <v>#DIV/0!</v>
      </c>
      <c r="C60" s="377">
        <f t="shared" si="16"/>
        <v>0</v>
      </c>
      <c r="D60" s="2213">
        <v>0.25</v>
      </c>
      <c r="E60" s="640">
        <f>'数据-汇总表'!E13</f>
        <v>46598.59</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573</v>
      </c>
      <c r="B63" s="642" t="s">
        <v>17</v>
      </c>
      <c r="C63" s="642" t="s">
        <v>18</v>
      </c>
      <c r="D63" s="642" t="s">
        <v>2294</v>
      </c>
      <c r="E63" s="642">
        <f>IF(B43="楼面地价",SUM(E53:E62),'数据-汇总表'!D3)</f>
        <v>72391.8</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2647</v>
      </c>
      <c r="B68" s="478" t="str">
        <f>"北京市平均增长率"&amp;TEXT(基准地价!P24,"0.00%")</f>
        <v>北京市平均增长率1.40%</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2425</v>
      </c>
      <c r="D1" s="1507">
        <f>SUM(D29:D30,D33:D39)</f>
        <v>0</v>
      </c>
      <c r="E1" s="1401" t="s">
        <v>2426</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605" t="str">
        <f>IF(E2="商业",IF(C8="不临58条商业街","",2),"")</f>
        <v/>
      </c>
      <c r="B7" s="1422" t="s">
        <v>932</v>
      </c>
      <c r="C7" s="1041" t="e">
        <f>IF(C8="不临58条商业街",1,ROUND(1+(1.6*E8+1.2*E9+0.8*E10+0.4*E11)*C9,4))</f>
        <v>#DIV/0!</v>
      </c>
      <c r="D7" s="1423" t="s">
        <v>933</v>
      </c>
      <c r="E7" s="1042"/>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606"/>
      <c r="B8" s="1409" t="s">
        <v>934</v>
      </c>
      <c r="C8" s="1515"/>
      <c r="D8" s="1043" t="s">
        <v>935</v>
      </c>
      <c r="E8" s="1044"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595" t="s">
        <v>2781</v>
      </c>
      <c r="X8" s="3596"/>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606"/>
      <c r="B9" s="1409" t="s">
        <v>937</v>
      </c>
      <c r="C9" s="1045">
        <f>SUMIF(修正!C59:C119,C8,修正!E59:E119)</f>
        <v>0</v>
      </c>
      <c r="D9" s="1046" t="s">
        <v>938</v>
      </c>
      <c r="E9" s="1046"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594"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606"/>
      <c r="B10" s="1409" t="s">
        <v>940</v>
      </c>
      <c r="C10" s="1046">
        <f>SUMIF(修正!C59:C119,C8,修正!F59:F119)</f>
        <v>0</v>
      </c>
      <c r="D10" s="1046" t="s">
        <v>941</v>
      </c>
      <c r="E10" s="1046"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59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606"/>
      <c r="B11" s="1430" t="s">
        <v>943</v>
      </c>
      <c r="C11" s="1047">
        <f>C10/4</f>
        <v>0</v>
      </c>
      <c r="D11" s="1047" t="s">
        <v>944</v>
      </c>
      <c r="E11" s="1047"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594" t="s">
        <v>2779</v>
      </c>
      <c r="X11" s="1046"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605" t="s">
        <v>1871</v>
      </c>
      <c r="B12" s="1434" t="s">
        <v>946</v>
      </c>
      <c r="C12" s="1041">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594"/>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607"/>
      <c r="B13" s="1439" t="s">
        <v>1696</v>
      </c>
      <c r="C13" s="1440" t="s">
        <v>1697</v>
      </c>
      <c r="D13" s="1083" t="s">
        <v>1698</v>
      </c>
      <c r="E13" s="1083"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594"/>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607"/>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608"/>
      <c r="B15" s="3168" t="s">
        <v>1700</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605" t="s">
        <v>1838</v>
      </c>
      <c r="B16" s="1422" t="s">
        <v>950</v>
      </c>
      <c r="C16" s="1050" t="e">
        <f>ROUND(IF(F17="与级别开发程度一致",0,(G17-E17)/C17),0)</f>
        <v>#DIV/0!</v>
      </c>
      <c r="D16" s="3602" t="s">
        <v>954</v>
      </c>
      <c r="E16" s="3603"/>
      <c r="F16" s="3602" t="s">
        <v>951</v>
      </c>
      <c r="G16" s="3603"/>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609"/>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ROUND(IF(H19="按公示增长率计算",SUMPRODUCT((地价!A3:A27=YEAR(G19)&amp;"-"&amp;ROUNDUP(MONTH(G19)/3,0))*(地价!X2:AB2=E2)*(地价!X3:AB27)),IF(H19="地价指数",M20/M19,(1+I19)^O19)),4)</f>
        <v>0</v>
      </c>
      <c r="D19" s="1461" t="s">
        <v>957</v>
      </c>
      <c r="E19" s="1052">
        <v>41640</v>
      </c>
      <c r="F19" s="1461" t="s">
        <v>958</v>
      </c>
      <c r="G19" s="1053">
        <f>'数据-取费表'!B2</f>
        <v>43698</v>
      </c>
      <c r="H19" s="1462" t="s">
        <v>2994</v>
      </c>
      <c r="I19" s="2739" t="str">
        <f>IF(H19="季度增幅（自定义）",SUMIF(N21:N24,E2,O21:O24),"")</f>
        <v/>
      </c>
      <c r="J19" s="1458"/>
      <c r="K19" s="3148"/>
      <c r="L19" s="2991" t="s">
        <v>2839</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2840</v>
      </c>
      <c r="M20" s="3157">
        <f>ROUND(SUMPRODUCT((地价!A4:A27=YEAR(G19)&amp;"-"&amp;ROUNDUP(MONTH(G19)/3,0))*(地价!B2:F2=E2)*(地价!B4:F27)),0)</f>
        <v>0</v>
      </c>
      <c r="N20" s="2744" t="s">
        <v>2644</v>
      </c>
      <c r="O20" s="2742" t="s">
        <v>2643</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2759</v>
      </c>
      <c r="C21" s="1152">
        <f>IF(B21="容积率修正",IF(G3&lt;=10,D22,J22),C23)</f>
        <v>0</v>
      </c>
      <c r="D21" s="1468"/>
      <c r="E21" s="1468"/>
      <c r="F21" s="1468"/>
      <c r="G21" s="1468"/>
      <c r="H21" s="1468"/>
      <c r="I21" s="1468"/>
      <c r="J21" s="1469"/>
      <c r="K21" s="3148"/>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1"/>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2"/>
      <c r="L24" s="1468"/>
      <c r="M24" s="1468"/>
      <c r="N24" s="1465" t="s">
        <v>981</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2646</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612" t="s">
        <v>2959</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613"/>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613"/>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614"/>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2986</v>
      </c>
      <c r="C41" s="838" t="e">
        <f>ROUND(POWER(1+E41,H41-G41)*(POWER(1+E41,G41)-1)/(POWER(1+E41,H41)-1),4)</f>
        <v>#DIV/0!</v>
      </c>
      <c r="D41" s="377" t="s">
        <v>2984</v>
      </c>
      <c r="E41" s="3145">
        <f>G20</f>
        <v>0</v>
      </c>
      <c r="F41" s="377" t="s">
        <v>2985</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71" t="s">
        <v>1009</v>
      </c>
      <c r="C46" s="2393" t="s">
        <v>1010</v>
      </c>
      <c r="D46" s="2394" t="s">
        <v>1011</v>
      </c>
      <c r="E46" s="2395" t="s">
        <v>1013</v>
      </c>
      <c r="F46" s="2396" t="s">
        <v>2250</v>
      </c>
      <c r="G46" s="2394" t="s">
        <v>1014</v>
      </c>
      <c r="H46" s="2377" t="s">
        <v>2417</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8" t="s">
        <v>2936</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7" t="s">
        <v>2935</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71"/>
      <c r="C57" s="2393" t="s">
        <v>1010</v>
      </c>
      <c r="D57" s="2394" t="s">
        <v>1011</v>
      </c>
      <c r="E57" s="2395" t="s">
        <v>1013</v>
      </c>
      <c r="F57" s="2396" t="s">
        <v>2251</v>
      </c>
      <c r="G57" s="2394" t="s">
        <v>1014</v>
      </c>
      <c r="H57" s="2377" t="s">
        <v>2417</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8" t="s">
        <v>2937</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7" t="s">
        <v>2935</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71"/>
      <c r="C68" s="2393" t="s">
        <v>1010</v>
      </c>
      <c r="D68" s="2394" t="s">
        <v>1011</v>
      </c>
      <c r="E68" s="2395" t="s">
        <v>1013</v>
      </c>
      <c r="F68" s="2396" t="s">
        <v>2252</v>
      </c>
      <c r="G68" s="2394" t="s">
        <v>1014</v>
      </c>
      <c r="H68" s="2377" t="s">
        <v>2417</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7" t="s">
        <v>2935</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1008</v>
      </c>
      <c r="B79" s="2371"/>
      <c r="C79" s="2393" t="s">
        <v>1010</v>
      </c>
      <c r="D79" s="2394" t="s">
        <v>1011</v>
      </c>
      <c r="E79" s="2395" t="s">
        <v>1013</v>
      </c>
      <c r="F79" s="2396" t="s">
        <v>2253</v>
      </c>
      <c r="G79" s="2394" t="s">
        <v>1014</v>
      </c>
      <c r="H79" s="2377" t="s">
        <v>2417</v>
      </c>
      <c r="I79" s="2394" t="s">
        <v>1012</v>
      </c>
      <c r="J79" s="2397" t="s">
        <v>1015</v>
      </c>
      <c r="K79" s="2397" t="s">
        <v>1016</v>
      </c>
      <c r="L79" s="2397" t="s">
        <v>1017</v>
      </c>
      <c r="M79" s="2397" t="s">
        <v>1018</v>
      </c>
      <c r="N79" s="2397" t="s">
        <v>1019</v>
      </c>
      <c r="AC79" s="1400"/>
      <c r="AD79" s="1399"/>
      <c r="AJ79" s="1398"/>
      <c r="AN79" s="1399"/>
    </row>
    <row r="80" spans="1:40" ht="36">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1025</v>
      </c>
      <c r="B86" s="3047" t="s">
        <v>2935</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610" t="s">
        <v>1633</v>
      </c>
      <c r="B90" s="3610"/>
      <c r="C90" s="3610"/>
      <c r="D90" s="3610"/>
      <c r="E90" s="3610"/>
      <c r="F90" s="3610"/>
      <c r="G90" s="3610"/>
      <c r="H90" s="3610"/>
      <c r="I90" s="3610"/>
      <c r="J90" s="3610"/>
      <c r="K90" s="2413"/>
      <c r="L90" s="2413"/>
      <c r="M90" s="2413"/>
      <c r="N90" s="2413"/>
    </row>
    <row r="91" spans="1:40">
      <c r="A91" s="3611" t="s">
        <v>1443</v>
      </c>
      <c r="B91" s="3611" t="s">
        <v>1634</v>
      </c>
      <c r="C91" s="1134" t="s">
        <v>1635</v>
      </c>
      <c r="D91" s="1135"/>
      <c r="E91" s="1135"/>
      <c r="F91" s="1135"/>
      <c r="G91" s="1135"/>
      <c r="H91" s="1135"/>
      <c r="I91" s="1135"/>
      <c r="J91" s="1136"/>
      <c r="K91" s="1128"/>
      <c r="L91" s="1128"/>
      <c r="M91" s="1128"/>
      <c r="N91" s="1128"/>
    </row>
    <row r="92" spans="1:40">
      <c r="A92" s="3611"/>
      <c r="B92" s="361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97"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9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9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9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9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9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98"/>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9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97"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598"/>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598"/>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598"/>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598"/>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598"/>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598"/>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598"/>
      <c r="B108" s="3600"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99"/>
      <c r="B109" s="3601"/>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604" t="s">
        <v>1639</v>
      </c>
      <c r="B110" s="3604"/>
      <c r="C110" s="3604"/>
      <c r="D110" s="3604"/>
      <c r="E110" s="3604"/>
      <c r="F110" s="3604"/>
      <c r="G110" s="3604"/>
      <c r="H110" s="3604"/>
      <c r="I110" s="3604"/>
      <c r="J110" s="3604"/>
      <c r="K110" s="2411"/>
      <c r="L110" s="2411"/>
      <c r="M110" s="2411"/>
      <c r="N110" s="2411"/>
    </row>
    <row r="112" spans="1:14" ht="12.75" thickBot="1"/>
    <row r="113" spans="1:13" ht="25.5"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611" t="s">
        <v>1007</v>
      </c>
      <c r="B18" s="1148" t="s">
        <v>1446</v>
      </c>
      <c r="C18" s="1125" t="s">
        <v>1447</v>
      </c>
      <c r="D18" s="1126"/>
      <c r="E18" s="1148">
        <v>1</v>
      </c>
      <c r="F18" s="1127" t="s">
        <v>1448</v>
      </c>
      <c r="G18" s="1128"/>
      <c r="H18" s="1099"/>
      <c r="I18" s="1099"/>
    </row>
    <row r="19" spans="1:9" s="1583" customFormat="1" ht="19.5" customHeight="1">
      <c r="A19" s="3611"/>
      <c r="B19" s="3611" t="s">
        <v>1449</v>
      </c>
      <c r="C19" s="1125" t="s">
        <v>1450</v>
      </c>
      <c r="D19" s="1126"/>
      <c r="E19" s="1148">
        <v>0.9</v>
      </c>
      <c r="F19" s="1127" t="s">
        <v>1451</v>
      </c>
      <c r="G19" s="1128"/>
      <c r="H19" s="1099"/>
      <c r="I19" s="1099"/>
    </row>
    <row r="20" spans="1:9" s="1583" customFormat="1" ht="19.5" customHeight="1">
      <c r="A20" s="3611"/>
      <c r="B20" s="3611"/>
      <c r="C20" s="1125" t="s">
        <v>1452</v>
      </c>
      <c r="D20" s="1126"/>
      <c r="E20" s="1148">
        <v>1.1000000000000001</v>
      </c>
      <c r="F20" s="1127" t="s">
        <v>1453</v>
      </c>
      <c r="G20" s="1128"/>
      <c r="H20" s="1099"/>
      <c r="I20" s="1099"/>
    </row>
    <row r="21" spans="1:9" s="1583" customFormat="1" ht="19.5" customHeight="1">
      <c r="A21" s="3611"/>
      <c r="B21" s="3611"/>
      <c r="C21" s="1125" t="s">
        <v>1454</v>
      </c>
      <c r="D21" s="1126"/>
      <c r="E21" s="1148">
        <v>0.8</v>
      </c>
      <c r="F21" s="1127" t="s">
        <v>1455</v>
      </c>
      <c r="G21" s="1128"/>
      <c r="H21" s="1099"/>
      <c r="I21" s="1099"/>
    </row>
    <row r="22" spans="1:9" s="1583" customFormat="1" ht="19.5" customHeight="1">
      <c r="A22" s="3611"/>
      <c r="B22" s="3611"/>
      <c r="C22" s="1125" t="s">
        <v>1456</v>
      </c>
      <c r="D22" s="1126"/>
      <c r="E22" s="1148">
        <v>0.5</v>
      </c>
      <c r="F22" s="1127"/>
      <c r="G22" s="1128"/>
      <c r="H22" s="1099"/>
      <c r="I22" s="1099"/>
    </row>
    <row r="23" spans="1:9" s="1583" customFormat="1" ht="19.5" customHeight="1">
      <c r="A23" s="3611" t="s">
        <v>1029</v>
      </c>
      <c r="B23" s="1148" t="s">
        <v>1446</v>
      </c>
      <c r="C23" s="1125" t="s">
        <v>1457</v>
      </c>
      <c r="D23" s="1126"/>
      <c r="E23" s="1148">
        <v>1</v>
      </c>
      <c r="F23" s="1127" t="s">
        <v>1458</v>
      </c>
      <c r="G23" s="1128"/>
      <c r="H23" s="1099"/>
      <c r="I23" s="1099"/>
    </row>
    <row r="24" spans="1:9" s="1583" customFormat="1" ht="19.5" customHeight="1">
      <c r="A24" s="3611"/>
      <c r="B24" s="3611" t="s">
        <v>1449</v>
      </c>
      <c r="C24" s="1125" t="s">
        <v>1459</v>
      </c>
      <c r="D24" s="1126"/>
      <c r="E24" s="1148">
        <v>0.5</v>
      </c>
      <c r="F24" s="1127"/>
      <c r="G24" s="1128"/>
      <c r="H24" s="1099"/>
      <c r="I24" s="1099"/>
    </row>
    <row r="25" spans="1:9" s="1583" customFormat="1" ht="19.5" customHeight="1">
      <c r="A25" s="3611"/>
      <c r="B25" s="3611"/>
      <c r="C25" s="1125" t="s">
        <v>1460</v>
      </c>
      <c r="D25" s="1126"/>
      <c r="E25" s="1148">
        <v>1.1000000000000001</v>
      </c>
      <c r="F25" s="1127"/>
      <c r="G25" s="1128"/>
      <c r="H25" s="1099"/>
      <c r="I25" s="1099"/>
    </row>
    <row r="26" spans="1:9" s="1583" customFormat="1" ht="19.5" customHeight="1">
      <c r="A26" s="3611"/>
      <c r="B26" s="3611"/>
      <c r="C26" s="1125" t="s">
        <v>1461</v>
      </c>
      <c r="D26" s="1126"/>
      <c r="E26" s="1148">
        <v>1.1000000000000001</v>
      </c>
      <c r="F26" s="1127"/>
      <c r="G26" s="1128"/>
      <c r="H26" s="1099"/>
      <c r="I26" s="1099"/>
    </row>
    <row r="27" spans="1:9" s="1583" customFormat="1" ht="19.5" customHeight="1">
      <c r="A27" s="3611"/>
      <c r="B27" s="3611"/>
      <c r="C27" s="1125" t="s">
        <v>1462</v>
      </c>
      <c r="D27" s="1126"/>
      <c r="E27" s="1148">
        <v>0.9</v>
      </c>
      <c r="F27" s="1127" t="s">
        <v>1463</v>
      </c>
      <c r="G27" s="1128"/>
      <c r="H27" s="1099"/>
      <c r="I27" s="1099"/>
    </row>
    <row r="28" spans="1:9" s="1583" customFormat="1" ht="19.5" customHeight="1">
      <c r="A28" s="3611"/>
      <c r="B28" s="3611"/>
      <c r="C28" s="1125" t="s">
        <v>1464</v>
      </c>
      <c r="D28" s="1126"/>
      <c r="E28" s="1148">
        <v>0.9</v>
      </c>
      <c r="F28" s="1127" t="s">
        <v>1465</v>
      </c>
      <c r="G28" s="1128"/>
      <c r="H28" s="1099"/>
      <c r="I28" s="1099"/>
    </row>
    <row r="29" spans="1:9" s="1583" customFormat="1" ht="19.5" customHeight="1">
      <c r="A29" s="3611"/>
      <c r="B29" s="3611"/>
      <c r="C29" s="1125" t="s">
        <v>1466</v>
      </c>
      <c r="D29" s="1126"/>
      <c r="E29" s="1148">
        <v>0.9</v>
      </c>
      <c r="F29" s="1127" t="s">
        <v>1467</v>
      </c>
      <c r="G29" s="1128"/>
      <c r="H29" s="1099"/>
      <c r="I29" s="1099"/>
    </row>
    <row r="30" spans="1:9" s="1583" customFormat="1" ht="19.5" customHeight="1">
      <c r="A30" s="3611"/>
      <c r="B30" s="3611"/>
      <c r="C30" s="1125" t="s">
        <v>1468</v>
      </c>
      <c r="D30" s="1126"/>
      <c r="E30" s="1148">
        <v>0.9</v>
      </c>
      <c r="F30" s="1127" t="s">
        <v>1469</v>
      </c>
      <c r="G30" s="1128"/>
      <c r="H30" s="1099"/>
      <c r="I30" s="1099"/>
    </row>
    <row r="31" spans="1:9" s="1583" customFormat="1" ht="19.5" customHeight="1">
      <c r="A31" s="3611"/>
      <c r="B31" s="3611"/>
      <c r="C31" s="1125" t="s">
        <v>1470</v>
      </c>
      <c r="D31" s="1126"/>
      <c r="E31" s="1148">
        <v>0.8</v>
      </c>
      <c r="F31" s="1127" t="s">
        <v>1471</v>
      </c>
      <c r="G31" s="1128"/>
      <c r="H31" s="1099"/>
      <c r="I31" s="1099"/>
    </row>
    <row r="32" spans="1:9" s="1583" customFormat="1" ht="19.5" customHeight="1">
      <c r="A32" s="3611"/>
      <c r="B32" s="3611"/>
      <c r="C32" s="1125" t="s">
        <v>1472</v>
      </c>
      <c r="D32" s="1126"/>
      <c r="E32" s="1148">
        <v>0.8</v>
      </c>
      <c r="F32" s="1127" t="s">
        <v>1473</v>
      </c>
      <c r="G32" s="1128"/>
      <c r="H32" s="1099"/>
      <c r="I32" s="1099"/>
    </row>
    <row r="33" spans="1:9" s="1583" customFormat="1" ht="19.5" customHeight="1">
      <c r="A33" s="3611" t="s">
        <v>1474</v>
      </c>
      <c r="B33" s="1148" t="s">
        <v>1446</v>
      </c>
      <c r="C33" s="1125" t="s">
        <v>1475</v>
      </c>
      <c r="D33" s="1126"/>
      <c r="E33" s="1148">
        <v>1</v>
      </c>
      <c r="F33" s="1127" t="s">
        <v>1476</v>
      </c>
      <c r="G33" s="1128"/>
      <c r="H33" s="1099"/>
      <c r="I33" s="1099"/>
    </row>
    <row r="34" spans="1:9" s="1583" customFormat="1" ht="19.5" customHeight="1">
      <c r="A34" s="3611"/>
      <c r="B34" s="1148" t="s">
        <v>1449</v>
      </c>
      <c r="C34" s="1125" t="s">
        <v>1477</v>
      </c>
      <c r="D34" s="1126"/>
      <c r="E34" s="1148">
        <v>1.5</v>
      </c>
      <c r="F34" s="1127" t="s">
        <v>1478</v>
      </c>
      <c r="G34" s="1128"/>
      <c r="H34" s="1099"/>
      <c r="I34" s="1099"/>
    </row>
    <row r="35" spans="1:9" s="1583" customFormat="1" ht="19.5" customHeight="1">
      <c r="A35" s="3611" t="s">
        <v>1432</v>
      </c>
      <c r="B35" s="1148" t="s">
        <v>1446</v>
      </c>
      <c r="C35" s="1125" t="s">
        <v>1479</v>
      </c>
      <c r="D35" s="1126"/>
      <c r="E35" s="1148">
        <v>1</v>
      </c>
      <c r="F35" s="1127" t="s">
        <v>1480</v>
      </c>
      <c r="G35" s="1128"/>
      <c r="H35" s="1099"/>
      <c r="I35" s="1099"/>
    </row>
    <row r="36" spans="1:9" s="1583" customFormat="1" ht="19.5" customHeight="1">
      <c r="A36" s="3611"/>
      <c r="B36" s="3611" t="s">
        <v>1449</v>
      </c>
      <c r="C36" s="1125" t="s">
        <v>1481</v>
      </c>
      <c r="D36" s="1126"/>
      <c r="E36" s="1148">
        <v>1</v>
      </c>
      <c r="F36" s="1127" t="s">
        <v>1482</v>
      </c>
      <c r="G36" s="1128"/>
      <c r="H36" s="1099"/>
      <c r="I36" s="1099"/>
    </row>
    <row r="37" spans="1:9" s="1583" customFormat="1" ht="19.5" customHeight="1">
      <c r="A37" s="3611"/>
      <c r="B37" s="3611"/>
      <c r="C37" s="1125" t="s">
        <v>1483</v>
      </c>
      <c r="D37" s="1126"/>
      <c r="E37" s="1148">
        <v>1.5</v>
      </c>
      <c r="F37" s="1127" t="s">
        <v>1484</v>
      </c>
      <c r="G37" s="1128"/>
      <c r="H37" s="1099"/>
      <c r="I37" s="1099"/>
    </row>
    <row r="38" spans="1:9" s="1583" customFormat="1" ht="19.5" customHeight="1">
      <c r="A38" s="3611"/>
      <c r="B38" s="3611"/>
      <c r="C38" s="1125" t="s">
        <v>1485</v>
      </c>
      <c r="D38" s="1126"/>
      <c r="E38" s="1148">
        <v>1</v>
      </c>
      <c r="F38" s="1127" t="s">
        <v>1486</v>
      </c>
      <c r="G38" s="1128"/>
      <c r="H38" s="1099"/>
      <c r="I38" s="1099"/>
    </row>
    <row r="39" spans="1:9" s="1583" customFormat="1" ht="19.5" customHeight="1">
      <c r="A39" s="3611"/>
      <c r="B39" s="3611"/>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611" t="s">
        <v>1501</v>
      </c>
      <c r="C61" s="1062" t="s">
        <v>1502</v>
      </c>
      <c r="D61" s="1062" t="s">
        <v>1503</v>
      </c>
      <c r="E61" s="1133">
        <v>0.5</v>
      </c>
      <c r="F61" s="1148">
        <v>80</v>
      </c>
      <c r="H61" s="1099">
        <f>SUMIF(C59:C119,基准地价!C8,E59:E119)</f>
        <v>0</v>
      </c>
    </row>
    <row r="62" spans="1:8" s="1099" customFormat="1" ht="24">
      <c r="A62" s="1148">
        <v>2</v>
      </c>
      <c r="B62" s="3611"/>
      <c r="C62" s="1062" t="s">
        <v>1504</v>
      </c>
      <c r="D62" s="1062" t="s">
        <v>1505</v>
      </c>
      <c r="E62" s="1133">
        <v>0.5</v>
      </c>
      <c r="F62" s="1148">
        <v>80</v>
      </c>
    </row>
    <row r="63" spans="1:8" s="1099" customFormat="1" ht="36">
      <c r="A63" s="1148">
        <v>3</v>
      </c>
      <c r="B63" s="3611"/>
      <c r="C63" s="1062" t="s">
        <v>1506</v>
      </c>
      <c r="D63" s="1062" t="s">
        <v>1507</v>
      </c>
      <c r="E63" s="1133">
        <v>0.5</v>
      </c>
      <c r="F63" s="1148">
        <v>80</v>
      </c>
    </row>
    <row r="64" spans="1:8" s="1099" customFormat="1" ht="36">
      <c r="A64" s="1148">
        <v>4</v>
      </c>
      <c r="B64" s="3611"/>
      <c r="C64" s="1062" t="s">
        <v>1508</v>
      </c>
      <c r="D64" s="1062" t="s">
        <v>1509</v>
      </c>
      <c r="E64" s="1133">
        <v>0.4</v>
      </c>
      <c r="F64" s="1148">
        <v>60</v>
      </c>
    </row>
    <row r="65" spans="1:6" s="1099" customFormat="1" ht="36">
      <c r="A65" s="1148">
        <v>5</v>
      </c>
      <c r="B65" s="3611"/>
      <c r="C65" s="1062" t="s">
        <v>1510</v>
      </c>
      <c r="D65" s="1062" t="s">
        <v>1511</v>
      </c>
      <c r="E65" s="1133">
        <v>0.2</v>
      </c>
      <c r="F65" s="1148">
        <v>30</v>
      </c>
    </row>
    <row r="66" spans="1:6" s="1099" customFormat="1" ht="36">
      <c r="A66" s="1148">
        <v>6</v>
      </c>
      <c r="B66" s="3611"/>
      <c r="C66" s="1062" t="s">
        <v>1512</v>
      </c>
      <c r="D66" s="1062" t="s">
        <v>1513</v>
      </c>
      <c r="E66" s="1133">
        <v>0.3</v>
      </c>
      <c r="F66" s="1148">
        <v>50</v>
      </c>
    </row>
    <row r="67" spans="1:6" s="1099" customFormat="1" ht="36">
      <c r="A67" s="1148">
        <v>7</v>
      </c>
      <c r="B67" s="3611"/>
      <c r="C67" s="1062" t="s">
        <v>1514</v>
      </c>
      <c r="D67" s="1062" t="s">
        <v>1515</v>
      </c>
      <c r="E67" s="1133">
        <v>0.2</v>
      </c>
      <c r="F67" s="1148">
        <v>30</v>
      </c>
    </row>
    <row r="68" spans="1:6" s="1099" customFormat="1" ht="36">
      <c r="A68" s="1148">
        <v>8</v>
      </c>
      <c r="B68" s="3611"/>
      <c r="C68" s="1062" t="s">
        <v>1516</v>
      </c>
      <c r="D68" s="1062" t="s">
        <v>1517</v>
      </c>
      <c r="E68" s="1133">
        <v>0.2</v>
      </c>
      <c r="F68" s="1148">
        <v>30</v>
      </c>
    </row>
    <row r="69" spans="1:6" s="1099" customFormat="1" ht="36">
      <c r="A69" s="1148">
        <v>9</v>
      </c>
      <c r="B69" s="3611"/>
      <c r="C69" s="1062" t="s">
        <v>1518</v>
      </c>
      <c r="D69" s="1062" t="s">
        <v>1519</v>
      </c>
      <c r="E69" s="1133">
        <v>0.2</v>
      </c>
      <c r="F69" s="1148">
        <v>30</v>
      </c>
    </row>
    <row r="70" spans="1:6" s="1099" customFormat="1" ht="48">
      <c r="A70" s="1148">
        <v>10</v>
      </c>
      <c r="B70" s="3611"/>
      <c r="C70" s="1062" t="s">
        <v>1520</v>
      </c>
      <c r="D70" s="1062" t="s">
        <v>1521</v>
      </c>
      <c r="E70" s="1133">
        <v>0.2</v>
      </c>
      <c r="F70" s="1148">
        <v>30</v>
      </c>
    </row>
    <row r="71" spans="1:6" s="1099" customFormat="1" ht="48">
      <c r="A71" s="1148">
        <v>11</v>
      </c>
      <c r="B71" s="3611"/>
      <c r="C71" s="1062" t="s">
        <v>1522</v>
      </c>
      <c r="D71" s="1062" t="s">
        <v>1523</v>
      </c>
      <c r="E71" s="1133">
        <v>0.2</v>
      </c>
      <c r="F71" s="1148">
        <v>30</v>
      </c>
    </row>
    <row r="72" spans="1:6" s="1099" customFormat="1" ht="36">
      <c r="A72" s="1148">
        <v>12</v>
      </c>
      <c r="B72" s="3611"/>
      <c r="C72" s="1062" t="s">
        <v>1524</v>
      </c>
      <c r="D72" s="1062" t="s">
        <v>1525</v>
      </c>
      <c r="E72" s="1133">
        <v>0.5</v>
      </c>
      <c r="F72" s="1148">
        <v>80</v>
      </c>
    </row>
    <row r="73" spans="1:6" s="1099" customFormat="1" ht="24">
      <c r="A73" s="1148">
        <v>13</v>
      </c>
      <c r="B73" s="3611"/>
      <c r="C73" s="1062" t="s">
        <v>1526</v>
      </c>
      <c r="D73" s="1062" t="s">
        <v>1527</v>
      </c>
      <c r="E73" s="1133">
        <v>0.4</v>
      </c>
      <c r="F73" s="1148">
        <v>60</v>
      </c>
    </row>
    <row r="74" spans="1:6" s="1099" customFormat="1" ht="24">
      <c r="A74" s="1148">
        <v>14</v>
      </c>
      <c r="B74" s="3611"/>
      <c r="C74" s="1062" t="s">
        <v>1528</v>
      </c>
      <c r="D74" s="1062" t="s">
        <v>1529</v>
      </c>
      <c r="E74" s="1133">
        <v>0.2</v>
      </c>
      <c r="F74" s="1148">
        <v>30</v>
      </c>
    </row>
    <row r="75" spans="1:6" s="1099" customFormat="1" ht="24">
      <c r="A75" s="1148">
        <v>15</v>
      </c>
      <c r="B75" s="3611"/>
      <c r="C75" s="1062" t="s">
        <v>1530</v>
      </c>
      <c r="D75" s="1062" t="s">
        <v>1531</v>
      </c>
      <c r="E75" s="1133">
        <v>0.2</v>
      </c>
      <c r="F75" s="1148">
        <v>30</v>
      </c>
    </row>
    <row r="76" spans="1:6" s="1099" customFormat="1" ht="24">
      <c r="A76" s="1148">
        <v>16</v>
      </c>
      <c r="B76" s="3611" t="s">
        <v>1532</v>
      </c>
      <c r="C76" s="1062" t="s">
        <v>1533</v>
      </c>
      <c r="D76" s="1062" t="s">
        <v>1534</v>
      </c>
      <c r="E76" s="1133">
        <v>0.5</v>
      </c>
      <c r="F76" s="1148">
        <v>80</v>
      </c>
    </row>
    <row r="77" spans="1:6" s="1099" customFormat="1" ht="24">
      <c r="A77" s="1148">
        <v>17</v>
      </c>
      <c r="B77" s="3611"/>
      <c r="C77" s="1062" t="s">
        <v>1535</v>
      </c>
      <c r="D77" s="1062" t="s">
        <v>1536</v>
      </c>
      <c r="E77" s="1133">
        <v>0.5</v>
      </c>
      <c r="F77" s="1148">
        <v>80</v>
      </c>
    </row>
    <row r="78" spans="1:6" s="1099" customFormat="1" ht="24">
      <c r="A78" s="1148">
        <v>18</v>
      </c>
      <c r="B78" s="3611"/>
      <c r="C78" s="1062" t="s">
        <v>1537</v>
      </c>
      <c r="D78" s="1062" t="s">
        <v>1538</v>
      </c>
      <c r="E78" s="1133">
        <v>0.2</v>
      </c>
      <c r="F78" s="1148">
        <v>30</v>
      </c>
    </row>
    <row r="79" spans="1:6" s="1099" customFormat="1" ht="24">
      <c r="A79" s="1148">
        <v>19</v>
      </c>
      <c r="B79" s="3611"/>
      <c r="C79" s="1062" t="s">
        <v>1539</v>
      </c>
      <c r="D79" s="1062" t="s">
        <v>1540</v>
      </c>
      <c r="E79" s="1133">
        <v>0.5</v>
      </c>
      <c r="F79" s="1148">
        <v>80</v>
      </c>
    </row>
    <row r="80" spans="1:6" s="1099" customFormat="1" ht="36">
      <c r="A80" s="1148">
        <v>20</v>
      </c>
      <c r="B80" s="3611"/>
      <c r="C80" s="1062" t="s">
        <v>1541</v>
      </c>
      <c r="D80" s="1062" t="s">
        <v>1542</v>
      </c>
      <c r="E80" s="1133">
        <v>0.2</v>
      </c>
      <c r="F80" s="1148">
        <v>30</v>
      </c>
    </row>
    <row r="81" spans="1:6" s="1099" customFormat="1" ht="36">
      <c r="A81" s="1148">
        <v>21</v>
      </c>
      <c r="B81" s="3611"/>
      <c r="C81" s="1062" t="s">
        <v>1543</v>
      </c>
      <c r="D81" s="1062" t="s">
        <v>1544</v>
      </c>
      <c r="E81" s="1133">
        <v>0.2</v>
      </c>
      <c r="F81" s="1148">
        <v>30</v>
      </c>
    </row>
    <row r="82" spans="1:6" s="1099" customFormat="1" ht="48">
      <c r="A82" s="1148">
        <v>22</v>
      </c>
      <c r="B82" s="3611"/>
      <c r="C82" s="1062" t="s">
        <v>1545</v>
      </c>
      <c r="D82" s="1062" t="s">
        <v>1546</v>
      </c>
      <c r="E82" s="1133">
        <v>0.2</v>
      </c>
      <c r="F82" s="1148">
        <v>30</v>
      </c>
    </row>
    <row r="83" spans="1:6" s="1099" customFormat="1" ht="48">
      <c r="A83" s="1148">
        <v>23</v>
      </c>
      <c r="B83" s="3611"/>
      <c r="C83" s="1062" t="s">
        <v>1547</v>
      </c>
      <c r="D83" s="1062" t="s">
        <v>1548</v>
      </c>
      <c r="E83" s="1133">
        <v>0.2</v>
      </c>
      <c r="F83" s="1148">
        <v>30</v>
      </c>
    </row>
    <row r="84" spans="1:6" s="1099" customFormat="1" ht="36">
      <c r="A84" s="1148">
        <v>24</v>
      </c>
      <c r="B84" s="3611"/>
      <c r="C84" s="1062" t="s">
        <v>1549</v>
      </c>
      <c r="D84" s="1062" t="s">
        <v>1550</v>
      </c>
      <c r="E84" s="1133">
        <v>0.2</v>
      </c>
      <c r="F84" s="1148">
        <v>30</v>
      </c>
    </row>
    <row r="85" spans="1:6" s="1099" customFormat="1" ht="36">
      <c r="A85" s="1148">
        <v>25</v>
      </c>
      <c r="B85" s="3611"/>
      <c r="C85" s="1062" t="s">
        <v>1551</v>
      </c>
      <c r="D85" s="1062" t="s">
        <v>1552</v>
      </c>
      <c r="E85" s="1133">
        <v>0.5</v>
      </c>
      <c r="F85" s="1148">
        <v>80</v>
      </c>
    </row>
    <row r="86" spans="1:6" s="1099" customFormat="1" ht="36">
      <c r="A86" s="1148">
        <v>26</v>
      </c>
      <c r="B86" s="3611"/>
      <c r="C86" s="1062" t="s">
        <v>1553</v>
      </c>
      <c r="D86" s="1062" t="s">
        <v>1554</v>
      </c>
      <c r="E86" s="1133">
        <v>0.2</v>
      </c>
      <c r="F86" s="1148">
        <v>30</v>
      </c>
    </row>
    <row r="87" spans="1:6" s="1099" customFormat="1" ht="36">
      <c r="A87" s="1148">
        <v>27</v>
      </c>
      <c r="B87" s="3611"/>
      <c r="C87" s="1062" t="s">
        <v>1555</v>
      </c>
      <c r="D87" s="1062" t="s">
        <v>1556</v>
      </c>
      <c r="E87" s="1133">
        <v>0.2</v>
      </c>
      <c r="F87" s="1148">
        <v>30</v>
      </c>
    </row>
    <row r="88" spans="1:6" s="1099" customFormat="1" ht="36">
      <c r="A88" s="1148">
        <v>28</v>
      </c>
      <c r="B88" s="3611"/>
      <c r="C88" s="1062" t="s">
        <v>1557</v>
      </c>
      <c r="D88" s="1062" t="s">
        <v>1558</v>
      </c>
      <c r="E88" s="1133">
        <v>0.2</v>
      </c>
      <c r="F88" s="1148">
        <v>30</v>
      </c>
    </row>
    <row r="89" spans="1:6" s="1099" customFormat="1" ht="24">
      <c r="A89" s="1148">
        <v>29</v>
      </c>
      <c r="B89" s="3611"/>
      <c r="C89" s="1062" t="s">
        <v>1559</v>
      </c>
      <c r="D89" s="1062" t="s">
        <v>1560</v>
      </c>
      <c r="E89" s="1133">
        <v>0.2</v>
      </c>
      <c r="F89" s="1148">
        <v>30</v>
      </c>
    </row>
    <row r="90" spans="1:6" s="1099" customFormat="1" ht="24">
      <c r="A90" s="1148">
        <v>30</v>
      </c>
      <c r="B90" s="3611"/>
      <c r="C90" s="1062" t="s">
        <v>1561</v>
      </c>
      <c r="D90" s="1062" t="s">
        <v>1562</v>
      </c>
      <c r="E90" s="1133">
        <v>0.2</v>
      </c>
      <c r="F90" s="1148">
        <v>30</v>
      </c>
    </row>
    <row r="91" spans="1:6" s="1099" customFormat="1" ht="36">
      <c r="A91" s="1148">
        <v>31</v>
      </c>
      <c r="B91" s="3611"/>
      <c r="C91" s="1062" t="s">
        <v>1563</v>
      </c>
      <c r="D91" s="1062" t="s">
        <v>1564</v>
      </c>
      <c r="E91" s="1133">
        <v>0.2</v>
      </c>
      <c r="F91" s="1148">
        <v>30</v>
      </c>
    </row>
    <row r="92" spans="1:6" s="1099" customFormat="1" ht="24">
      <c r="A92" s="1148">
        <v>32</v>
      </c>
      <c r="B92" s="3611" t="s">
        <v>1565</v>
      </c>
      <c r="C92" s="1148" t="s">
        <v>1566</v>
      </c>
      <c r="D92" s="1062" t="s">
        <v>1567</v>
      </c>
      <c r="E92" s="1133">
        <v>0.2</v>
      </c>
      <c r="F92" s="1148">
        <v>30</v>
      </c>
    </row>
    <row r="93" spans="1:6" s="1099" customFormat="1" ht="36">
      <c r="A93" s="1148">
        <v>33</v>
      </c>
      <c r="B93" s="3611"/>
      <c r="C93" s="1148" t="s">
        <v>1568</v>
      </c>
      <c r="D93" s="1062" t="s">
        <v>1569</v>
      </c>
      <c r="E93" s="1133">
        <v>0.2</v>
      </c>
      <c r="F93" s="1148">
        <v>30</v>
      </c>
    </row>
    <row r="94" spans="1:6" s="1099" customFormat="1" ht="48">
      <c r="A94" s="1148">
        <v>34</v>
      </c>
      <c r="B94" s="3611"/>
      <c r="C94" s="1148" t="s">
        <v>1570</v>
      </c>
      <c r="D94" s="1062" t="s">
        <v>1571</v>
      </c>
      <c r="E94" s="1133">
        <v>0.2</v>
      </c>
      <c r="F94" s="1148">
        <v>30</v>
      </c>
    </row>
    <row r="95" spans="1:6" s="1099" customFormat="1" ht="36">
      <c r="A95" s="1148">
        <v>35</v>
      </c>
      <c r="B95" s="3611"/>
      <c r="C95" s="1148" t="s">
        <v>1572</v>
      </c>
      <c r="D95" s="1062" t="s">
        <v>1573</v>
      </c>
      <c r="E95" s="1133">
        <v>0.2</v>
      </c>
      <c r="F95" s="1148">
        <v>30</v>
      </c>
    </row>
    <row r="96" spans="1:6" s="1099" customFormat="1" ht="48">
      <c r="A96" s="1148">
        <v>36</v>
      </c>
      <c r="B96" s="3611"/>
      <c r="C96" s="1062" t="s">
        <v>1574</v>
      </c>
      <c r="D96" s="1062" t="s">
        <v>1575</v>
      </c>
      <c r="E96" s="1133">
        <v>0.2</v>
      </c>
      <c r="F96" s="1148">
        <v>30</v>
      </c>
    </row>
    <row r="97" spans="1:6" s="1099" customFormat="1" ht="36">
      <c r="A97" s="1148">
        <v>37</v>
      </c>
      <c r="B97" s="3611"/>
      <c r="C97" s="1148" t="s">
        <v>1576</v>
      </c>
      <c r="D97" s="1062" t="s">
        <v>1577</v>
      </c>
      <c r="E97" s="1133">
        <v>0.2</v>
      </c>
      <c r="F97" s="1148">
        <v>30</v>
      </c>
    </row>
    <row r="98" spans="1:6" s="1099" customFormat="1" ht="36">
      <c r="A98" s="1148">
        <v>38</v>
      </c>
      <c r="B98" s="3611"/>
      <c r="C98" s="1148" t="s">
        <v>1578</v>
      </c>
      <c r="D98" s="1062" t="s">
        <v>1579</v>
      </c>
      <c r="E98" s="1133">
        <v>0.2</v>
      </c>
      <c r="F98" s="1148">
        <v>30</v>
      </c>
    </row>
    <row r="99" spans="1:6" s="1099" customFormat="1" ht="36">
      <c r="A99" s="1148">
        <v>39</v>
      </c>
      <c r="B99" s="3611" t="s">
        <v>1580</v>
      </c>
      <c r="C99" s="1148" t="s">
        <v>1581</v>
      </c>
      <c r="D99" s="1062" t="s">
        <v>1582</v>
      </c>
      <c r="E99" s="1133">
        <v>0.3</v>
      </c>
      <c r="F99" s="1148">
        <v>50</v>
      </c>
    </row>
    <row r="100" spans="1:6" s="1099" customFormat="1" ht="24">
      <c r="A100" s="1148">
        <v>40</v>
      </c>
      <c r="B100" s="3611"/>
      <c r="C100" s="1148" t="s">
        <v>1583</v>
      </c>
      <c r="D100" s="1062" t="s">
        <v>1584</v>
      </c>
      <c r="E100" s="1133">
        <v>0.2</v>
      </c>
      <c r="F100" s="1148">
        <v>30</v>
      </c>
    </row>
    <row r="101" spans="1:6" s="1099" customFormat="1" ht="36">
      <c r="A101" s="1148">
        <v>41</v>
      </c>
      <c r="B101" s="3611"/>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611" t="s">
        <v>1595</v>
      </c>
      <c r="C105" s="1148" t="s">
        <v>1596</v>
      </c>
      <c r="D105" s="1062" t="s">
        <v>1597</v>
      </c>
      <c r="E105" s="1133">
        <v>0.2</v>
      </c>
      <c r="F105" s="1148">
        <v>30</v>
      </c>
    </row>
    <row r="106" spans="1:6" s="1099" customFormat="1" ht="36">
      <c r="A106" s="1148">
        <v>46</v>
      </c>
      <c r="B106" s="3611"/>
      <c r="C106" s="1148" t="s">
        <v>1598</v>
      </c>
      <c r="D106" s="1062" t="s">
        <v>1599</v>
      </c>
      <c r="E106" s="1133">
        <v>0.2</v>
      </c>
      <c r="F106" s="1148">
        <v>30</v>
      </c>
    </row>
    <row r="107" spans="1:6" s="1099" customFormat="1" ht="36">
      <c r="A107" s="1148">
        <v>47</v>
      </c>
      <c r="B107" s="3611" t="s">
        <v>1600</v>
      </c>
      <c r="C107" s="1148" t="s">
        <v>1601</v>
      </c>
      <c r="D107" s="1062" t="s">
        <v>1602</v>
      </c>
      <c r="E107" s="1133">
        <v>0.3</v>
      </c>
      <c r="F107" s="1148">
        <v>50</v>
      </c>
    </row>
    <row r="108" spans="1:6" s="1099" customFormat="1" ht="36">
      <c r="A108" s="1148">
        <v>48</v>
      </c>
      <c r="B108" s="3611"/>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611" t="s">
        <v>1611</v>
      </c>
      <c r="C111" s="1148" t="s">
        <v>1612</v>
      </c>
      <c r="D111" s="1062" t="s">
        <v>1613</v>
      </c>
      <c r="E111" s="1133">
        <v>0.2</v>
      </c>
      <c r="F111" s="1148">
        <v>30</v>
      </c>
    </row>
    <row r="112" spans="1:6" s="1099" customFormat="1" ht="24">
      <c r="A112" s="1148">
        <v>52</v>
      </c>
      <c r="B112" s="3611"/>
      <c r="C112" s="1148" t="s">
        <v>1614</v>
      </c>
      <c r="D112" s="1062" t="s">
        <v>1615</v>
      </c>
      <c r="E112" s="1133">
        <v>0.2</v>
      </c>
      <c r="F112" s="1148">
        <v>30</v>
      </c>
    </row>
    <row r="113" spans="1:14" s="1099" customFormat="1" ht="24">
      <c r="A113" s="1148">
        <v>53</v>
      </c>
      <c r="B113" s="3611"/>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611" t="s">
        <v>1624</v>
      </c>
      <c r="C116" s="1148" t="s">
        <v>1625</v>
      </c>
      <c r="D116" s="1062" t="s">
        <v>1626</v>
      </c>
      <c r="E116" s="1133">
        <v>0.2</v>
      </c>
      <c r="F116" s="1148">
        <v>30</v>
      </c>
    </row>
    <row r="117" spans="1:14" ht="36">
      <c r="A117" s="1148">
        <v>57</v>
      </c>
      <c r="B117" s="3611"/>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610" t="s">
        <v>1633</v>
      </c>
      <c r="B121" s="3610"/>
      <c r="C121" s="3610"/>
      <c r="D121" s="3610"/>
      <c r="E121" s="3610"/>
      <c r="F121" s="3610"/>
      <c r="G121" s="3610"/>
      <c r="H121" s="3610"/>
      <c r="I121" s="3610"/>
      <c r="J121" s="3610"/>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615" t="s">
        <v>1039</v>
      </c>
      <c r="B1" s="3615"/>
      <c r="C1" s="3615"/>
      <c r="D1" s="3615"/>
      <c r="E1" s="3615"/>
      <c r="F1" s="3615"/>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616" t="s">
        <v>1052</v>
      </c>
      <c r="B2" s="3616"/>
      <c r="C2" s="3616"/>
      <c r="D2" s="3616"/>
      <c r="E2" s="3616"/>
      <c r="F2" s="3616"/>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617"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618"/>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2421</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2422</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受贵公司委托，我公司对天津市滨海高新区滨海科技园（宗地编号：津滨高（挂）2019-1号）一宗城镇住宅、商服用地出让国有建设用地使用权抵押价格进行了预评估。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国能生活服务有限责任公司使用的、位于天津市滨海高新区滨海科技园（宗地编号：津滨高（挂）2019-1号）一宗城镇住宅、商服用地出让国有建设用地使用权。根据《国有土地使用证》[]，估价对象（分摊）出让国有建设用地使用权面积为72391.8平方米。根据《建设工程规划许可证》[]、《出让合同》[]，估价对象规划建筑面积为187743.54平方米。</v>
      </c>
    </row>
    <row r="7" spans="1:4" ht="56.25">
      <c r="A7" s="1779" t="s">
        <v>2745</v>
      </c>
    </row>
    <row r="8" spans="1:4" ht="18.75">
      <c r="A8" s="1778" t="s">
        <v>1906</v>
      </c>
    </row>
    <row r="9" spans="1:4" ht="112.5">
      <c r="A9" s="1780" t="str">
        <f>IF(项目基本情况!B8="抵押",IF(项目基本情况!B5=项目基本情况!B6,定义!C51,定义!B51),定义!D51)</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2019年8月21日</v>
      </c>
    </row>
    <row r="12" spans="1:4" ht="18.75">
      <c r="A12" s="1781" t="s">
        <v>2025</v>
      </c>
    </row>
    <row r="13" spans="1:4" ht="18.75">
      <c r="A13" s="1775" t="s">
        <v>2940</v>
      </c>
    </row>
    <row r="14" spans="1:4" ht="37.5">
      <c r="A14" s="1775" t="str">
        <f>"根据"&amp;项目基本情况!F12&amp;"，本次评估估价对象证载（地类）用途为"&amp;项目基本情况!B12&amp;"。"</f>
        <v>根据《国有土地使用证》[]，本次评估估价对象证载（地类）用途为城镇住宅、商服用地。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本次评估设定用途即为证载用途城镇住宅、商服用地。</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根据《国有土地使用证》[]，估价对象（分摊）出让国有建设用地使用权面积为72391.8平方米。根据《建设工程规划许可证》[]、《出让合同》[]，估价对象规划建筑面积为187743.54平方米。</v>
      </c>
    </row>
    <row r="21" spans="1:1" ht="18.75">
      <c r="A21" s="1775" t="s">
        <v>2074</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本次估价对象为出让国有建设用地使用权，《国有土地使用证》[]证载土地终止日期为住宅2089年8月20日、商业2059年8月20日地下车库2069年8月20日。截至估价期日，出让国有建设用地使用权剩余土地使用年限为。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619" t="s">
        <v>2079</v>
      </c>
      <c r="B1" s="3619"/>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627" t="s">
        <v>2575</v>
      </c>
      <c r="C1" s="3627"/>
      <c r="D1" s="3627"/>
      <c r="E1" s="3627"/>
      <c r="F1" s="3627"/>
      <c r="G1" s="3626" t="s">
        <v>2576</v>
      </c>
      <c r="H1" s="3626"/>
      <c r="I1" s="3626"/>
      <c r="J1" s="3626"/>
      <c r="K1" s="3626"/>
      <c r="L1" s="3626"/>
      <c r="N1" s="3626" t="s">
        <v>2577</v>
      </c>
      <c r="O1" s="3626"/>
      <c r="P1" s="3626"/>
      <c r="Q1" s="3626"/>
      <c r="R1" s="2617"/>
      <c r="S1" s="3626" t="s">
        <v>2578</v>
      </c>
      <c r="T1" s="3626"/>
      <c r="U1" s="3626"/>
      <c r="V1" s="3626"/>
      <c r="X1" s="3625" t="s">
        <v>2638</v>
      </c>
      <c r="Y1" s="3626"/>
      <c r="Z1" s="3626"/>
      <c r="AA1" s="3626"/>
      <c r="AB1" s="3626"/>
      <c r="AD1" s="3625" t="s">
        <v>2642</v>
      </c>
      <c r="AE1" s="3626"/>
      <c r="AF1" s="3626"/>
      <c r="AG1" s="3626"/>
      <c r="AH1" s="3626"/>
    </row>
    <row r="2" spans="1:34" s="2718" customFormat="1" ht="14.25" thickBot="1">
      <c r="B2" s="2726" t="s">
        <v>2579</v>
      </c>
      <c r="C2" s="2726" t="s">
        <v>2640</v>
      </c>
      <c r="D2" s="2719" t="s">
        <v>1644</v>
      </c>
      <c r="E2" s="2719" t="s">
        <v>1949</v>
      </c>
      <c r="F2" s="2726" t="s">
        <v>2641</v>
      </c>
      <c r="G2" s="2722"/>
      <c r="H2" s="2721"/>
      <c r="I2" s="2726" t="s">
        <v>2954</v>
      </c>
      <c r="J2" s="2719" t="s">
        <v>2956</v>
      </c>
      <c r="K2" s="2719" t="s">
        <v>2957</v>
      </c>
      <c r="L2" s="2726" t="s">
        <v>2958</v>
      </c>
      <c r="N2" s="2726" t="s">
        <v>2579</v>
      </c>
      <c r="O2" s="2719" t="s">
        <v>2955</v>
      </c>
      <c r="P2" s="2719" t="s">
        <v>1949</v>
      </c>
      <c r="Q2" s="2726" t="s">
        <v>2641</v>
      </c>
      <c r="R2" s="2720"/>
      <c r="S2" s="2726" t="s">
        <v>2579</v>
      </c>
      <c r="T2" s="2719" t="s">
        <v>2955</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7">
        <v>1.53</v>
      </c>
      <c r="J6" s="3187">
        <v>1.01</v>
      </c>
      <c r="K6" s="3187">
        <v>1.62</v>
      </c>
      <c r="L6" s="3188">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621">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621"/>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621"/>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622"/>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620">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621"/>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3621"/>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3622"/>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620">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621"/>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621"/>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624"/>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3623">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621"/>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621"/>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624"/>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3623">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621"/>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621"/>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624"/>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2582</v>
      </c>
      <c r="B28" s="2623">
        <v>299</v>
      </c>
      <c r="C28" s="2623">
        <v>252</v>
      </c>
      <c r="D28" s="2623">
        <f t="shared" si="87"/>
        <v>252</v>
      </c>
      <c r="E28" s="2623">
        <v>409</v>
      </c>
      <c r="F28" s="2624">
        <v>227</v>
      </c>
      <c r="G28" s="3628">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629"/>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3629"/>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3630"/>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3623">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3621"/>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3621"/>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3624"/>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3623">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621">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3621">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3624">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3623">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621">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3621">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3624">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3623">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621">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3621">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3624">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3623">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621">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3621">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3624">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3623">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621">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3621">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3624">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3623">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621">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3621">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3624">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3623">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621">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3621">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3624">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3623">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621">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3621">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3624">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3623">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3621">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3621">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3624">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3623">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3621">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3621">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3624">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5"/>
      <c r="C5" s="1865"/>
      <c r="D5" s="1865"/>
      <c r="E5" s="1865"/>
      <c r="F5" s="3056"/>
    </row>
    <row r="6" spans="1:6" ht="28.5">
      <c r="A6" s="3060" t="s">
        <v>2948</v>
      </c>
      <c r="B6" s="3057" t="s">
        <v>2945</v>
      </c>
      <c r="C6" s="3058"/>
      <c r="D6" s="1865"/>
      <c r="E6" s="3057" t="s">
        <v>2946</v>
      </c>
      <c r="F6" s="3057" t="s">
        <v>2950</v>
      </c>
    </row>
    <row r="7" spans="1:6" ht="14.25">
      <c r="A7" s="259"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2943</v>
      </c>
      <c r="D9" s="1865"/>
      <c r="E9" s="3062" t="e">
        <f t="shared" ca="1" si="1"/>
        <v>#REF!</v>
      </c>
      <c r="F9" s="3062" t="e">
        <f t="shared" ca="1" si="2"/>
        <v>#REF!</v>
      </c>
    </row>
    <row r="10" spans="1:6" ht="14.25">
      <c r="A10" s="259"/>
      <c r="B10" s="3061" t="e">
        <f t="shared" ca="1" si="0"/>
        <v>#REF!</v>
      </c>
      <c r="C10" s="3057" t="s">
        <v>2943</v>
      </c>
      <c r="D10" s="1865"/>
      <c r="E10" s="3062" t="e">
        <f t="shared" ca="1" si="1"/>
        <v>#REF!</v>
      </c>
      <c r="F10" s="3062" t="e">
        <f t="shared" ca="1" si="2"/>
        <v>#REF!</v>
      </c>
    </row>
    <row r="11" spans="1:6" ht="14.25">
      <c r="A11" s="259"/>
      <c r="B11" s="3061" t="e">
        <f t="shared" ca="1" si="0"/>
        <v>#REF!</v>
      </c>
      <c r="C11" s="3057" t="s">
        <v>2943</v>
      </c>
      <c r="D11" s="1865"/>
      <c r="E11" s="3062" t="e">
        <f t="shared" ca="1" si="1"/>
        <v>#REF!</v>
      </c>
      <c r="F11" s="3062" t="e">
        <f t="shared" ca="1" si="2"/>
        <v>#REF!</v>
      </c>
    </row>
    <row r="12" spans="1:6" ht="14.25">
      <c r="A12" s="259"/>
      <c r="B12" s="3061" t="e">
        <f t="shared" ca="1" si="0"/>
        <v>#REF!</v>
      </c>
      <c r="C12" s="3057" t="s">
        <v>2943</v>
      </c>
      <c r="D12" s="1865"/>
      <c r="E12" s="3062" t="e">
        <f t="shared" ca="1" si="1"/>
        <v>#REF!</v>
      </c>
      <c r="F12" s="3062" t="e">
        <f t="shared" ca="1" si="2"/>
        <v>#REF!</v>
      </c>
    </row>
    <row r="13" spans="1:6" ht="14.25">
      <c r="A13" s="259"/>
      <c r="B13" s="3061" t="e">
        <f t="shared" ca="1" si="0"/>
        <v>#REF!</v>
      </c>
      <c r="C13" s="3057" t="s">
        <v>2943</v>
      </c>
      <c r="D13" s="1865"/>
      <c r="E13" s="3062" t="e">
        <f t="shared" ca="1" si="1"/>
        <v>#REF!</v>
      </c>
      <c r="F13" s="3062" t="e">
        <f t="shared" ca="1" si="2"/>
        <v>#REF!</v>
      </c>
    </row>
    <row r="14" spans="1:6" ht="14.25">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2373</v>
      </c>
      <c r="F1" s="2351">
        <f ca="1">J54</f>
        <v>-2</v>
      </c>
      <c r="G1" s="773">
        <f>MATCH(C1,'数据-取费表'!A6:A16,0)+5</f>
        <v>9</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5" t="s">
        <v>695</v>
      </c>
      <c r="I3" s="2041"/>
      <c r="J3" s="2041"/>
      <c r="K3" s="2042"/>
      <c r="L3" s="2041"/>
      <c r="M3" s="2041"/>
    </row>
    <row r="4" spans="1:25" ht="18" customHeight="1">
      <c r="A4" s="1630" t="s">
        <v>696</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3632" t="s">
        <v>2462</v>
      </c>
      <c r="C8" s="1809">
        <f ca="1">ROUND(F8*F10*F9*(1-F11)/10000,0)</f>
        <v>0</v>
      </c>
      <c r="D8" s="1806" t="s">
        <v>2533</v>
      </c>
      <c r="E8" s="61" t="s">
        <v>637</v>
      </c>
      <c r="F8" s="784">
        <f ca="1">INDIRECT("'数据-取费表'!u"&amp;$G$1)</f>
        <v>0</v>
      </c>
      <c r="G8" s="1577"/>
      <c r="H8" s="2467" t="s">
        <v>1824</v>
      </c>
      <c r="I8" s="3632" t="s">
        <v>2462</v>
      </c>
      <c r="J8" s="782">
        <f ca="1">ROUND(M8*M10*M9*(1-M11)/10000,0)</f>
        <v>0</v>
      </c>
      <c r="K8" s="340" t="s">
        <v>2533</v>
      </c>
      <c r="L8" s="783" t="s">
        <v>1738</v>
      </c>
      <c r="M8" s="784">
        <f ca="1">INDIRECT("'数据-取费表'!z"&amp;$G$1)</f>
        <v>0</v>
      </c>
    </row>
    <row r="9" spans="1:25" ht="18" customHeight="1">
      <c r="A9" s="2463"/>
      <c r="B9" s="3633"/>
      <c r="C9" s="1810"/>
      <c r="D9" s="1807"/>
      <c r="E9" s="61" t="s">
        <v>638</v>
      </c>
      <c r="F9" s="784">
        <f ca="1">IF(INDIRECT("'数据-取费表'!ah"&amp;$G$1)="",INDIRECT("'数据-取费表'!k"&amp;$G$1),INDIRECT("'数据-取费表'!ah"&amp;$G$1))</f>
        <v>0</v>
      </c>
      <c r="G9" s="1577"/>
      <c r="H9" s="2452"/>
      <c r="I9" s="3633"/>
      <c r="J9" s="787"/>
      <c r="K9" s="788"/>
      <c r="L9" s="783" t="s">
        <v>1739</v>
      </c>
      <c r="M9" s="784">
        <f ca="1">F9</f>
        <v>0</v>
      </c>
    </row>
    <row r="10" spans="1:25" ht="18" customHeight="1">
      <c r="A10" s="2456"/>
      <c r="B10" s="3634"/>
      <c r="C10" s="1810"/>
      <c r="D10" s="1807"/>
      <c r="E10" s="61" t="s">
        <v>639</v>
      </c>
      <c r="F10" s="784">
        <f ca="1">INDIRECT("'数据-取费表'!ai"&amp;$G$1)</f>
        <v>0</v>
      </c>
      <c r="G10" s="1577"/>
      <c r="H10" s="2452"/>
      <c r="I10" s="3634"/>
      <c r="J10" s="787"/>
      <c r="K10" s="788"/>
      <c r="L10" s="783" t="s">
        <v>1740</v>
      </c>
      <c r="M10" s="784">
        <f ca="1">INDIRECT("'数据-取费表'!ai"&amp;$G$1)</f>
        <v>0</v>
      </c>
    </row>
    <row r="11" spans="1:25" ht="18" customHeight="1">
      <c r="A11" s="785"/>
      <c r="B11" s="3635"/>
      <c r="C11" s="1810"/>
      <c r="D11" s="1807"/>
      <c r="E11" s="61" t="s">
        <v>640</v>
      </c>
      <c r="F11" s="793">
        <f ca="1">INDIRECT("'数据-取费表'!w"&amp;$G$1)</f>
        <v>0</v>
      </c>
      <c r="G11" s="1577"/>
      <c r="H11" s="2468"/>
      <c r="I11" s="3634"/>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2972</v>
      </c>
      <c r="E12" s="2461" t="s">
        <v>2463</v>
      </c>
      <c r="F12" s="2584"/>
      <c r="G12" s="1577"/>
      <c r="H12" s="2524" t="s">
        <v>1825</v>
      </c>
      <c r="I12" s="2529" t="s">
        <v>2458</v>
      </c>
      <c r="J12" s="782">
        <f ca="1">ROUND(IF(M12="押一",J8/12*M13,IF(M12="押二",J8/12*2*M13,IF(M12="押三",J8/12*3*M13,J13*M13))),0)</f>
        <v>0</v>
      </c>
      <c r="K12" s="2464" t="s">
        <v>2972</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2823</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0</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2436</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2820</v>
      </c>
      <c r="J27" s="798">
        <f ca="1">J7-J18</f>
        <v>0</v>
      </c>
      <c r="K27" s="1963" t="s">
        <v>700</v>
      </c>
      <c r="L27" s="1965"/>
      <c r="M27" s="819"/>
    </row>
    <row r="28" spans="1:25" ht="18" customHeight="1">
      <c r="A28" s="802" t="s">
        <v>1875</v>
      </c>
      <c r="B28" s="783" t="s">
        <v>2437</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8"/>
      <c r="H31" s="822" t="s">
        <v>1872</v>
      </c>
      <c r="I31" s="2963" t="s">
        <v>2822</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0</v>
      </c>
      <c r="G36" s="2046"/>
      <c r="H36" s="2049"/>
      <c r="I36" s="3631"/>
      <c r="J36" s="2063"/>
      <c r="K36" s="2064"/>
      <c r="L36" s="2063"/>
      <c r="M36" s="2063"/>
    </row>
    <row r="37" spans="1:18" ht="18" customHeight="1">
      <c r="A37" s="814"/>
      <c r="B37" s="792"/>
      <c r="C37" s="69"/>
      <c r="D37" s="815"/>
      <c r="E37" s="783" t="s">
        <v>674</v>
      </c>
      <c r="F37" s="784">
        <f ca="1">INDIRECT("'数据-取费表'!r"&amp;$G$1)</f>
        <v>0</v>
      </c>
      <c r="G37" s="2046"/>
      <c r="H37" s="2049"/>
      <c r="I37" s="3631"/>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0" t="s">
        <v>712</v>
      </c>
      <c r="E43" s="3073" t="s">
        <v>2960</v>
      </c>
      <c r="F43" s="3074">
        <f ca="1">INDIRECT("'数据-取费表'!j"&amp;$G$1)</f>
        <v>0</v>
      </c>
      <c r="G43" s="2046"/>
      <c r="H43" s="2046"/>
      <c r="I43" s="2046"/>
      <c r="J43" s="2046"/>
      <c r="K43" s="2067"/>
      <c r="L43" s="2046"/>
      <c r="M43" s="2046"/>
    </row>
    <row r="44" spans="1:18" ht="18" customHeight="1">
      <c r="A44" s="802" t="s">
        <v>1878</v>
      </c>
      <c r="B44" s="834" t="s">
        <v>713</v>
      </c>
      <c r="C44" s="1351">
        <f ca="1">C42-C43</f>
        <v>0</v>
      </c>
      <c r="D44" s="462" t="s">
        <v>714</v>
      </c>
      <c r="E44" s="463"/>
      <c r="F44" s="464"/>
      <c r="G44" s="2046"/>
      <c r="H44" s="2046"/>
      <c r="I44" s="2046"/>
      <c r="J44" s="2046"/>
      <c r="K44" s="2067"/>
      <c r="L44" s="2046"/>
      <c r="M44" s="2046"/>
    </row>
    <row r="45" spans="1:18" ht="18" customHeight="1">
      <c r="A45" s="802" t="s">
        <v>1879</v>
      </c>
      <c r="B45" s="1350" t="s">
        <v>715</v>
      </c>
      <c r="C45" s="2989">
        <f ca="1">ROUND(-PV(F45,F46,C44,0),0)</f>
        <v>0</v>
      </c>
      <c r="D45" s="1352" t="s">
        <v>716</v>
      </c>
      <c r="E45" s="805" t="s">
        <v>717</v>
      </c>
      <c r="F45" s="829">
        <f ca="1">INDIRECT("'数据-取费表'!h"&amp;$G$1)</f>
        <v>0</v>
      </c>
      <c r="G45" s="2046"/>
      <c r="H45" s="2046"/>
      <c r="I45" s="2046"/>
      <c r="J45" s="2046"/>
      <c r="K45" s="2067"/>
      <c r="L45" s="2046"/>
      <c r="M45" s="2046"/>
    </row>
    <row r="46" spans="1:18" ht="18" customHeight="1" thickBot="1">
      <c r="A46" s="830"/>
      <c r="B46" s="1353"/>
      <c r="C46" s="1354"/>
      <c r="D46" s="1355"/>
      <c r="E46" s="3075" t="s">
        <v>2963</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8" t="s">
        <v>2343</v>
      </c>
      <c r="J48" s="2344"/>
      <c r="K48" s="3104" t="s">
        <v>2348</v>
      </c>
      <c r="L48" s="3108">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2976</v>
      </c>
      <c r="J54" s="3180">
        <f ca="1">IF(M48="住宅",MAX(J52,L49-'数据-取费表'!B20),MIN(J52,L49-'数据-取费表'!B20))</f>
        <v>-2</v>
      </c>
      <c r="K54" s="3636"/>
      <c r="L54" s="3637"/>
      <c r="O54" s="2364" t="s">
        <v>2387</v>
      </c>
      <c r="P54" s="2362" t="s">
        <v>2388</v>
      </c>
      <c r="Q54" s="2363">
        <f ca="1">J54</f>
        <v>-2</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2"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1678</v>
      </c>
      <c r="K57" s="3077"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2941</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5">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638" t="s">
        <v>2470</v>
      </c>
      <c r="B1" s="3639"/>
      <c r="C1" s="3640"/>
      <c r="D1" s="3641">
        <f>SUM(I10,I15,I20,I21,I23)</f>
        <v>0</v>
      </c>
      <c r="E1" s="3641"/>
      <c r="F1" s="3641"/>
      <c r="G1" s="3641"/>
      <c r="H1" s="3641"/>
      <c r="I1" s="3642"/>
    </row>
    <row r="2" spans="1:9">
      <c r="A2" s="3643" t="s">
        <v>2471</v>
      </c>
      <c r="B2" s="3644" t="s">
        <v>2472</v>
      </c>
      <c r="C2" s="3644"/>
      <c r="D2" s="2470" t="s">
        <v>2473</v>
      </c>
      <c r="E2" s="2470" t="s">
        <v>2474</v>
      </c>
      <c r="F2" s="2470" t="s">
        <v>2475</v>
      </c>
      <c r="G2" s="2470" t="s">
        <v>2476</v>
      </c>
      <c r="H2" s="2470" t="s">
        <v>2477</v>
      </c>
      <c r="I2" s="2471" t="s">
        <v>2478</v>
      </c>
    </row>
    <row r="3" spans="1:9">
      <c r="A3" s="3643"/>
      <c r="B3" s="3644" t="s">
        <v>2479</v>
      </c>
      <c r="C3" s="3644"/>
      <c r="D3" s="2472"/>
      <c r="E3" s="2470"/>
      <c r="F3" s="2473"/>
      <c r="G3" s="2473"/>
      <c r="H3" s="2474"/>
      <c r="I3" s="2475">
        <f>ROUND(D3*E3*F3*G3*H3/10000,0)</f>
        <v>0</v>
      </c>
    </row>
    <row r="4" spans="1:9">
      <c r="A4" s="3643"/>
      <c r="B4" s="3644" t="s">
        <v>2480</v>
      </c>
      <c r="C4" s="3644"/>
      <c r="D4" s="2472"/>
      <c r="E4" s="2470"/>
      <c r="F4" s="2473"/>
      <c r="G4" s="2473"/>
      <c r="H4" s="2474"/>
      <c r="I4" s="2475">
        <f t="shared" ref="I4:I9" si="0">ROUND(D4*E4*F4*G4*H4/10000,0)</f>
        <v>0</v>
      </c>
    </row>
    <row r="5" spans="1:9">
      <c r="A5" s="3643"/>
      <c r="B5" s="3644" t="s">
        <v>2481</v>
      </c>
      <c r="C5" s="3644"/>
      <c r="D5" s="2472"/>
      <c r="E5" s="2470"/>
      <c r="F5" s="2473"/>
      <c r="G5" s="2473"/>
      <c r="H5" s="2474"/>
      <c r="I5" s="2475">
        <f t="shared" si="0"/>
        <v>0</v>
      </c>
    </row>
    <row r="6" spans="1:9">
      <c r="A6" s="3643"/>
      <c r="B6" s="3644" t="s">
        <v>2482</v>
      </c>
      <c r="C6" s="3644"/>
      <c r="D6" s="2472"/>
      <c r="E6" s="2470"/>
      <c r="F6" s="2473"/>
      <c r="G6" s="2473"/>
      <c r="H6" s="2474"/>
      <c r="I6" s="2475">
        <f t="shared" si="0"/>
        <v>0</v>
      </c>
    </row>
    <row r="7" spans="1:9">
      <c r="A7" s="3643"/>
      <c r="B7" s="3644" t="s">
        <v>2483</v>
      </c>
      <c r="C7" s="3644"/>
      <c r="D7" s="2472"/>
      <c r="E7" s="2470"/>
      <c r="F7" s="2473"/>
      <c r="G7" s="2473"/>
      <c r="H7" s="2474"/>
      <c r="I7" s="2475">
        <f t="shared" si="0"/>
        <v>0</v>
      </c>
    </row>
    <row r="8" spans="1:9">
      <c r="A8" s="3643"/>
      <c r="B8" s="3644" t="s">
        <v>2484</v>
      </c>
      <c r="C8" s="3644"/>
      <c r="D8" s="2472"/>
      <c r="E8" s="2470"/>
      <c r="F8" s="2473"/>
      <c r="G8" s="2473"/>
      <c r="H8" s="2474"/>
      <c r="I8" s="2475">
        <f t="shared" si="0"/>
        <v>0</v>
      </c>
    </row>
    <row r="9" spans="1:9">
      <c r="A9" s="3643"/>
      <c r="B9" s="3644" t="s">
        <v>2485</v>
      </c>
      <c r="C9" s="3644"/>
      <c r="D9" s="2472"/>
      <c r="E9" s="2470"/>
      <c r="F9" s="2473"/>
      <c r="G9" s="2473"/>
      <c r="H9" s="2474"/>
      <c r="I9" s="2475">
        <f t="shared" si="0"/>
        <v>0</v>
      </c>
    </row>
    <row r="10" spans="1:9">
      <c r="A10" s="3643"/>
      <c r="B10" s="3645" t="s">
        <v>2486</v>
      </c>
      <c r="C10" s="3645"/>
      <c r="D10" s="2476">
        <v>527</v>
      </c>
      <c r="E10" s="2476" t="e">
        <f>ROUND(D1*10000/D10/H9,0)</f>
        <v>#DIV/0!</v>
      </c>
      <c r="F10" s="2477"/>
      <c r="G10" s="2477"/>
      <c r="H10" s="2478"/>
      <c r="I10" s="2479">
        <f>SUM(I3:I9)</f>
        <v>0</v>
      </c>
    </row>
    <row r="11" spans="1:9" ht="14.25">
      <c r="A11" s="3643" t="s">
        <v>2487</v>
      </c>
      <c r="B11" s="3644" t="s">
        <v>2488</v>
      </c>
      <c r="C11" s="3644"/>
      <c r="D11" s="2472" t="s">
        <v>2489</v>
      </c>
      <c r="E11" s="2472" t="s">
        <v>2490</v>
      </c>
      <c r="F11" s="2473" t="s">
        <v>2491</v>
      </c>
      <c r="G11" s="2473" t="s">
        <v>2492</v>
      </c>
      <c r="H11" s="2480" t="s">
        <v>2493</v>
      </c>
      <c r="I11" s="2471" t="s">
        <v>2494</v>
      </c>
    </row>
    <row r="12" spans="1:9">
      <c r="A12" s="3643"/>
      <c r="B12" s="3644" t="s">
        <v>2495</v>
      </c>
      <c r="C12" s="3644"/>
      <c r="D12" s="2472"/>
      <c r="E12" s="2472"/>
      <c r="F12" s="2473"/>
      <c r="G12" s="2474"/>
      <c r="H12" s="2481"/>
      <c r="I12" s="2471">
        <f>ROUND(D12*E12*F12*G12/10000,0)</f>
        <v>0</v>
      </c>
    </row>
    <row r="13" spans="1:9">
      <c r="A13" s="3643"/>
      <c r="B13" s="3644" t="s">
        <v>2496</v>
      </c>
      <c r="C13" s="3644"/>
      <c r="D13" s="2472"/>
      <c r="E13" s="2472"/>
      <c r="F13" s="2473"/>
      <c r="G13" s="2474"/>
      <c r="H13" s="2481"/>
      <c r="I13" s="2471">
        <f>ROUND(D13*E13*F13*G13/10000,0)</f>
        <v>0</v>
      </c>
    </row>
    <row r="14" spans="1:9">
      <c r="A14" s="3643"/>
      <c r="B14" s="3644" t="s">
        <v>2497</v>
      </c>
      <c r="C14" s="3644"/>
      <c r="D14" s="2472"/>
      <c r="E14" s="2472"/>
      <c r="F14" s="2473"/>
      <c r="G14" s="2474"/>
      <c r="H14" s="2481"/>
      <c r="I14" s="2471">
        <f>ROUND(D14*E14*F14*G14/10000,0)</f>
        <v>0</v>
      </c>
    </row>
    <row r="15" spans="1:9">
      <c r="A15" s="3643"/>
      <c r="B15" s="3645" t="s">
        <v>2486</v>
      </c>
      <c r="C15" s="3645"/>
      <c r="D15" s="2476"/>
      <c r="E15" s="2476">
        <f>SUM(E12:E14)</f>
        <v>0</v>
      </c>
      <c r="F15" s="2477"/>
      <c r="G15" s="2474"/>
      <c r="H15" s="2481"/>
      <c r="I15" s="2482">
        <f>SUM(I12:I14)</f>
        <v>0</v>
      </c>
    </row>
    <row r="16" spans="1:9" ht="24">
      <c r="A16" s="3643" t="s">
        <v>2498</v>
      </c>
      <c r="B16" s="3644" t="s">
        <v>2499</v>
      </c>
      <c r="C16" s="3644"/>
      <c r="D16" s="2472" t="s">
        <v>2500</v>
      </c>
      <c r="E16" s="2483" t="s">
        <v>2501</v>
      </c>
      <c r="F16" s="2473" t="s">
        <v>2502</v>
      </c>
      <c r="G16" s="2474" t="s">
        <v>2492</v>
      </c>
      <c r="H16" s="2480" t="s">
        <v>2493</v>
      </c>
      <c r="I16" s="2471" t="s">
        <v>2494</v>
      </c>
    </row>
    <row r="17" spans="1:9" ht="14.25">
      <c r="A17" s="3643"/>
      <c r="B17" s="3644" t="s">
        <v>2503</v>
      </c>
      <c r="C17" s="3644"/>
      <c r="D17" s="2472"/>
      <c r="E17" s="2472"/>
      <c r="F17" s="2473"/>
      <c r="G17" s="2474"/>
      <c r="H17" s="2484"/>
      <c r="I17" s="2485">
        <f>ROUND(D17*E17*F17*G17/10000,0)</f>
        <v>0</v>
      </c>
    </row>
    <row r="18" spans="1:9" ht="14.25">
      <c r="A18" s="3643"/>
      <c r="B18" s="3644" t="s">
        <v>2504</v>
      </c>
      <c r="C18" s="3644"/>
      <c r="D18" s="2472"/>
      <c r="E18" s="2472"/>
      <c r="F18" s="2473"/>
      <c r="G18" s="2474"/>
      <c r="H18" s="2484"/>
      <c r="I18" s="2485">
        <f>ROUND(D18*E18*F18*G18/10000,0)</f>
        <v>0</v>
      </c>
    </row>
    <row r="19" spans="1:9" ht="14.25">
      <c r="A19" s="3643"/>
      <c r="B19" s="3644" t="s">
        <v>2505</v>
      </c>
      <c r="C19" s="3644"/>
      <c r="D19" s="2472"/>
      <c r="E19" s="2472"/>
      <c r="F19" s="2473"/>
      <c r="G19" s="2474"/>
      <c r="H19" s="2484"/>
      <c r="I19" s="2485">
        <f>ROUND(D19*E19*F19*G19/10000,0)</f>
        <v>0</v>
      </c>
    </row>
    <row r="20" spans="1:9">
      <c r="A20" s="3643"/>
      <c r="B20" s="3645" t="s">
        <v>2486</v>
      </c>
      <c r="C20" s="3645"/>
      <c r="D20" s="2476">
        <f>SUM(D17:D19)</f>
        <v>0</v>
      </c>
      <c r="E20" s="2476"/>
      <c r="F20" s="2477"/>
      <c r="G20" s="2474"/>
      <c r="H20" s="2481"/>
      <c r="I20" s="2482">
        <f>SUM(I17:I19)</f>
        <v>0</v>
      </c>
    </row>
    <row r="21" spans="1:9">
      <c r="A21" s="3643" t="s">
        <v>2506</v>
      </c>
      <c r="B21" s="3647"/>
      <c r="C21" s="3647"/>
      <c r="D21" s="3647"/>
      <c r="E21" s="3647"/>
      <c r="F21" s="3647"/>
      <c r="G21" s="3647"/>
      <c r="H21" s="2486">
        <v>0.1</v>
      </c>
      <c r="I21" s="2479">
        <f>ROUND(I10*H21,0)</f>
        <v>0</v>
      </c>
    </row>
    <row r="22" spans="1:9" ht="14.25">
      <c r="A22" s="3648" t="s">
        <v>2507</v>
      </c>
      <c r="B22" s="3649"/>
      <c r="C22" s="3650"/>
      <c r="D22" s="2487" t="s">
        <v>2508</v>
      </c>
      <c r="E22" s="2487" t="s">
        <v>2509</v>
      </c>
      <c r="F22" s="2488" t="s">
        <v>2510</v>
      </c>
      <c r="G22" s="2488" t="s">
        <v>2511</v>
      </c>
      <c r="H22" s="2480" t="s">
        <v>2512</v>
      </c>
      <c r="I22" s="2471" t="s">
        <v>2513</v>
      </c>
    </row>
    <row r="23" spans="1:9" ht="14.25" thickBot="1">
      <c r="A23" s="3651"/>
      <c r="B23" s="3652"/>
      <c r="C23" s="3653"/>
      <c r="D23" s="2489"/>
      <c r="E23" s="2489"/>
      <c r="F23" s="2489"/>
      <c r="G23" s="2490"/>
      <c r="H23" s="2491"/>
      <c r="I23" s="2492">
        <f>ROUND(E23*D23*F23*(1-G23)/10000,0)</f>
        <v>0</v>
      </c>
    </row>
    <row r="26" spans="1:9">
      <c r="A26" s="2493" t="s">
        <v>2514</v>
      </c>
      <c r="B26" s="2493"/>
      <c r="C26" s="2493"/>
      <c r="D26" s="2493"/>
      <c r="E26" s="3654">
        <f>C27-C30-C31-C32</f>
        <v>0</v>
      </c>
      <c r="F26" s="3654"/>
      <c r="G26" s="3654"/>
      <c r="H26" s="2994" t="s">
        <v>2841</v>
      </c>
    </row>
    <row r="27" spans="1:9">
      <c r="A27" s="2494">
        <v>1</v>
      </c>
      <c r="B27" s="2495" t="s">
        <v>2515</v>
      </c>
      <c r="C27" s="2495"/>
      <c r="D27" s="2495"/>
      <c r="E27" s="3655"/>
      <c r="F27" s="3655"/>
      <c r="G27" s="3655"/>
    </row>
    <row r="28" spans="1:9">
      <c r="A28" s="2496" t="s">
        <v>2516</v>
      </c>
      <c r="B28" s="2495" t="s">
        <v>2517</v>
      </c>
      <c r="C28" s="2495"/>
      <c r="D28" s="2495"/>
      <c r="E28" s="3655"/>
      <c r="F28" s="3655"/>
      <c r="G28" s="3655"/>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646"/>
      <c r="F32" s="3646"/>
      <c r="G32" s="3646"/>
    </row>
    <row r="33" spans="1:7" hidden="1">
      <c r="A33" s="3656" t="s">
        <v>2525</v>
      </c>
      <c r="B33" s="3657"/>
      <c r="C33" s="3657"/>
      <c r="D33" s="3658"/>
      <c r="E33" s="3654"/>
      <c r="F33" s="3654"/>
      <c r="G33" s="3654"/>
    </row>
    <row r="34" spans="1:7" hidden="1">
      <c r="A34" s="2498">
        <v>1</v>
      </c>
      <c r="B34" s="2495" t="s">
        <v>2526</v>
      </c>
      <c r="C34" s="2495"/>
      <c r="D34" s="2495"/>
      <c r="E34" s="3655"/>
      <c r="F34" s="3655"/>
      <c r="G34" s="3655"/>
    </row>
    <row r="35" spans="1:7" hidden="1">
      <c r="A35" s="2498">
        <v>2</v>
      </c>
      <c r="B35" s="2495" t="s">
        <v>2527</v>
      </c>
      <c r="C35" s="2495"/>
      <c r="D35" s="2495"/>
      <c r="E35" s="3655"/>
      <c r="F35" s="3655"/>
      <c r="G35" s="3655"/>
    </row>
    <row r="36" spans="1:7" hidden="1">
      <c r="A36" s="2498">
        <v>3</v>
      </c>
      <c r="B36" s="2495" t="s">
        <v>2528</v>
      </c>
      <c r="C36" s="2495"/>
      <c r="D36" s="2495"/>
      <c r="E36" s="3655"/>
      <c r="F36" s="3655"/>
      <c r="G36" s="3655"/>
    </row>
    <row r="37" spans="1:7" hidden="1">
      <c r="A37" s="2498">
        <v>4</v>
      </c>
      <c r="B37" s="2495" t="s">
        <v>2529</v>
      </c>
      <c r="C37" s="2495"/>
      <c r="D37" s="2495"/>
      <c r="E37" s="3655"/>
      <c r="F37" s="3655"/>
      <c r="G37" s="3655"/>
    </row>
    <row r="38" spans="1:7" hidden="1">
      <c r="A38" s="3656" t="s">
        <v>2530</v>
      </c>
      <c r="B38" s="3657"/>
      <c r="C38" s="3657"/>
      <c r="D38" s="3658"/>
      <c r="E38" s="3654"/>
      <c r="F38" s="3654"/>
      <c r="G38" s="36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613</v>
      </c>
      <c r="C10" s="748">
        <f>C11+C14+C15</f>
        <v>0</v>
      </c>
      <c r="D10" s="759">
        <f>'数据-汇总表'!E3</f>
        <v>187743.54</v>
      </c>
      <c r="E10" s="748">
        <f>'数据-取费表'!B31</f>
        <v>200</v>
      </c>
      <c r="F10" s="760"/>
      <c r="G10" s="758" t="s">
        <v>614</v>
      </c>
    </row>
    <row r="11" spans="1:25" s="2167" customFormat="1" ht="13.5" customHeight="1">
      <c r="A11" s="2432" t="s">
        <v>2439</v>
      </c>
      <c r="B11" s="751" t="s">
        <v>610</v>
      </c>
      <c r="C11" s="752">
        <f>'数据-取费表'!B29</f>
        <v>0</v>
      </c>
      <c r="D11" s="753"/>
      <c r="E11" s="752"/>
      <c r="F11" s="754"/>
      <c r="G11" s="2441" t="s">
        <v>2450</v>
      </c>
    </row>
    <row r="12" spans="1:25" s="2167" customFormat="1" ht="13.5" customHeight="1">
      <c r="A12" s="2439" t="s">
        <v>2447</v>
      </c>
      <c r="B12" s="755" t="s">
        <v>611</v>
      </c>
      <c r="C12" s="756">
        <f>ROUND(D12*E12/10000,0)</f>
        <v>4916</v>
      </c>
      <c r="D12" s="757">
        <f>'数据-汇总表'!E5</f>
        <v>119327.24000000002</v>
      </c>
      <c r="E12" s="756">
        <f>'数据-取费表'!B27</f>
        <v>412</v>
      </c>
      <c r="F12" s="754"/>
      <c r="G12" s="758"/>
    </row>
    <row r="13" spans="1:25" s="2167" customFormat="1" ht="13.5" customHeight="1">
      <c r="A13" s="2439" t="s">
        <v>2446</v>
      </c>
      <c r="B13" s="755" t="s">
        <v>612</v>
      </c>
      <c r="C13" s="756">
        <f>ROUND(D13*E13/10000,0)</f>
        <v>3284</v>
      </c>
      <c r="D13" s="757">
        <f>'数据-汇总表'!E6</f>
        <v>68416.299999999988</v>
      </c>
      <c r="E13" s="756">
        <f>'数据-取费表'!B28</f>
        <v>480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615</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0.08</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3"/>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0.93400000000000005</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23" sqref="M2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6" t="s">
        <v>719</v>
      </c>
      <c r="C1" s="2587" t="s">
        <v>720</v>
      </c>
      <c r="D1" s="2588" t="s">
        <v>923</v>
      </c>
      <c r="E1" s="2589"/>
      <c r="F1" s="2761" t="s">
        <v>3047</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5">
        <f>ROUND(B3*D3/10000,0)</f>
        <v>143336</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12012</v>
      </c>
      <c r="C3" s="851" t="s">
        <v>722</v>
      </c>
      <c r="D3" s="850">
        <f>SUMIF('数据-汇总表'!$C19:$C33,D1,'数据-汇总表'!$E19:$E33)</f>
        <v>119327.24000000002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548" t="s">
        <v>522</v>
      </c>
      <c r="D4" s="3549"/>
      <c r="E4" s="3585" t="s">
        <v>523</v>
      </c>
      <c r="F4" s="3586"/>
      <c r="G4" s="3548" t="s">
        <v>524</v>
      </c>
      <c r="H4" s="3549"/>
      <c r="I4" s="3548" t="s">
        <v>525</v>
      </c>
      <c r="J4" s="3549"/>
      <c r="K4" s="852" t="s">
        <v>526</v>
      </c>
      <c r="L4" s="2117"/>
      <c r="M4" s="2118"/>
      <c r="N4" s="2118"/>
      <c r="O4" s="2118"/>
      <c r="P4" s="3550" t="s">
        <v>527</v>
      </c>
      <c r="Q4" s="3551"/>
      <c r="R4" s="3556" t="s">
        <v>523</v>
      </c>
      <c r="S4" s="3557"/>
      <c r="T4" s="3556" t="s">
        <v>524</v>
      </c>
      <c r="U4" s="3557"/>
      <c r="V4" s="3543" t="s">
        <v>525</v>
      </c>
      <c r="W4" s="3543"/>
      <c r="X4" s="1552"/>
      <c r="Y4" s="3556" t="s">
        <v>527</v>
      </c>
      <c r="Z4" s="3557"/>
      <c r="AA4" s="3545" t="s">
        <v>523</v>
      </c>
      <c r="AB4" s="3545" t="s">
        <v>524</v>
      </c>
      <c r="AC4" s="3545" t="s">
        <v>525</v>
      </c>
    </row>
    <row r="5" spans="1:29" ht="15">
      <c r="A5" s="514"/>
      <c r="B5" s="515"/>
      <c r="C5" s="3564" t="s">
        <v>2928</v>
      </c>
      <c r="D5" s="3565"/>
      <c r="E5" s="3665" t="s">
        <v>2996</v>
      </c>
      <c r="F5" s="3588"/>
      <c r="G5" s="3663" t="s">
        <v>3073</v>
      </c>
      <c r="H5" s="3565"/>
      <c r="I5" s="3663" t="s">
        <v>3433</v>
      </c>
      <c r="J5" s="3565"/>
      <c r="K5" s="853"/>
      <c r="L5" s="2117"/>
      <c r="M5" s="2118"/>
      <c r="N5" s="2118"/>
      <c r="O5" s="2118"/>
      <c r="P5" s="3552"/>
      <c r="Q5" s="3553"/>
      <c r="R5" s="3558"/>
      <c r="S5" s="3559"/>
      <c r="T5" s="3558"/>
      <c r="U5" s="3559"/>
      <c r="V5" s="3543"/>
      <c r="W5" s="3543"/>
      <c r="X5" s="1552"/>
      <c r="Y5" s="3558"/>
      <c r="Z5" s="3559"/>
      <c r="AA5" s="3546"/>
      <c r="AB5" s="3546"/>
      <c r="AC5" s="3546"/>
    </row>
    <row r="6" spans="1:29" ht="42" customHeight="1" thickBot="1">
      <c r="A6" s="516"/>
      <c r="B6" s="517"/>
      <c r="C6" s="3562" t="s">
        <v>2932</v>
      </c>
      <c r="D6" s="3563"/>
      <c r="E6" s="3664" t="s">
        <v>2997</v>
      </c>
      <c r="F6" s="3584"/>
      <c r="G6" s="3662" t="s">
        <v>3074</v>
      </c>
      <c r="H6" s="3563"/>
      <c r="I6" s="3662" t="s">
        <v>3434</v>
      </c>
      <c r="J6" s="3563"/>
      <c r="K6" s="853" t="s">
        <v>528</v>
      </c>
      <c r="L6" s="2117"/>
      <c r="M6" s="2118"/>
      <c r="N6" s="2118"/>
      <c r="O6" s="2118"/>
      <c r="P6" s="3554"/>
      <c r="Q6" s="3555"/>
      <c r="R6" s="3558"/>
      <c r="S6" s="3559"/>
      <c r="T6" s="3560"/>
      <c r="U6" s="3561"/>
      <c r="V6" s="3543"/>
      <c r="W6" s="3543"/>
      <c r="X6" s="1552"/>
      <c r="Y6" s="3560"/>
      <c r="Z6" s="3561"/>
      <c r="AA6" s="3547"/>
      <c r="AB6" s="3547"/>
      <c r="AC6" s="3547"/>
    </row>
    <row r="7" spans="1:29" s="1214" customFormat="1" ht="15.75" thickBot="1">
      <c r="A7" s="2866"/>
      <c r="B7" s="2873" t="s">
        <v>529</v>
      </c>
      <c r="C7" s="518">
        <f>'数据-取费表'!B2</f>
        <v>43698</v>
      </c>
      <c r="D7" s="519">
        <v>100</v>
      </c>
      <c r="E7" s="520">
        <f>C7</f>
        <v>43698</v>
      </c>
      <c r="F7" s="521">
        <f>SUMIF(58:58,YEAR(E7)&amp;"-"&amp;MONTH(E7),59:59)</f>
        <v>100</v>
      </c>
      <c r="G7" s="522">
        <f>C7</f>
        <v>43698</v>
      </c>
      <c r="H7" s="519">
        <f>SUMIF(58:58,YEAR(G7)&amp;"-"&amp;MONTH(G7),59:59)</f>
        <v>100</v>
      </c>
      <c r="I7" s="522">
        <f>C7</f>
        <v>43698</v>
      </c>
      <c r="J7" s="519">
        <f>SUMIF(58:58,YEAR(I7)&amp;"-"&amp;MONTH(I7),59:59)</f>
        <v>100</v>
      </c>
      <c r="K7" s="854"/>
      <c r="L7" s="2119"/>
      <c r="M7" s="2120"/>
      <c r="N7" s="2120"/>
      <c r="O7" s="2120"/>
      <c r="P7" s="3573" t="s">
        <v>530</v>
      </c>
      <c r="Q7" s="3575"/>
      <c r="R7" s="1553" t="s">
        <v>13</v>
      </c>
      <c r="S7" s="1554">
        <f t="shared" ref="S7:S15" si="0">F7</f>
        <v>100</v>
      </c>
      <c r="T7" s="1553" t="s">
        <v>13</v>
      </c>
      <c r="U7" s="1554">
        <f t="shared" ref="U7:U15" si="1">H7</f>
        <v>100</v>
      </c>
      <c r="V7" s="1553" t="s">
        <v>13</v>
      </c>
      <c r="W7" s="1554">
        <f t="shared" ref="W7:W15" si="2">J7</f>
        <v>100</v>
      </c>
      <c r="X7" s="1555"/>
      <c r="Y7" s="3573" t="s">
        <v>530</v>
      </c>
      <c r="Z7" s="3574"/>
      <c r="AA7" s="1556">
        <f>D7/F7</f>
        <v>1</v>
      </c>
      <c r="AB7" s="1556">
        <f>D7/H7</f>
        <v>1</v>
      </c>
      <c r="AC7" s="1556">
        <f>D7/J7</f>
        <v>1</v>
      </c>
    </row>
    <row r="8" spans="1:29" s="1214" customFormat="1" ht="15.75" thickBot="1">
      <c r="A8" s="2867"/>
      <c r="B8" s="2874" t="s">
        <v>531</v>
      </c>
      <c r="C8" s="524" t="s">
        <v>576</v>
      </c>
      <c r="D8" s="519">
        <v>100</v>
      </c>
      <c r="E8" s="855" t="s">
        <v>3050</v>
      </c>
      <c r="F8" s="521">
        <f>SUMIF(61:61,E8,62:62)-SUMIF(61:61,C8,62:62)+100</f>
        <v>100</v>
      </c>
      <c r="G8" s="524" t="s">
        <v>3050</v>
      </c>
      <c r="H8" s="519">
        <f>SUMIF(61:61,G8,62:62)-SUMIF(61:61,C8,62:62)+100</f>
        <v>100</v>
      </c>
      <c r="I8" s="855" t="s">
        <v>3050</v>
      </c>
      <c r="J8" s="519">
        <f>SUMIF(61:61,I8,62:62)-SUMIF(61:61,C8,62:62)+100</f>
        <v>100</v>
      </c>
      <c r="K8" s="854"/>
      <c r="L8" s="2119"/>
      <c r="M8" s="2120"/>
      <c r="N8" s="2120"/>
      <c r="O8" s="2120"/>
      <c r="P8" s="3573" t="s">
        <v>533</v>
      </c>
      <c r="Q8" s="3574"/>
      <c r="R8" s="1553" t="s">
        <v>13</v>
      </c>
      <c r="S8" s="1554">
        <f t="shared" si="0"/>
        <v>100</v>
      </c>
      <c r="T8" s="1553" t="s">
        <v>13</v>
      </c>
      <c r="U8" s="1554">
        <f t="shared" si="1"/>
        <v>100</v>
      </c>
      <c r="V8" s="1553" t="s">
        <v>13</v>
      </c>
      <c r="W8" s="1554">
        <f t="shared" si="2"/>
        <v>100</v>
      </c>
      <c r="X8" s="1555"/>
      <c r="Y8" s="3573" t="s">
        <v>533</v>
      </c>
      <c r="Z8" s="3574"/>
      <c r="AA8" s="1556">
        <f t="shared" ref="AA8:AA46" si="3">D8/F8</f>
        <v>1</v>
      </c>
      <c r="AB8" s="1556">
        <f t="shared" ref="AB8:AB46" si="4">D8/H8</f>
        <v>1</v>
      </c>
      <c r="AC8" s="1556">
        <f t="shared" ref="AC8:AC46" si="5">D8/J8</f>
        <v>1</v>
      </c>
    </row>
    <row r="9" spans="1:29" s="1214" customFormat="1" ht="15">
      <c r="A9" s="2868"/>
      <c r="B9" s="2875" t="s">
        <v>2754</v>
      </c>
      <c r="C9" s="3202" t="s">
        <v>3048</v>
      </c>
      <c r="D9" s="253">
        <v>100</v>
      </c>
      <c r="E9" s="857" t="s">
        <v>923</v>
      </c>
      <c r="F9" s="858">
        <f>SUMIF(63:63,E9,64:64)-SUMIF(63:63,C9,64:64)+100</f>
        <v>100</v>
      </c>
      <c r="G9" s="859" t="s">
        <v>923</v>
      </c>
      <c r="H9" s="253">
        <f>SUMIF(63:63,G9,64:64)-SUMIF(63:63,C9,64:64)+100</f>
        <v>100</v>
      </c>
      <c r="I9" s="857" t="s">
        <v>923</v>
      </c>
      <c r="J9" s="253">
        <f>SUMIF(63:63,I9,64:64)-SUMIF(63:63,C9,64:64)+100</f>
        <v>100</v>
      </c>
      <c r="K9" s="854"/>
      <c r="L9" s="2119"/>
      <c r="M9" s="2120"/>
      <c r="N9" s="2120"/>
      <c r="O9" s="2121"/>
      <c r="P9" s="3542" t="s">
        <v>535</v>
      </c>
      <c r="Q9" s="1145" t="str">
        <f t="shared" ref="Q9:Q15" si="6">B9</f>
        <v>用途</v>
      </c>
      <c r="R9" s="1553" t="s">
        <v>8</v>
      </c>
      <c r="S9" s="1554">
        <f t="shared" si="0"/>
        <v>100</v>
      </c>
      <c r="T9" s="1553" t="s">
        <v>8</v>
      </c>
      <c r="U9" s="1554">
        <f t="shared" si="1"/>
        <v>100</v>
      </c>
      <c r="V9" s="1553" t="s">
        <v>8</v>
      </c>
      <c r="W9" s="1554">
        <f t="shared" si="2"/>
        <v>100</v>
      </c>
      <c r="X9" s="1555"/>
      <c r="Y9" s="3488" t="s">
        <v>536</v>
      </c>
      <c r="Z9" s="1144" t="str">
        <f t="shared" ref="Z9:Z15" si="7">Q9</f>
        <v>用途</v>
      </c>
      <c r="AA9" s="1556">
        <f t="shared" si="3"/>
        <v>1</v>
      </c>
      <c r="AB9" s="1556">
        <f t="shared" si="4"/>
        <v>1</v>
      </c>
      <c r="AC9" s="1556">
        <f t="shared" si="5"/>
        <v>1</v>
      </c>
    </row>
    <row r="10" spans="1:29" s="1332" customFormat="1" ht="27">
      <c r="A10" s="2869"/>
      <c r="B10" s="2874" t="s">
        <v>2755</v>
      </c>
      <c r="C10" s="860" t="s">
        <v>3049</v>
      </c>
      <c r="D10" s="254">
        <v>100</v>
      </c>
      <c r="E10" s="861" t="s">
        <v>3049</v>
      </c>
      <c r="F10" s="862">
        <f>SUMIF(65:65,E10,66:66)-SUMIF(65:65,C10,66:66)+100</f>
        <v>100</v>
      </c>
      <c r="G10" s="860" t="s">
        <v>3049</v>
      </c>
      <c r="H10" s="254">
        <f>SUMIF(65:65,G10,66:66)-SUMIF(65:65,C10,66:66)+100</f>
        <v>100</v>
      </c>
      <c r="I10" s="861" t="s">
        <v>3049</v>
      </c>
      <c r="J10" s="254">
        <f>SUMIF(65:65,I10,66:66)-SUMIF(65:65,C10,66:66)+100</f>
        <v>100</v>
      </c>
      <c r="K10" s="863">
        <v>1</v>
      </c>
      <c r="L10" s="2122"/>
      <c r="M10" s="2162"/>
      <c r="N10" s="2162"/>
      <c r="O10" s="2123"/>
      <c r="P10" s="3542"/>
      <c r="Q10" s="1145" t="str">
        <f t="shared" si="6"/>
        <v>土地使用年限（年）</v>
      </c>
      <c r="R10" s="1553" t="s">
        <v>8</v>
      </c>
      <c r="S10" s="1554">
        <f t="shared" si="0"/>
        <v>100</v>
      </c>
      <c r="T10" s="1553" t="s">
        <v>8</v>
      </c>
      <c r="U10" s="1554">
        <f t="shared" si="1"/>
        <v>100</v>
      </c>
      <c r="V10" s="1553" t="s">
        <v>8</v>
      </c>
      <c r="W10" s="1554">
        <f t="shared" si="2"/>
        <v>100</v>
      </c>
      <c r="X10" s="1555"/>
      <c r="Y10" s="3488"/>
      <c r="Z10" s="1144" t="str">
        <f t="shared" si="7"/>
        <v>土地使用年限（年）</v>
      </c>
      <c r="AA10" s="1556">
        <f t="shared" si="3"/>
        <v>1</v>
      </c>
      <c r="AB10" s="1556">
        <f t="shared" si="4"/>
        <v>1</v>
      </c>
      <c r="AC10" s="1556">
        <f t="shared" si="5"/>
        <v>1</v>
      </c>
    </row>
    <row r="11" spans="1:29" ht="15">
      <c r="A11" s="2870"/>
      <c r="B11" s="2874" t="s">
        <v>2756</v>
      </c>
      <c r="C11" s="532">
        <f>'数据-汇总表'!I6</f>
        <v>1.8</v>
      </c>
      <c r="D11" s="254">
        <v>100</v>
      </c>
      <c r="E11" s="533">
        <v>2.2999999999999998</v>
      </c>
      <c r="F11" s="862">
        <f>LOOKUP(E11,68:68,69:69)-LOOKUP(C11,68:68,69:69)+100</f>
        <v>98</v>
      </c>
      <c r="G11" s="532">
        <v>2.6</v>
      </c>
      <c r="H11" s="254">
        <f>LOOKUP(G11,68:68,69:69)-LOOKUP(C11,68:68,69:69)+100</f>
        <v>98</v>
      </c>
      <c r="I11" s="532">
        <v>1.3</v>
      </c>
      <c r="J11" s="254">
        <f>LOOKUP(I11,68:68,69:69)-LOOKUP(C11,68:68,69:69)+100</f>
        <v>100</v>
      </c>
      <c r="K11" s="863">
        <v>2</v>
      </c>
      <c r="L11" s="2124"/>
      <c r="M11" s="2118"/>
      <c r="N11" s="2118"/>
      <c r="O11" s="2125"/>
      <c r="P11" s="3542"/>
      <c r="Q11" s="1145" t="str">
        <f t="shared" si="6"/>
        <v>容积率</v>
      </c>
      <c r="R11" s="1553" t="s">
        <v>11</v>
      </c>
      <c r="S11" s="1554">
        <f t="shared" si="0"/>
        <v>98</v>
      </c>
      <c r="T11" s="1553" t="s">
        <v>11</v>
      </c>
      <c r="U11" s="1554">
        <f t="shared" si="1"/>
        <v>98</v>
      </c>
      <c r="V11" s="1553" t="s">
        <v>11</v>
      </c>
      <c r="W11" s="1554">
        <f t="shared" si="2"/>
        <v>100</v>
      </c>
      <c r="X11" s="1555"/>
      <c r="Y11" s="3488"/>
      <c r="Z11" s="1144" t="str">
        <f t="shared" si="7"/>
        <v>容积率</v>
      </c>
      <c r="AA11" s="1556">
        <f t="shared" si="3"/>
        <v>1.0204081632653061</v>
      </c>
      <c r="AB11" s="1556">
        <f t="shared" si="4"/>
        <v>1.0204081632653061</v>
      </c>
      <c r="AC11" s="1556">
        <f t="shared" si="5"/>
        <v>1</v>
      </c>
    </row>
    <row r="12" spans="1:29" s="1214" customFormat="1" ht="15">
      <c r="A12" s="2871"/>
      <c r="B12" s="2877"/>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542"/>
      <c r="Q12" s="1145">
        <f t="shared" si="6"/>
        <v>0</v>
      </c>
      <c r="R12" s="1553" t="s">
        <v>11</v>
      </c>
      <c r="S12" s="1554">
        <f t="shared" si="0"/>
        <v>100</v>
      </c>
      <c r="T12" s="1553" t="s">
        <v>11</v>
      </c>
      <c r="U12" s="1554">
        <f t="shared" si="1"/>
        <v>100</v>
      </c>
      <c r="V12" s="1553" t="s">
        <v>11</v>
      </c>
      <c r="W12" s="1554">
        <f t="shared" si="2"/>
        <v>100</v>
      </c>
      <c r="X12" s="1555"/>
      <c r="Y12" s="3488"/>
      <c r="Z12" s="1144">
        <f t="shared" si="7"/>
        <v>0</v>
      </c>
      <c r="AA12" s="1556">
        <f>D12/F12</f>
        <v>1</v>
      </c>
      <c r="AB12" s="1556">
        <f>D12/H12</f>
        <v>1</v>
      </c>
      <c r="AC12" s="1556">
        <f>D12/J12</f>
        <v>1</v>
      </c>
    </row>
    <row r="13" spans="1:29" ht="15">
      <c r="A13" s="2871"/>
      <c r="B13" s="2877"/>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542"/>
      <c r="Q13" s="1145">
        <f t="shared" si="6"/>
        <v>0</v>
      </c>
      <c r="R13" s="1553" t="s">
        <v>11</v>
      </c>
      <c r="S13" s="1554">
        <f t="shared" si="0"/>
        <v>100</v>
      </c>
      <c r="T13" s="1553" t="s">
        <v>11</v>
      </c>
      <c r="U13" s="1554">
        <f t="shared" si="1"/>
        <v>100</v>
      </c>
      <c r="V13" s="1553" t="s">
        <v>11</v>
      </c>
      <c r="W13" s="1554">
        <f t="shared" si="2"/>
        <v>100</v>
      </c>
      <c r="X13" s="1555"/>
      <c r="Y13" s="3488"/>
      <c r="Z13" s="1144">
        <f t="shared" si="7"/>
        <v>0</v>
      </c>
      <c r="AA13" s="1556">
        <f t="shared" si="3"/>
        <v>1</v>
      </c>
      <c r="AB13" s="1556">
        <f t="shared" si="4"/>
        <v>1</v>
      </c>
      <c r="AC13" s="1556">
        <f t="shared" si="5"/>
        <v>1</v>
      </c>
    </row>
    <row r="14" spans="1:29" ht="15.75" thickBot="1">
      <c r="A14" s="2872"/>
      <c r="B14" s="2878"/>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542"/>
      <c r="Q14" s="1145">
        <f t="shared" si="6"/>
        <v>0</v>
      </c>
      <c r="R14" s="1553" t="s">
        <v>11</v>
      </c>
      <c r="S14" s="1554">
        <f t="shared" si="0"/>
        <v>100</v>
      </c>
      <c r="T14" s="1553" t="s">
        <v>11</v>
      </c>
      <c r="U14" s="1554">
        <f t="shared" si="1"/>
        <v>100</v>
      </c>
      <c r="V14" s="1553" t="s">
        <v>11</v>
      </c>
      <c r="W14" s="1554">
        <f t="shared" si="2"/>
        <v>100</v>
      </c>
      <c r="X14" s="1555"/>
      <c r="Y14" s="3488"/>
      <c r="Z14" s="1144">
        <f t="shared" si="7"/>
        <v>0</v>
      </c>
      <c r="AA14" s="1556">
        <f t="shared" si="3"/>
        <v>1</v>
      </c>
      <c r="AB14" s="1556">
        <f t="shared" si="4"/>
        <v>1</v>
      </c>
      <c r="AC14" s="1556">
        <f t="shared" si="5"/>
        <v>1</v>
      </c>
    </row>
    <row r="15" spans="1:29" ht="99.75">
      <c r="A15" s="2864"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97</v>
      </c>
      <c r="I15" s="549"/>
      <c r="J15" s="548">
        <f>SUMIF(76:76,I16,77:77)-SUMIF(76:76,C16,77:77)+100</f>
        <v>100</v>
      </c>
      <c r="K15" s="867">
        <v>3</v>
      </c>
      <c r="L15" s="2126"/>
      <c r="M15" s="2118"/>
      <c r="N15" s="2118"/>
      <c r="O15" s="2125"/>
      <c r="P15" s="3576" t="s">
        <v>540</v>
      </c>
      <c r="Q15" s="1557" t="str">
        <f t="shared" si="6"/>
        <v>居住社区成熟度</v>
      </c>
      <c r="R15" s="1558" t="s">
        <v>11</v>
      </c>
      <c r="S15" s="1559">
        <f t="shared" si="0"/>
        <v>100</v>
      </c>
      <c r="T15" s="1558" t="s">
        <v>11</v>
      </c>
      <c r="U15" s="1559">
        <f t="shared" si="1"/>
        <v>97</v>
      </c>
      <c r="V15" s="1558" t="s">
        <v>11</v>
      </c>
      <c r="W15" s="1559">
        <f t="shared" si="2"/>
        <v>100</v>
      </c>
      <c r="X15" s="1552"/>
      <c r="Y15" s="3576" t="s">
        <v>540</v>
      </c>
      <c r="Z15" s="1560" t="str">
        <f t="shared" si="7"/>
        <v>居住社区成熟度</v>
      </c>
      <c r="AA15" s="1561">
        <f t="shared" si="3"/>
        <v>1</v>
      </c>
      <c r="AB15" s="1561">
        <f t="shared" si="4"/>
        <v>1.0309278350515463</v>
      </c>
      <c r="AC15" s="1561">
        <f t="shared" si="5"/>
        <v>1</v>
      </c>
    </row>
    <row r="16" spans="1:29" ht="15">
      <c r="A16" s="531"/>
      <c r="B16" s="868"/>
      <c r="C16" s="575" t="s">
        <v>3071</v>
      </c>
      <c r="D16" s="554"/>
      <c r="E16" s="555" t="s">
        <v>3071</v>
      </c>
      <c r="F16" s="556"/>
      <c r="G16" s="557" t="s">
        <v>3072</v>
      </c>
      <c r="H16" s="558"/>
      <c r="I16" s="555" t="s">
        <v>3071</v>
      </c>
      <c r="J16" s="554"/>
      <c r="K16" s="869"/>
      <c r="L16" s="2126"/>
      <c r="M16" s="2118"/>
      <c r="N16" s="2118"/>
      <c r="O16" s="2125"/>
      <c r="P16" s="3577"/>
      <c r="Q16" s="1557"/>
      <c r="R16" s="1558"/>
      <c r="S16" s="1559"/>
      <c r="T16" s="1558"/>
      <c r="U16" s="1559"/>
      <c r="V16" s="1558"/>
      <c r="W16" s="1559"/>
      <c r="X16" s="1552"/>
      <c r="Y16" s="3577"/>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26"/>
      <c r="M17" s="2118"/>
      <c r="N17" s="2118"/>
      <c r="O17" s="2125"/>
      <c r="P17" s="3577"/>
      <c r="Q17" s="1557" t="str">
        <f>B17</f>
        <v>交通便捷度</v>
      </c>
      <c r="R17" s="1558" t="s">
        <v>11</v>
      </c>
      <c r="S17" s="1559">
        <f>F17</f>
        <v>100</v>
      </c>
      <c r="T17" s="1558" t="s">
        <v>11</v>
      </c>
      <c r="U17" s="1559">
        <f>H17</f>
        <v>100</v>
      </c>
      <c r="V17" s="1558" t="s">
        <v>11</v>
      </c>
      <c r="W17" s="1559">
        <f>J17</f>
        <v>100</v>
      </c>
      <c r="X17" s="1552"/>
      <c r="Y17" s="3577"/>
      <c r="Z17" s="1560" t="str">
        <f>Q17</f>
        <v>交通便捷度</v>
      </c>
      <c r="AA17" s="1561">
        <f t="shared" si="3"/>
        <v>1</v>
      </c>
      <c r="AB17" s="1561">
        <f t="shared" si="4"/>
        <v>1</v>
      </c>
      <c r="AC17" s="1561">
        <f t="shared" si="5"/>
        <v>1</v>
      </c>
    </row>
    <row r="18" spans="1:29" ht="15">
      <c r="A18" s="531"/>
      <c r="B18" s="594"/>
      <c r="C18" s="872" t="s">
        <v>3071</v>
      </c>
      <c r="D18" s="558"/>
      <c r="E18" s="567" t="s">
        <v>3071</v>
      </c>
      <c r="F18" s="562"/>
      <c r="G18" s="568" t="s">
        <v>3071</v>
      </c>
      <c r="H18" s="554"/>
      <c r="I18" s="567" t="s">
        <v>3071</v>
      </c>
      <c r="J18" s="554"/>
      <c r="K18" s="869"/>
      <c r="L18" s="2126"/>
      <c r="M18" s="2118"/>
      <c r="N18" s="2118"/>
      <c r="O18" s="2125"/>
      <c r="P18" s="3577"/>
      <c r="Q18" s="1557"/>
      <c r="R18" s="1558"/>
      <c r="S18" s="1559"/>
      <c r="T18" s="1558"/>
      <c r="U18" s="1559"/>
      <c r="V18" s="1558"/>
      <c r="W18" s="1559"/>
      <c r="X18" s="1552"/>
      <c r="Y18" s="3577"/>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95</v>
      </c>
      <c r="I19" s="569"/>
      <c r="J19" s="558">
        <f>SUMIF(80:80,I20,81:81)-SUMIF(80:80,C20,81:81)+100</f>
        <v>100</v>
      </c>
      <c r="K19" s="867">
        <v>5</v>
      </c>
      <c r="L19" s="2126"/>
      <c r="M19" s="2118"/>
      <c r="N19" s="2118"/>
      <c r="O19" s="2125"/>
      <c r="P19" s="3577"/>
      <c r="Q19" s="1557" t="str">
        <f>B19</f>
        <v>公共配套设施</v>
      </c>
      <c r="R19" s="1558" t="s">
        <v>11</v>
      </c>
      <c r="S19" s="1559">
        <f>F19</f>
        <v>100</v>
      </c>
      <c r="T19" s="1558" t="s">
        <v>11</v>
      </c>
      <c r="U19" s="1559">
        <f>H19</f>
        <v>95</v>
      </c>
      <c r="V19" s="1558" t="s">
        <v>11</v>
      </c>
      <c r="W19" s="1559">
        <f>J19</f>
        <v>100</v>
      </c>
      <c r="X19" s="1552"/>
      <c r="Y19" s="3577"/>
      <c r="Z19" s="1560" t="str">
        <f>Q19</f>
        <v>公共配套设施</v>
      </c>
      <c r="AA19" s="1561">
        <f t="shared" si="3"/>
        <v>1</v>
      </c>
      <c r="AB19" s="1561">
        <f t="shared" si="4"/>
        <v>1.0526315789473684</v>
      </c>
      <c r="AC19" s="1561">
        <f t="shared" si="5"/>
        <v>1</v>
      </c>
    </row>
    <row r="20" spans="1:29" ht="15">
      <c r="A20" s="531"/>
      <c r="B20" s="594"/>
      <c r="C20" s="575" t="s">
        <v>3071</v>
      </c>
      <c r="D20" s="554"/>
      <c r="E20" s="555" t="s">
        <v>3071</v>
      </c>
      <c r="F20" s="556"/>
      <c r="G20" s="557" t="s">
        <v>3072</v>
      </c>
      <c r="H20" s="554"/>
      <c r="I20" s="555" t="s">
        <v>3071</v>
      </c>
      <c r="J20" s="554"/>
      <c r="K20" s="869"/>
      <c r="L20" s="2126"/>
      <c r="M20" s="2118"/>
      <c r="N20" s="2118"/>
      <c r="O20" s="2125"/>
      <c r="P20" s="3577"/>
      <c r="Q20" s="1557"/>
      <c r="R20" s="1558"/>
      <c r="S20" s="1559"/>
      <c r="T20" s="1558"/>
      <c r="U20" s="1559"/>
      <c r="V20" s="1558"/>
      <c r="W20" s="1559"/>
      <c r="X20" s="1552"/>
      <c r="Y20" s="3577"/>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3</v>
      </c>
      <c r="L21" s="2126"/>
      <c r="M21" s="2118"/>
      <c r="N21" s="2118"/>
      <c r="O21" s="2125"/>
      <c r="P21" s="3577"/>
      <c r="Q21" s="2542" t="str">
        <f>B21</f>
        <v>基础设施水平</v>
      </c>
      <c r="R21" s="1558" t="s">
        <v>11</v>
      </c>
      <c r="S21" s="1559">
        <f>F21</f>
        <v>100</v>
      </c>
      <c r="T21" s="1558" t="s">
        <v>11</v>
      </c>
      <c r="U21" s="1559">
        <f>H21</f>
        <v>100</v>
      </c>
      <c r="V21" s="1558" t="s">
        <v>11</v>
      </c>
      <c r="W21" s="1559">
        <f>J21</f>
        <v>100</v>
      </c>
      <c r="X21" s="2544"/>
      <c r="Y21" s="3577"/>
      <c r="Z21" s="2543" t="str">
        <f>Q21</f>
        <v>基础设施水平</v>
      </c>
      <c r="AA21" s="1561">
        <f t="shared" ref="AA21" si="8">D21/F21</f>
        <v>1</v>
      </c>
      <c r="AB21" s="1561">
        <f t="shared" ref="AB21" si="9">D21/H21</f>
        <v>1</v>
      </c>
      <c r="AC21" s="1561">
        <f t="shared" ref="AC21" si="10">D21/J21</f>
        <v>1</v>
      </c>
    </row>
    <row r="22" spans="1:29" ht="15">
      <c r="A22" s="531"/>
      <c r="B22" s="920"/>
      <c r="C22" s="872" t="s">
        <v>3059</v>
      </c>
      <c r="D22" s="554"/>
      <c r="E22" s="575" t="s">
        <v>3059</v>
      </c>
      <c r="F22" s="556"/>
      <c r="G22" s="3207" t="s">
        <v>3075</v>
      </c>
      <c r="H22" s="554"/>
      <c r="I22" s="575" t="s">
        <v>3059</v>
      </c>
      <c r="J22" s="554"/>
      <c r="K22" s="2562"/>
      <c r="L22" s="2126"/>
      <c r="M22" s="2118"/>
      <c r="N22" s="2118"/>
      <c r="O22" s="2125"/>
      <c r="P22" s="3577"/>
      <c r="Q22" s="2542"/>
      <c r="R22" s="1558"/>
      <c r="S22" s="1559"/>
      <c r="T22" s="1558"/>
      <c r="U22" s="1559"/>
      <c r="V22" s="1558"/>
      <c r="W22" s="1559"/>
      <c r="X22" s="2544"/>
      <c r="Y22" s="3577"/>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105</v>
      </c>
      <c r="I23" s="561"/>
      <c r="J23" s="558">
        <f>SUMIF(84:84,I24,85:85)-SUMIF(84:84,C24,85:85)+100</f>
        <v>100</v>
      </c>
      <c r="K23" s="867">
        <v>5</v>
      </c>
      <c r="L23" s="2126"/>
      <c r="M23" s="2118"/>
      <c r="N23" s="2118"/>
      <c r="O23" s="2125"/>
      <c r="P23" s="3577"/>
      <c r="Q23" s="1557" t="str">
        <f>B23</f>
        <v>自然及人文环境</v>
      </c>
      <c r="R23" s="1558" t="s">
        <v>11</v>
      </c>
      <c r="S23" s="1559">
        <f>F23</f>
        <v>100</v>
      </c>
      <c r="T23" s="1558" t="s">
        <v>11</v>
      </c>
      <c r="U23" s="1559">
        <f>H23</f>
        <v>105</v>
      </c>
      <c r="V23" s="1558" t="s">
        <v>11</v>
      </c>
      <c r="W23" s="1559">
        <f>J23</f>
        <v>100</v>
      </c>
      <c r="X23" s="1552"/>
      <c r="Y23" s="3577"/>
      <c r="Z23" s="1560" t="str">
        <f>Q23</f>
        <v>自然及人文环境</v>
      </c>
      <c r="AA23" s="1561">
        <f t="shared" si="3"/>
        <v>1</v>
      </c>
      <c r="AB23" s="1561">
        <f t="shared" si="4"/>
        <v>0.95238095238095233</v>
      </c>
      <c r="AC23" s="1561">
        <f t="shared" si="5"/>
        <v>1</v>
      </c>
    </row>
    <row r="24" spans="1:29" ht="15.75" thickBot="1">
      <c r="A24" s="531"/>
      <c r="B24" s="594"/>
      <c r="C24" s="575" t="s">
        <v>3071</v>
      </c>
      <c r="D24" s="554"/>
      <c r="E24" s="575" t="s">
        <v>3071</v>
      </c>
      <c r="F24" s="556"/>
      <c r="G24" s="575" t="s">
        <v>3051</v>
      </c>
      <c r="H24" s="554"/>
      <c r="I24" s="575" t="s">
        <v>3071</v>
      </c>
      <c r="J24" s="554"/>
      <c r="K24" s="869"/>
      <c r="L24" s="2126"/>
      <c r="M24" s="2118"/>
      <c r="N24" s="2118"/>
      <c r="O24" s="2125"/>
      <c r="P24" s="3577"/>
      <c r="Q24" s="1557"/>
      <c r="R24" s="1558"/>
      <c r="S24" s="1559"/>
      <c r="T24" s="1558"/>
      <c r="U24" s="1559"/>
      <c r="V24" s="1558"/>
      <c r="W24" s="1559"/>
      <c r="X24" s="1552"/>
      <c r="Y24" s="3577"/>
      <c r="Z24" s="1560"/>
      <c r="AA24" s="1561">
        <v>1</v>
      </c>
      <c r="AB24" s="1561">
        <v>1</v>
      </c>
      <c r="AC24" s="1561">
        <v>1</v>
      </c>
    </row>
    <row r="25" spans="1:29" ht="15.75" hidden="1" thickBot="1">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577"/>
      <c r="Q25" s="1557" t="str">
        <f t="shared" ref="Q25:Q46" si="11">B25</f>
        <v>楼层-1</v>
      </c>
      <c r="R25" s="1558" t="s">
        <v>11</v>
      </c>
      <c r="S25" s="1559">
        <f>F25</f>
        <v>100</v>
      </c>
      <c r="T25" s="1558" t="s">
        <v>11</v>
      </c>
      <c r="U25" s="1559">
        <f>H25</f>
        <v>100</v>
      </c>
      <c r="V25" s="1558" t="s">
        <v>11</v>
      </c>
      <c r="W25" s="1559">
        <f>J25</f>
        <v>100</v>
      </c>
      <c r="X25" s="1552"/>
      <c r="Y25" s="3577"/>
      <c r="Z25" s="1560" t="str">
        <f>Q25</f>
        <v>楼层-1</v>
      </c>
      <c r="AA25" s="1561">
        <f t="shared" si="3"/>
        <v>1</v>
      </c>
      <c r="AB25" s="1561">
        <f t="shared" si="4"/>
        <v>1</v>
      </c>
      <c r="AC25" s="1561">
        <f t="shared" si="5"/>
        <v>1</v>
      </c>
    </row>
    <row r="26" spans="1:29" ht="15.75" hidden="1"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577"/>
      <c r="Q26" s="1557" t="str">
        <f t="shared" si="11"/>
        <v>朝向</v>
      </c>
      <c r="R26" s="1558" t="s">
        <v>11</v>
      </c>
      <c r="S26" s="1559">
        <f>F26</f>
        <v>100</v>
      </c>
      <c r="T26" s="1558" t="s">
        <v>11</v>
      </c>
      <c r="U26" s="1559">
        <f>H26</f>
        <v>100</v>
      </c>
      <c r="V26" s="1558" t="s">
        <v>11</v>
      </c>
      <c r="W26" s="1559">
        <f>J26</f>
        <v>100</v>
      </c>
      <c r="X26" s="1552"/>
      <c r="Y26" s="3577"/>
      <c r="Z26" s="1560" t="str">
        <f>Q26</f>
        <v>朝向</v>
      </c>
      <c r="AA26" s="1561">
        <f t="shared" si="3"/>
        <v>1</v>
      </c>
      <c r="AB26" s="1561">
        <f t="shared" si="4"/>
        <v>1</v>
      </c>
      <c r="AC26" s="1561">
        <f t="shared" si="5"/>
        <v>1</v>
      </c>
    </row>
    <row r="27" spans="1:29" s="1214"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577"/>
      <c r="Q27" s="1145" t="str">
        <f t="shared" si="11"/>
        <v>道路级别</v>
      </c>
      <c r="R27" s="1553" t="s">
        <v>11</v>
      </c>
      <c r="S27" s="1554">
        <f>F27</f>
        <v>100</v>
      </c>
      <c r="T27" s="1553" t="s">
        <v>11</v>
      </c>
      <c r="U27" s="1554">
        <f>H27</f>
        <v>100</v>
      </c>
      <c r="V27" s="1553" t="s">
        <v>11</v>
      </c>
      <c r="W27" s="1554">
        <f>J27</f>
        <v>100</v>
      </c>
      <c r="X27" s="1555"/>
      <c r="Y27" s="3577"/>
      <c r="Z27" s="1144" t="str">
        <f>Q27</f>
        <v>道路级别</v>
      </c>
      <c r="AA27" s="1561">
        <f>D27/F27</f>
        <v>1</v>
      </c>
      <c r="AB27" s="1561">
        <f>D27/H27</f>
        <v>1</v>
      </c>
      <c r="AC27" s="1561">
        <f>D27/J27</f>
        <v>1</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577"/>
      <c r="Q28" s="1557">
        <f t="shared" si="11"/>
        <v>0</v>
      </c>
      <c r="R28" s="1558" t="s">
        <v>11</v>
      </c>
      <c r="S28" s="1559">
        <f t="shared" ref="S28:S46" si="12">F28</f>
        <v>100</v>
      </c>
      <c r="T28" s="1558" t="s">
        <v>11</v>
      </c>
      <c r="U28" s="1559">
        <f t="shared" ref="U28:U46" si="13">H28</f>
        <v>100</v>
      </c>
      <c r="V28" s="1558" t="s">
        <v>11</v>
      </c>
      <c r="W28" s="1559">
        <f t="shared" ref="W28:W46" si="14">J28</f>
        <v>100</v>
      </c>
      <c r="X28" s="1552"/>
      <c r="Y28" s="3577"/>
      <c r="Z28" s="1560">
        <f t="shared" ref="Z28:Z46" si="15">Q28</f>
        <v>0</v>
      </c>
      <c r="AA28" s="1561">
        <f t="shared" si="3"/>
        <v>1</v>
      </c>
      <c r="AB28" s="1561">
        <f t="shared" si="4"/>
        <v>1</v>
      </c>
      <c r="AC28" s="1561">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577"/>
      <c r="Q29" s="1557">
        <f t="shared" si="11"/>
        <v>0</v>
      </c>
      <c r="R29" s="1558" t="s">
        <v>11</v>
      </c>
      <c r="S29" s="1559">
        <f t="shared" si="12"/>
        <v>100</v>
      </c>
      <c r="T29" s="1558" t="s">
        <v>11</v>
      </c>
      <c r="U29" s="1559">
        <f t="shared" si="13"/>
        <v>100</v>
      </c>
      <c r="V29" s="1558" t="s">
        <v>11</v>
      </c>
      <c r="W29" s="1559">
        <f t="shared" si="14"/>
        <v>100</v>
      </c>
      <c r="X29" s="1552"/>
      <c r="Y29" s="3577"/>
      <c r="Z29" s="1560">
        <f t="shared" si="15"/>
        <v>0</v>
      </c>
      <c r="AA29" s="1561">
        <f t="shared" si="3"/>
        <v>1</v>
      </c>
      <c r="AB29" s="1561">
        <f t="shared" si="4"/>
        <v>1</v>
      </c>
      <c r="AC29" s="1561">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577"/>
      <c r="Q30" s="1557">
        <f t="shared" si="11"/>
        <v>0</v>
      </c>
      <c r="R30" s="1558" t="s">
        <v>11</v>
      </c>
      <c r="S30" s="1559">
        <f t="shared" si="12"/>
        <v>100</v>
      </c>
      <c r="T30" s="1558" t="s">
        <v>11</v>
      </c>
      <c r="U30" s="1559">
        <f t="shared" si="13"/>
        <v>100</v>
      </c>
      <c r="V30" s="1558" t="s">
        <v>11</v>
      </c>
      <c r="W30" s="1559">
        <f t="shared" si="14"/>
        <v>100</v>
      </c>
      <c r="X30" s="1552"/>
      <c r="Y30" s="3577"/>
      <c r="Z30" s="1560">
        <f t="shared" si="15"/>
        <v>0</v>
      </c>
      <c r="AA30" s="1561">
        <f t="shared" si="3"/>
        <v>1</v>
      </c>
      <c r="AB30" s="1561">
        <f t="shared" si="4"/>
        <v>1</v>
      </c>
      <c r="AC30" s="1561">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577"/>
      <c r="Q31" s="1557">
        <f t="shared" si="11"/>
        <v>0</v>
      </c>
      <c r="R31" s="1558" t="s">
        <v>11</v>
      </c>
      <c r="S31" s="1559">
        <f t="shared" si="12"/>
        <v>100</v>
      </c>
      <c r="T31" s="1558" t="s">
        <v>11</v>
      </c>
      <c r="U31" s="1559">
        <f t="shared" si="13"/>
        <v>100</v>
      </c>
      <c r="V31" s="1558" t="s">
        <v>11</v>
      </c>
      <c r="W31" s="1559">
        <f t="shared" si="14"/>
        <v>100</v>
      </c>
      <c r="X31" s="1552"/>
      <c r="Y31" s="3577"/>
      <c r="Z31" s="1560">
        <f t="shared" si="15"/>
        <v>0</v>
      </c>
      <c r="AA31" s="1561">
        <f t="shared" si="3"/>
        <v>1</v>
      </c>
      <c r="AB31" s="1561">
        <f t="shared" si="4"/>
        <v>1</v>
      </c>
      <c r="AC31" s="1561">
        <f t="shared" si="5"/>
        <v>1</v>
      </c>
    </row>
    <row r="32" spans="1:29" ht="15">
      <c r="A32" s="2861" t="s">
        <v>2753</v>
      </c>
      <c r="B32" s="172" t="s">
        <v>725</v>
      </c>
      <c r="C32" s="877" t="s">
        <v>3035</v>
      </c>
      <c r="D32" s="596">
        <v>100</v>
      </c>
      <c r="E32" s="877" t="s">
        <v>3036</v>
      </c>
      <c r="F32" s="574">
        <f>SUMIF(100:100,E32,101:101)-SUMIF(100:100,C32,101:101)+100</f>
        <v>95</v>
      </c>
      <c r="G32" s="877" t="s">
        <v>3036</v>
      </c>
      <c r="H32" s="596">
        <f>SUMIF(100:100,G32,101:101)-SUMIF(100:100,C32,101:101)+100</f>
        <v>95</v>
      </c>
      <c r="I32" s="877" t="s">
        <v>3036</v>
      </c>
      <c r="J32" s="539">
        <f>SUMIF(100:100,I32,101:101)-SUMIF(100:100,C32,101:101)+100</f>
        <v>95</v>
      </c>
      <c r="K32" s="863">
        <v>5</v>
      </c>
      <c r="L32" s="2126"/>
      <c r="M32" s="2118"/>
      <c r="N32" s="2118"/>
      <c r="O32" s="2125"/>
      <c r="P32" s="3578" t="s">
        <v>550</v>
      </c>
      <c r="Q32" s="1557" t="str">
        <f t="shared" si="11"/>
        <v>建筑类型</v>
      </c>
      <c r="R32" s="1558" t="s">
        <v>11</v>
      </c>
      <c r="S32" s="1559">
        <f t="shared" si="12"/>
        <v>95</v>
      </c>
      <c r="T32" s="1558" t="s">
        <v>11</v>
      </c>
      <c r="U32" s="1559">
        <f t="shared" si="13"/>
        <v>95</v>
      </c>
      <c r="V32" s="1558" t="s">
        <v>11</v>
      </c>
      <c r="W32" s="1559">
        <f t="shared" si="14"/>
        <v>95</v>
      </c>
      <c r="X32" s="1552"/>
      <c r="Y32" s="3579" t="s">
        <v>550</v>
      </c>
      <c r="Z32" s="1560" t="str">
        <f t="shared" si="15"/>
        <v>建筑类型</v>
      </c>
      <c r="AA32" s="1561">
        <f t="shared" si="3"/>
        <v>1.0526315789473684</v>
      </c>
      <c r="AB32" s="1561">
        <f t="shared" si="4"/>
        <v>1.0526315789473684</v>
      </c>
      <c r="AC32" s="1561">
        <f t="shared" si="5"/>
        <v>1.0526315789473684</v>
      </c>
    </row>
    <row r="33" spans="1:29" s="1333" customFormat="1" ht="15">
      <c r="A33" s="602"/>
      <c r="B33" s="526" t="s">
        <v>726</v>
      </c>
      <c r="C33" s="878">
        <f>'数据-汇总表'!E3</f>
        <v>187743.54</v>
      </c>
      <c r="D33" s="254">
        <v>100</v>
      </c>
      <c r="E33" s="878">
        <v>300000</v>
      </c>
      <c r="F33" s="862">
        <f>LOOKUP(E33,103:103,104:104)-LOOKUP(C33,103:103,104:104)+100</f>
        <v>100</v>
      </c>
      <c r="G33" s="878">
        <v>427941</v>
      </c>
      <c r="H33" s="254">
        <f>LOOKUP(G33,103:103,104:104)-LOOKUP(C33,103:103,104:104)+100</f>
        <v>100</v>
      </c>
      <c r="I33" s="878">
        <v>337000</v>
      </c>
      <c r="J33" s="254">
        <f>LOOKUP(I33,103:103,104:104)-LOOKUP(C33,103:103,104:104)+100</f>
        <v>100</v>
      </c>
      <c r="K33" s="864"/>
      <c r="L33" s="2124"/>
      <c r="M33" s="2155"/>
      <c r="N33" s="2155"/>
      <c r="O33" s="2127"/>
      <c r="P33" s="3579"/>
      <c r="Q33" s="1589" t="str">
        <f t="shared" si="11"/>
        <v>项目建筑规模</v>
      </c>
      <c r="R33" s="1562" t="s">
        <v>11</v>
      </c>
      <c r="S33" s="1563">
        <f t="shared" si="12"/>
        <v>100</v>
      </c>
      <c r="T33" s="1562" t="s">
        <v>11</v>
      </c>
      <c r="U33" s="1563">
        <f t="shared" si="13"/>
        <v>100</v>
      </c>
      <c r="V33" s="1562" t="s">
        <v>11</v>
      </c>
      <c r="W33" s="1563">
        <f t="shared" si="14"/>
        <v>100</v>
      </c>
      <c r="X33" s="1564"/>
      <c r="Y33" s="3579"/>
      <c r="Z33" s="1565" t="str">
        <f t="shared" si="15"/>
        <v>项目建筑规模</v>
      </c>
      <c r="AA33" s="1561">
        <f t="shared" si="3"/>
        <v>1</v>
      </c>
      <c r="AB33" s="1561">
        <f t="shared" si="4"/>
        <v>1</v>
      </c>
      <c r="AC33" s="1561">
        <f t="shared" si="5"/>
        <v>1</v>
      </c>
    </row>
    <row r="34" spans="1:29" ht="15">
      <c r="A34" s="593"/>
      <c r="B34" s="526" t="s">
        <v>727</v>
      </c>
      <c r="C34" s="879" t="s">
        <v>3044</v>
      </c>
      <c r="D34" s="539">
        <v>100</v>
      </c>
      <c r="E34" s="879" t="s">
        <v>3044</v>
      </c>
      <c r="F34" s="574">
        <f>SUMIF(105:105,E34,106:106)-SUMIF(105:105,C34,106:106)+100</f>
        <v>100</v>
      </c>
      <c r="G34" s="879" t="s">
        <v>3044</v>
      </c>
      <c r="H34" s="539">
        <f>SUMIF(105:105,G34,106:106)-SUMIF(105:105,C34,106:106)+100</f>
        <v>100</v>
      </c>
      <c r="I34" s="879" t="s">
        <v>3044</v>
      </c>
      <c r="J34" s="539">
        <f>SUMIF(105:105,I34,106:106)-SUMIF(105:105,C34,106:106)+100</f>
        <v>100</v>
      </c>
      <c r="K34" s="863">
        <v>2</v>
      </c>
      <c r="L34" s="2126"/>
      <c r="M34" s="2118"/>
      <c r="N34" s="2118"/>
      <c r="O34" s="2125"/>
      <c r="P34" s="3579"/>
      <c r="Q34" s="1557" t="str">
        <f t="shared" si="11"/>
        <v>建筑结构</v>
      </c>
      <c r="R34" s="1558" t="s">
        <v>11</v>
      </c>
      <c r="S34" s="1559">
        <f t="shared" si="12"/>
        <v>100</v>
      </c>
      <c r="T34" s="1558" t="s">
        <v>11</v>
      </c>
      <c r="U34" s="1559">
        <f t="shared" si="13"/>
        <v>100</v>
      </c>
      <c r="V34" s="1558" t="s">
        <v>11</v>
      </c>
      <c r="W34" s="1559">
        <f t="shared" si="14"/>
        <v>100</v>
      </c>
      <c r="X34" s="1552"/>
      <c r="Y34" s="3579"/>
      <c r="Z34" s="1560" t="str">
        <f t="shared" si="15"/>
        <v>建筑结构</v>
      </c>
      <c r="AA34" s="1561">
        <f t="shared" si="3"/>
        <v>1</v>
      </c>
      <c r="AB34" s="1561">
        <f t="shared" si="4"/>
        <v>1</v>
      </c>
      <c r="AC34" s="1561">
        <f t="shared" si="5"/>
        <v>1</v>
      </c>
    </row>
    <row r="35" spans="1:29" ht="15">
      <c r="A35" s="593"/>
      <c r="B35" s="526" t="s">
        <v>728</v>
      </c>
      <c r="C35" s="598" t="s">
        <v>3064</v>
      </c>
      <c r="D35" s="539">
        <v>100</v>
      </c>
      <c r="E35" s="598" t="s">
        <v>3064</v>
      </c>
      <c r="F35" s="574">
        <f>SUMIF(107:107,E35,108:108)-SUMIF(107:107,C35,108:108)+100</f>
        <v>100</v>
      </c>
      <c r="G35" s="598" t="s">
        <v>3064</v>
      </c>
      <c r="H35" s="539">
        <f>SUMIF(107:107,G35,108:108)-SUMIF(107:107,C35,108:108)+100</f>
        <v>100</v>
      </c>
      <c r="I35" s="598" t="s">
        <v>3064</v>
      </c>
      <c r="J35" s="539">
        <f>SUMIF(107:107,I35,108:108)-SUMIF(107:107,C35,108:108)+100</f>
        <v>100</v>
      </c>
      <c r="K35" s="863">
        <v>2</v>
      </c>
      <c r="L35" s="2126"/>
      <c r="M35" s="2118"/>
      <c r="N35" s="2118"/>
      <c r="O35" s="2125"/>
      <c r="P35" s="3579"/>
      <c r="Q35" s="1557" t="str">
        <f t="shared" si="11"/>
        <v>建筑品质</v>
      </c>
      <c r="R35" s="1558" t="s">
        <v>11</v>
      </c>
      <c r="S35" s="1559">
        <f t="shared" si="12"/>
        <v>100</v>
      </c>
      <c r="T35" s="1558" t="s">
        <v>11</v>
      </c>
      <c r="U35" s="1559">
        <f t="shared" si="13"/>
        <v>100</v>
      </c>
      <c r="V35" s="1558" t="s">
        <v>11</v>
      </c>
      <c r="W35" s="1559">
        <f t="shared" si="14"/>
        <v>100</v>
      </c>
      <c r="X35" s="1552"/>
      <c r="Y35" s="3579"/>
      <c r="Z35" s="1560" t="str">
        <f t="shared" si="15"/>
        <v>建筑品质</v>
      </c>
      <c r="AA35" s="1561">
        <f t="shared" si="3"/>
        <v>1</v>
      </c>
      <c r="AB35" s="1561">
        <f t="shared" si="4"/>
        <v>1</v>
      </c>
      <c r="AC35" s="1561">
        <f t="shared" si="5"/>
        <v>1</v>
      </c>
    </row>
    <row r="36" spans="1:29" ht="15">
      <c r="A36" s="593"/>
      <c r="B36" s="526" t="s">
        <v>729</v>
      </c>
      <c r="C36" s="598" t="s">
        <v>3052</v>
      </c>
      <c r="D36" s="539">
        <v>100</v>
      </c>
      <c r="E36" s="598" t="s">
        <v>3052</v>
      </c>
      <c r="F36" s="574">
        <f>SUMIF(109:109,E36,110:110)-SUMIF(109:109,C36,110:110)+100</f>
        <v>100</v>
      </c>
      <c r="G36" s="598" t="s">
        <v>3052</v>
      </c>
      <c r="H36" s="539">
        <f>SUMIF(109:109,G36,110:110)-SUMIF(109:109,C36,110:110)+100</f>
        <v>100</v>
      </c>
      <c r="I36" s="598" t="s">
        <v>3052</v>
      </c>
      <c r="J36" s="539">
        <f>SUMIF(109:109,I36,110:110)-SUMIF(109:109,C36,110:110)+100</f>
        <v>100</v>
      </c>
      <c r="K36" s="863">
        <v>2</v>
      </c>
      <c r="L36" s="2126"/>
      <c r="M36" s="2118"/>
      <c r="N36" s="2118"/>
      <c r="O36" s="2125"/>
      <c r="P36" s="3579"/>
      <c r="Q36" s="1557" t="str">
        <f t="shared" si="11"/>
        <v>公共部分装修</v>
      </c>
      <c r="R36" s="1558" t="s">
        <v>11</v>
      </c>
      <c r="S36" s="1559">
        <f t="shared" si="12"/>
        <v>100</v>
      </c>
      <c r="T36" s="1558" t="s">
        <v>11</v>
      </c>
      <c r="U36" s="1559">
        <f t="shared" si="13"/>
        <v>100</v>
      </c>
      <c r="V36" s="1558" t="s">
        <v>11</v>
      </c>
      <c r="W36" s="1559">
        <f t="shared" si="14"/>
        <v>100</v>
      </c>
      <c r="X36" s="1552"/>
      <c r="Y36" s="3579"/>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3307">
        <f>ROUND(1-(2019-2015)/60,2)</f>
        <v>0.93</v>
      </c>
      <c r="J37" s="254">
        <f>LOOKUP(I37,112:112,113:113)-LOOKUP(C37,112:112,113:113)+100</f>
        <v>100</v>
      </c>
      <c r="K37" s="863">
        <v>2</v>
      </c>
      <c r="L37" s="2119"/>
      <c r="M37" s="2120"/>
      <c r="N37" s="2120"/>
      <c r="O37" s="2121"/>
      <c r="P37" s="3579"/>
      <c r="Q37" s="1145" t="str">
        <f t="shared" si="11"/>
        <v>成新度</v>
      </c>
      <c r="R37" s="1553" t="s">
        <v>11</v>
      </c>
      <c r="S37" s="1554">
        <f t="shared" si="12"/>
        <v>100</v>
      </c>
      <c r="T37" s="1553" t="s">
        <v>11</v>
      </c>
      <c r="U37" s="1554">
        <f t="shared" si="13"/>
        <v>100</v>
      </c>
      <c r="V37" s="1553" t="s">
        <v>11</v>
      </c>
      <c r="W37" s="1554">
        <f t="shared" si="14"/>
        <v>100</v>
      </c>
      <c r="X37" s="1555"/>
      <c r="Y37" s="3579"/>
      <c r="Z37" s="1144" t="str">
        <f t="shared" si="15"/>
        <v>成新度</v>
      </c>
      <c r="AA37" s="1556">
        <f t="shared" si="3"/>
        <v>1</v>
      </c>
      <c r="AB37" s="1556">
        <f t="shared" si="4"/>
        <v>1</v>
      </c>
      <c r="AC37" s="1556">
        <f t="shared" si="5"/>
        <v>1</v>
      </c>
    </row>
    <row r="38" spans="1:29" ht="15">
      <c r="A38" s="593"/>
      <c r="B38" s="526" t="s">
        <v>731</v>
      </c>
      <c r="C38" s="598" t="s">
        <v>3061</v>
      </c>
      <c r="D38" s="539">
        <v>100</v>
      </c>
      <c r="E38" s="598" t="s">
        <v>3061</v>
      </c>
      <c r="F38" s="574">
        <f>SUMIF(114:114,E38,115:115)-SUMIF(114:114,C38,115:115)+100</f>
        <v>100</v>
      </c>
      <c r="G38" s="598" t="s">
        <v>3061</v>
      </c>
      <c r="H38" s="539">
        <f>SUMIF(114:114,G38,115:115)-SUMIF(114:114,C38,115:115)+100</f>
        <v>100</v>
      </c>
      <c r="I38" s="598" t="s">
        <v>3061</v>
      </c>
      <c r="J38" s="539">
        <f>SUMIF(114:114,I38,115:115)-SUMIF(114:114,C38,115:115)+100</f>
        <v>100</v>
      </c>
      <c r="K38" s="863">
        <v>2</v>
      </c>
      <c r="L38" s="2126"/>
      <c r="M38" s="2118"/>
      <c r="N38" s="2118"/>
      <c r="O38" s="2125"/>
      <c r="P38" s="3579" t="s">
        <v>550</v>
      </c>
      <c r="Q38" s="1557" t="str">
        <f t="shared" si="11"/>
        <v>物业管理</v>
      </c>
      <c r="R38" s="1558" t="s">
        <v>11</v>
      </c>
      <c r="S38" s="1559">
        <f t="shared" si="12"/>
        <v>100</v>
      </c>
      <c r="T38" s="1558" t="s">
        <v>11</v>
      </c>
      <c r="U38" s="1559">
        <f t="shared" si="13"/>
        <v>100</v>
      </c>
      <c r="V38" s="1558" t="s">
        <v>11</v>
      </c>
      <c r="W38" s="1559">
        <f t="shared" si="14"/>
        <v>100</v>
      </c>
      <c r="X38" s="1552"/>
      <c r="Y38" s="3579" t="s">
        <v>550</v>
      </c>
      <c r="Z38" s="1560" t="str">
        <f t="shared" si="15"/>
        <v>物业管理</v>
      </c>
      <c r="AA38" s="1561">
        <f t="shared" si="3"/>
        <v>1</v>
      </c>
      <c r="AB38" s="1561">
        <f t="shared" si="4"/>
        <v>1</v>
      </c>
      <c r="AC38" s="1561">
        <f t="shared" si="5"/>
        <v>1</v>
      </c>
    </row>
    <row r="39" spans="1:29" ht="15">
      <c r="A39" s="593"/>
      <c r="B39" s="1879" t="s">
        <v>2563</v>
      </c>
      <c r="C39" s="598" t="s">
        <v>3059</v>
      </c>
      <c r="D39" s="539">
        <v>100</v>
      </c>
      <c r="E39" s="598" t="s">
        <v>3059</v>
      </c>
      <c r="F39" s="574">
        <f>SUMIF(116:116,E39,117:117)-SUMIF(116:116,C39,117:117)+100</f>
        <v>100</v>
      </c>
      <c r="G39" s="598" t="s">
        <v>3059</v>
      </c>
      <c r="H39" s="539">
        <f>SUMIF(116:116,G39,117:117)-SUMIF(116:116,C39,117:117)+100</f>
        <v>100</v>
      </c>
      <c r="I39" s="598" t="s">
        <v>3059</v>
      </c>
      <c r="J39" s="539">
        <f>SUMIF(116:116,I39,117:117)-SUMIF(116:116,C39,117:117)+100</f>
        <v>100</v>
      </c>
      <c r="K39" s="863">
        <v>2</v>
      </c>
      <c r="L39" s="2126"/>
      <c r="M39" s="2118"/>
      <c r="N39" s="2118"/>
      <c r="O39" s="2125"/>
      <c r="P39" s="3579"/>
      <c r="Q39" s="1557" t="str">
        <f t="shared" si="11"/>
        <v>市政基础设施</v>
      </c>
      <c r="R39" s="1558" t="s">
        <v>11</v>
      </c>
      <c r="S39" s="1559">
        <f t="shared" si="12"/>
        <v>100</v>
      </c>
      <c r="T39" s="1558" t="s">
        <v>11</v>
      </c>
      <c r="U39" s="1559">
        <f t="shared" si="13"/>
        <v>100</v>
      </c>
      <c r="V39" s="1558" t="s">
        <v>11</v>
      </c>
      <c r="W39" s="1559">
        <f t="shared" si="14"/>
        <v>100</v>
      </c>
      <c r="X39" s="1552"/>
      <c r="Y39" s="3579"/>
      <c r="Z39" s="1560" t="str">
        <f t="shared" si="15"/>
        <v>市政基础设施</v>
      </c>
      <c r="AA39" s="1561">
        <f t="shared" si="3"/>
        <v>1</v>
      </c>
      <c r="AB39" s="1561">
        <f t="shared" si="4"/>
        <v>1</v>
      </c>
      <c r="AC39" s="1561">
        <f t="shared" si="5"/>
        <v>1</v>
      </c>
    </row>
    <row r="40" spans="1:29" ht="15">
      <c r="A40" s="593"/>
      <c r="B40" s="526" t="s">
        <v>732</v>
      </c>
      <c r="C40" s="598" t="s">
        <v>3057</v>
      </c>
      <c r="D40" s="539">
        <v>100</v>
      </c>
      <c r="E40" s="598" t="s">
        <v>3057</v>
      </c>
      <c r="F40" s="574">
        <f>SUMIF(118:118,E40,119:119)-SUMIF(118:118,C40,119:119)+100</f>
        <v>100</v>
      </c>
      <c r="G40" s="598" t="s">
        <v>3057</v>
      </c>
      <c r="H40" s="539">
        <f>SUMIF(118:118,G40,119:119)-SUMIF(118:118,C40,119:119)+100</f>
        <v>100</v>
      </c>
      <c r="I40" s="598" t="s">
        <v>3057</v>
      </c>
      <c r="J40" s="539">
        <f>SUMIF(118:118,I40,119:119)-SUMIF(118:118,C40,119:119)+100</f>
        <v>100</v>
      </c>
      <c r="K40" s="863">
        <v>2</v>
      </c>
      <c r="L40" s="2126"/>
      <c r="M40" s="2118"/>
      <c r="N40" s="2118"/>
      <c r="O40" s="2125"/>
      <c r="P40" s="3579"/>
      <c r="Q40" s="1557" t="str">
        <f t="shared" si="11"/>
        <v>房型</v>
      </c>
      <c r="R40" s="1558" t="s">
        <v>11</v>
      </c>
      <c r="S40" s="1559">
        <f t="shared" si="12"/>
        <v>100</v>
      </c>
      <c r="T40" s="1558" t="s">
        <v>11</v>
      </c>
      <c r="U40" s="1559">
        <f t="shared" si="13"/>
        <v>100</v>
      </c>
      <c r="V40" s="1558" t="s">
        <v>11</v>
      </c>
      <c r="W40" s="1559">
        <f t="shared" si="14"/>
        <v>100</v>
      </c>
      <c r="X40" s="1552"/>
      <c r="Y40" s="3579"/>
      <c r="Z40" s="1560" t="str">
        <f t="shared" si="15"/>
        <v>房型</v>
      </c>
      <c r="AA40" s="1561">
        <f t="shared" si="3"/>
        <v>1</v>
      </c>
      <c r="AB40" s="1561">
        <f t="shared" si="4"/>
        <v>1</v>
      </c>
      <c r="AC40" s="1561">
        <f t="shared" si="5"/>
        <v>1</v>
      </c>
    </row>
    <row r="41" spans="1:29" s="1333"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4"/>
      <c r="M41" s="2155"/>
      <c r="N41" s="2155"/>
      <c r="O41" s="2127"/>
      <c r="P41" s="3579"/>
      <c r="Q41" s="1589" t="str">
        <f t="shared" si="11"/>
        <v>单套/主力户型建筑面积</v>
      </c>
      <c r="R41" s="1562" t="s">
        <v>11</v>
      </c>
      <c r="S41" s="1563">
        <f t="shared" si="12"/>
        <v>100</v>
      </c>
      <c r="T41" s="1562" t="s">
        <v>11</v>
      </c>
      <c r="U41" s="1563">
        <f t="shared" si="13"/>
        <v>100</v>
      </c>
      <c r="V41" s="1562" t="s">
        <v>11</v>
      </c>
      <c r="W41" s="1563">
        <f t="shared" si="14"/>
        <v>100</v>
      </c>
      <c r="X41" s="1564"/>
      <c r="Y41" s="3579"/>
      <c r="Z41" s="1565" t="str">
        <f t="shared" si="15"/>
        <v>单套/主力户型建筑面积</v>
      </c>
      <c r="AA41" s="1561">
        <f t="shared" si="3"/>
        <v>1</v>
      </c>
      <c r="AB41" s="1561">
        <f t="shared" si="4"/>
        <v>1</v>
      </c>
      <c r="AC41" s="1561">
        <f t="shared" si="5"/>
        <v>1</v>
      </c>
    </row>
    <row r="42" spans="1:29" ht="15">
      <c r="A42" s="593"/>
      <c r="B42" s="526" t="s">
        <v>734</v>
      </c>
      <c r="C42" s="598" t="s">
        <v>3052</v>
      </c>
      <c r="D42" s="539">
        <v>100</v>
      </c>
      <c r="E42" s="598" t="s">
        <v>3055</v>
      </c>
      <c r="F42" s="574">
        <f>SUMIF(122:122,E42,123:123)-SUMIF(122:122,C42,123:123)+100</f>
        <v>90</v>
      </c>
      <c r="G42" s="598" t="s">
        <v>3055</v>
      </c>
      <c r="H42" s="539">
        <f>SUMIF(122:122,G42,123:123)-SUMIF(122:122,C42,123:123)+100</f>
        <v>90</v>
      </c>
      <c r="I42" s="598" t="s">
        <v>3055</v>
      </c>
      <c r="J42" s="539">
        <f>SUMIF(122:122,I42,123:123)-SUMIF(122:122,C42,123:123)+100</f>
        <v>90</v>
      </c>
      <c r="K42" s="863">
        <v>5</v>
      </c>
      <c r="L42" s="2126"/>
      <c r="M42" s="2118"/>
      <c r="N42" s="2118"/>
      <c r="O42" s="2125"/>
      <c r="P42" s="3579"/>
      <c r="Q42" s="1557" t="str">
        <f t="shared" si="11"/>
        <v>内部装修</v>
      </c>
      <c r="R42" s="1558" t="s">
        <v>11</v>
      </c>
      <c r="S42" s="1559">
        <f t="shared" si="12"/>
        <v>90</v>
      </c>
      <c r="T42" s="1558" t="s">
        <v>11</v>
      </c>
      <c r="U42" s="1559">
        <f t="shared" si="13"/>
        <v>90</v>
      </c>
      <c r="V42" s="1558" t="s">
        <v>11</v>
      </c>
      <c r="W42" s="1559">
        <f t="shared" si="14"/>
        <v>90</v>
      </c>
      <c r="X42" s="1552"/>
      <c r="Y42" s="3579"/>
      <c r="Z42" s="1560" t="str">
        <f t="shared" si="15"/>
        <v>内部装修</v>
      </c>
      <c r="AA42" s="1561">
        <f t="shared" si="3"/>
        <v>1.1111111111111112</v>
      </c>
      <c r="AB42" s="1561">
        <f t="shared" si="4"/>
        <v>1.1111111111111112</v>
      </c>
      <c r="AC42" s="1561">
        <f t="shared" si="5"/>
        <v>1.1111111111111112</v>
      </c>
    </row>
    <row r="43" spans="1:29" ht="27">
      <c r="A43" s="593"/>
      <c r="B43" s="526" t="s">
        <v>735</v>
      </c>
      <c r="C43" s="598" t="s">
        <v>3051</v>
      </c>
      <c r="D43" s="539">
        <v>100</v>
      </c>
      <c r="E43" s="598" t="s">
        <v>3051</v>
      </c>
      <c r="F43" s="574">
        <f>SUMIF(124:124,E43,125:125)-SUMIF(124:124,C43,125:125)+100</f>
        <v>100</v>
      </c>
      <c r="G43" s="598" t="s">
        <v>3051</v>
      </c>
      <c r="H43" s="539">
        <f>SUMIF(124:124,G43,125:125)-SUMIF(124:124,C43,125:125)+100</f>
        <v>100</v>
      </c>
      <c r="I43" s="598" t="s">
        <v>3051</v>
      </c>
      <c r="J43" s="539">
        <f>SUMIF(124:124,I43,125:125)-SUMIF(124:124,C43,125:125)+100</f>
        <v>100</v>
      </c>
      <c r="K43" s="863"/>
      <c r="L43" s="2126"/>
      <c r="M43" s="2118"/>
      <c r="N43" s="2118"/>
      <c r="O43" s="2125"/>
      <c r="P43" s="3579"/>
      <c r="Q43" s="1557" t="str">
        <f t="shared" si="11"/>
        <v>内部装修维护情况</v>
      </c>
      <c r="R43" s="1558" t="s">
        <v>11</v>
      </c>
      <c r="S43" s="1559">
        <f t="shared" si="12"/>
        <v>100</v>
      </c>
      <c r="T43" s="1558" t="s">
        <v>11</v>
      </c>
      <c r="U43" s="1559">
        <f t="shared" si="13"/>
        <v>100</v>
      </c>
      <c r="V43" s="1558" t="s">
        <v>11</v>
      </c>
      <c r="W43" s="1559">
        <f t="shared" si="14"/>
        <v>100</v>
      </c>
      <c r="X43" s="1552"/>
      <c r="Y43" s="3579"/>
      <c r="Z43" s="1560" t="str">
        <f t="shared" si="15"/>
        <v>内部装修维护情况</v>
      </c>
      <c r="AA43" s="1561">
        <f t="shared" si="3"/>
        <v>1</v>
      </c>
      <c r="AB43" s="1561">
        <f t="shared" si="4"/>
        <v>1</v>
      </c>
      <c r="AC43" s="1561">
        <f t="shared" si="5"/>
        <v>1</v>
      </c>
    </row>
    <row r="44" spans="1:29" s="1214" customFormat="1" ht="27.75">
      <c r="A44" s="599"/>
      <c r="B44" s="876"/>
      <c r="C44" s="878"/>
      <c r="D44" s="254">
        <v>100</v>
      </c>
      <c r="E44" s="878"/>
      <c r="F44" s="862">
        <f>SUMIF(126:126,E44,127:127)-SUMIF(126:126,C44,127:127)+100</f>
        <v>100</v>
      </c>
      <c r="G44" s="878"/>
      <c r="H44" s="254">
        <f>SUMIF(126:126,G44,127:127)-SUMIF(126:126,C44,127:127)+100</f>
        <v>100</v>
      </c>
      <c r="I44" s="878" t="s">
        <v>3435</v>
      </c>
      <c r="J44" s="254">
        <f>SUMIF(126:126,I44,127:127)-SUMIF(126:126,C44,127:127)+100</f>
        <v>100</v>
      </c>
      <c r="K44" s="864"/>
      <c r="L44" s="2119"/>
      <c r="M44" s="2120"/>
      <c r="N44" s="2120"/>
      <c r="O44" s="2121"/>
      <c r="P44" s="3579"/>
      <c r="Q44" s="1145">
        <f t="shared" si="11"/>
        <v>0</v>
      </c>
      <c r="R44" s="1553" t="s">
        <v>11</v>
      </c>
      <c r="S44" s="1554">
        <f t="shared" si="12"/>
        <v>100</v>
      </c>
      <c r="T44" s="1553" t="s">
        <v>11</v>
      </c>
      <c r="U44" s="1554">
        <f t="shared" si="13"/>
        <v>100</v>
      </c>
      <c r="V44" s="1553" t="s">
        <v>11</v>
      </c>
      <c r="W44" s="1554">
        <f t="shared" si="14"/>
        <v>100</v>
      </c>
      <c r="X44" s="1555"/>
      <c r="Y44" s="3579"/>
      <c r="Z44" s="1144">
        <f t="shared" si="15"/>
        <v>0</v>
      </c>
      <c r="AA44" s="1556">
        <f t="shared" si="3"/>
        <v>1</v>
      </c>
      <c r="AB44" s="1556">
        <f t="shared" si="4"/>
        <v>1</v>
      </c>
      <c r="AC44" s="1556">
        <f t="shared" si="5"/>
        <v>1</v>
      </c>
    </row>
    <row r="45" spans="1:29" ht="28.5">
      <c r="A45" s="593"/>
      <c r="B45" s="876"/>
      <c r="C45" s="538"/>
      <c r="D45" s="539">
        <v>100</v>
      </c>
      <c r="E45" s="538"/>
      <c r="F45" s="574">
        <f>SUMIF(128:128,E45,129:129)-SUMIF(128:128,C45,129:129)+100</f>
        <v>100</v>
      </c>
      <c r="G45" s="538"/>
      <c r="H45" s="539">
        <f>SUMIF(128:128,G45,129:129)-SUMIF(128:128,C45,129:129)+100</f>
        <v>100</v>
      </c>
      <c r="I45" s="538" t="s">
        <v>3436</v>
      </c>
      <c r="J45" s="539">
        <f>SUMIF(128:128,I45,129:129)-SUMIF(128:128,C45,129:129)+100</f>
        <v>100</v>
      </c>
      <c r="K45" s="864"/>
      <c r="L45" s="2126"/>
      <c r="M45" s="2118"/>
      <c r="N45" s="2118"/>
      <c r="O45" s="2125"/>
      <c r="P45" s="3579"/>
      <c r="Q45" s="1557">
        <f t="shared" si="11"/>
        <v>0</v>
      </c>
      <c r="R45" s="1558" t="s">
        <v>11</v>
      </c>
      <c r="S45" s="1559">
        <f t="shared" si="12"/>
        <v>100</v>
      </c>
      <c r="T45" s="1558" t="s">
        <v>11</v>
      </c>
      <c r="U45" s="1559">
        <f t="shared" si="13"/>
        <v>100</v>
      </c>
      <c r="V45" s="1558" t="s">
        <v>11</v>
      </c>
      <c r="W45" s="1559">
        <f t="shared" si="14"/>
        <v>100</v>
      </c>
      <c r="X45" s="1552"/>
      <c r="Y45" s="3579"/>
      <c r="Z45" s="1560">
        <f t="shared" si="15"/>
        <v>0</v>
      </c>
      <c r="AA45" s="1561">
        <f t="shared" si="3"/>
        <v>1</v>
      </c>
      <c r="AB45" s="1561">
        <f t="shared" si="4"/>
        <v>1</v>
      </c>
      <c r="AC45" s="1561">
        <f t="shared" si="5"/>
        <v>1</v>
      </c>
    </row>
    <row r="46" spans="1:29" ht="15.75"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661"/>
      <c r="Q46" s="1557">
        <f t="shared" si="11"/>
        <v>0</v>
      </c>
      <c r="R46" s="1558" t="s">
        <v>10</v>
      </c>
      <c r="S46" s="1559">
        <f t="shared" si="12"/>
        <v>100</v>
      </c>
      <c r="T46" s="1558" t="s">
        <v>10</v>
      </c>
      <c r="U46" s="1559">
        <f t="shared" si="13"/>
        <v>100</v>
      </c>
      <c r="V46" s="1558" t="s">
        <v>10</v>
      </c>
      <c r="W46" s="1559">
        <f t="shared" si="14"/>
        <v>100</v>
      </c>
      <c r="X46" s="1552"/>
      <c r="Y46" s="3661"/>
      <c r="Z46" s="1560">
        <f t="shared" si="15"/>
        <v>0</v>
      </c>
      <c r="AA46" s="1561">
        <f t="shared" si="3"/>
        <v>1</v>
      </c>
      <c r="AB46" s="1561">
        <f t="shared" si="4"/>
        <v>1</v>
      </c>
      <c r="AC46" s="1561">
        <f t="shared" si="5"/>
        <v>1</v>
      </c>
    </row>
    <row r="47" spans="1:29" ht="15">
      <c r="A47" s="606" t="s">
        <v>736</v>
      </c>
      <c r="B47" s="885"/>
      <c r="C47" s="2590" t="s">
        <v>9</v>
      </c>
      <c r="D47" s="2591"/>
      <c r="E47" s="2592">
        <f>ROUND($F$50*10500,0)</f>
        <v>10290</v>
      </c>
      <c r="F47" s="2593"/>
      <c r="G47" s="2594">
        <f>ROUND($F$50*830000/90,0)</f>
        <v>9038</v>
      </c>
      <c r="H47" s="2595"/>
      <c r="I47" s="2592">
        <f>ROUND($F$50*11000,0)</f>
        <v>10780</v>
      </c>
      <c r="J47" s="2595"/>
      <c r="K47" s="1590"/>
      <c r="L47" s="2128"/>
      <c r="M47" s="2129"/>
      <c r="N47" s="2118"/>
      <c r="O47" s="2129"/>
      <c r="P47" s="3542" t="str">
        <f>A47</f>
        <v>成交单价（元/平方米）</v>
      </c>
      <c r="Q47" s="3542"/>
      <c r="R47" s="3660">
        <f>E47</f>
        <v>10290</v>
      </c>
      <c r="S47" s="3660"/>
      <c r="T47" s="3660">
        <f>G47</f>
        <v>9038</v>
      </c>
      <c r="U47" s="3660"/>
      <c r="V47" s="3660">
        <f>I47</f>
        <v>10780</v>
      </c>
      <c r="W47" s="3660"/>
      <c r="X47" s="1544"/>
      <c r="Y47" s="1566"/>
      <c r="Z47" s="1544"/>
      <c r="AA47" s="1544"/>
      <c r="AB47" s="1544"/>
      <c r="AC47" s="1544"/>
    </row>
    <row r="48" spans="1:29" ht="15.75" thickBot="1">
      <c r="A48" s="614" t="s">
        <v>2758</v>
      </c>
      <c r="B48" s="886"/>
      <c r="C48" s="2596">
        <f>R49</f>
        <v>12012</v>
      </c>
      <c r="D48" s="2597"/>
      <c r="E48" s="2598">
        <f>R48</f>
        <v>12281</v>
      </c>
      <c r="F48" s="2598"/>
      <c r="G48" s="2596">
        <f>T48</f>
        <v>11148</v>
      </c>
      <c r="H48" s="2597"/>
      <c r="I48" s="2598">
        <f>V48</f>
        <v>12608</v>
      </c>
      <c r="J48" s="2597"/>
      <c r="K48" s="1591"/>
      <c r="L48" s="2128"/>
      <c r="M48" s="2129"/>
      <c r="N48" s="2129"/>
      <c r="O48" s="2129"/>
      <c r="P48" s="3542" t="str">
        <f>A48</f>
        <v>比较价格（元/平方米）</v>
      </c>
      <c r="Q48" s="3542"/>
      <c r="R48" s="3660">
        <f>IF(F1="售价",ROUND(PRODUCT(R47,AA7:AA46),0),ROUND(PRODUCT(R47,AA7:AA46),1))</f>
        <v>12281</v>
      </c>
      <c r="S48" s="3660"/>
      <c r="T48" s="3660">
        <f>IF(F1="售价",ROUND(PRODUCT(T47,AB7:AB46),0),ROUND(PRODUCT(T47,AB7:AB46),1))</f>
        <v>11148</v>
      </c>
      <c r="U48" s="3660"/>
      <c r="V48" s="3660">
        <f>IF(F1="售价",ROUND(PRODUCT(V47,AC7:AC46),0),ROUND(PRODUCT(V47,AC7:AC46),1))</f>
        <v>12608</v>
      </c>
      <c r="W48" s="3660"/>
      <c r="X48" s="1544"/>
      <c r="Y48" s="1544"/>
      <c r="Z48" s="1544"/>
      <c r="AA48" s="1544"/>
      <c r="AB48" s="1544"/>
      <c r="AC48" s="1544"/>
    </row>
    <row r="49" spans="1:29" ht="15.75" thickBot="1">
      <c r="A49" s="620" t="s">
        <v>2934</v>
      </c>
      <c r="B49" s="621"/>
      <c r="C49" s="2599">
        <f>R49</f>
        <v>12012</v>
      </c>
      <c r="D49" s="2599"/>
      <c r="E49" s="2599"/>
      <c r="F49" s="2599"/>
      <c r="G49" s="2599"/>
      <c r="H49" s="2599"/>
      <c r="I49" s="2599"/>
      <c r="J49" s="2599"/>
      <c r="K49" s="1592"/>
      <c r="L49" s="2128"/>
      <c r="M49" s="2129"/>
      <c r="N49" s="2129"/>
      <c r="O49" s="2129"/>
      <c r="P49" s="3539" t="str">
        <f>A49</f>
        <v>估价对象XX用房的比较价格（楼面单价，元/平方米）</v>
      </c>
      <c r="Q49" s="3540"/>
      <c r="R49" s="3659">
        <f>IF(F1="售价",ROUND(AVERAGE(R48:V48),0),ROUND(AVERAGE(R48:V48),1))</f>
        <v>12012</v>
      </c>
      <c r="S49" s="3659"/>
      <c r="T49" s="3659"/>
      <c r="U49" s="3659"/>
      <c r="V49" s="3659"/>
      <c r="W49" s="3659"/>
      <c r="X49" s="1544"/>
      <c r="Y49" s="1544"/>
      <c r="Z49" s="1544"/>
      <c r="AA49" s="1544"/>
      <c r="AB49" s="1544"/>
      <c r="AC49" s="1544"/>
    </row>
    <row r="50" spans="1:29">
      <c r="A50" s="2129"/>
      <c r="B50" s="2129"/>
      <c r="C50" s="2129"/>
      <c r="D50" s="2129"/>
      <c r="E50" s="3206" t="s">
        <v>3068</v>
      </c>
      <c r="F50" s="2129">
        <v>0.98</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0.19348882410106905</v>
      </c>
      <c r="F52" s="626" t="str">
        <f>IF(OR(E52&gt;=0.3,E52&lt;=-0.3),"超过30%","")</f>
        <v/>
      </c>
      <c r="G52" s="625">
        <f>IF(G47&lt;G48,G48/G47-1,G47/G48-1)</f>
        <v>0.2334587298074795</v>
      </c>
      <c r="H52" s="626" t="str">
        <f>IF(OR(G52&gt;=0.3,G52&lt;=-0.3),"超过30%","")</f>
        <v/>
      </c>
      <c r="I52" s="625">
        <f>IF(I47&lt;I48,I48/I47-1,I47/I48-1)</f>
        <v>0.16957328385899806</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0.101632579834948</v>
      </c>
      <c r="F53" s="626" t="str">
        <f>IF(OR(E53&gt;=0.2,E53&lt;=-0.2),"超过20%","")</f>
        <v/>
      </c>
      <c r="G53" s="625">
        <f>IF(G48&lt;I48,I48/G48-1,G48/I48-1)</f>
        <v>0.13096519555077135</v>
      </c>
      <c r="H53" s="626" t="str">
        <f>IF(OR(G53&gt;=0.2,G53&lt;=-0.2),"超过20%","")</f>
        <v/>
      </c>
      <c r="I53" s="625">
        <f>IF(I48&lt;E48,E48/I48-1,I48/E48-1)</f>
        <v>2.6626496213663309E-2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f>IF(E47&lt;G47,G47/E47-1,E47/G47-1)</f>
        <v>0.13852622261562297</v>
      </c>
      <c r="F54" s="626" t="str">
        <f>IF(OR(E54&gt;=0.3,E54&lt;=-0.3),"超过30%","")</f>
        <v/>
      </c>
      <c r="G54" s="625">
        <f>IF(G47&lt;I47,I47/G47-1,G47/I47-1)</f>
        <v>0.19274175702589069</v>
      </c>
      <c r="H54" s="626" t="str">
        <f>IF(OR(G54&gt;=0.3,G54&lt;=-0.3),"超过30%","")</f>
        <v/>
      </c>
      <c r="I54" s="625">
        <f>IF(I47&lt;E47,E47/I47-1,I47/E47-1)</f>
        <v>4.7619047619047672E-2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1（含）-2</v>
      </c>
      <c r="D67" s="681" t="str">
        <f t="shared" ref="D67:L67" si="18">D68&amp;"（含）"&amp;"-"&amp;E68</f>
        <v>2（含）-3</v>
      </c>
      <c r="E67" s="681" t="str">
        <f t="shared" si="18"/>
        <v>3（含）-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2</v>
      </c>
      <c r="E68" s="540">
        <v>3</v>
      </c>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0</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0</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0</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97</v>
      </c>
      <c r="E79" s="678">
        <f>D79-$K17</f>
        <v>94</v>
      </c>
      <c r="F79" s="678">
        <f>E79-$K17</f>
        <v>91</v>
      </c>
      <c r="G79" s="678">
        <f>F79-$K17</f>
        <v>88</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95</v>
      </c>
      <c r="E81" s="678">
        <f>D81-$K19</f>
        <v>90</v>
      </c>
      <c r="F81" s="678">
        <f>E81-$K19</f>
        <v>85</v>
      </c>
      <c r="G81" s="678">
        <f>F81-$K19</f>
        <v>80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97</v>
      </c>
      <c r="E83" s="678">
        <f>D83-$K21</f>
        <v>94</v>
      </c>
      <c r="F83" s="678">
        <f>E83-$K21</f>
        <v>91</v>
      </c>
      <c r="G83" s="678">
        <f>F83-$K21</f>
        <v>88</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95</v>
      </c>
      <c r="E85" s="678">
        <f>D85-$K23</f>
        <v>90</v>
      </c>
      <c r="F85" s="678">
        <f>E85-$K23</f>
        <v>85</v>
      </c>
      <c r="G85" s="678">
        <f>F85-$K23</f>
        <v>80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2257</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746</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0</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0</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0</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0</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205" t="s">
        <v>3069</v>
      </c>
      <c r="D100" s="3205" t="s">
        <v>3070</v>
      </c>
      <c r="E100" s="3205" t="s">
        <v>3067</v>
      </c>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203" t="s">
        <v>3066</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204" t="s">
        <v>3065</v>
      </c>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203" t="s">
        <v>3063</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203" t="s">
        <v>3062</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203" t="s">
        <v>3060</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3204" t="s">
        <v>3058</v>
      </c>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733</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203" t="s">
        <v>3053</v>
      </c>
      <c r="D122" s="3203" t="s">
        <v>3054</v>
      </c>
      <c r="E122" s="3203" t="s">
        <v>3056</v>
      </c>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0</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0</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0</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31" sqref="G3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3011</v>
      </c>
      <c r="D1" s="3076" t="s">
        <v>3042</v>
      </c>
      <c r="E1" s="2350" t="s">
        <v>2373</v>
      </c>
      <c r="F1" s="2351">
        <f ca="1">J53</f>
        <v>38</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4449</v>
      </c>
      <c r="C2" s="2041"/>
      <c r="D2" s="2039"/>
      <c r="E2" s="2040"/>
      <c r="F2" s="2040"/>
      <c r="G2" s="1575"/>
      <c r="H2" s="2041"/>
      <c r="I2" s="2041"/>
      <c r="J2" s="2041"/>
      <c r="K2" s="2042"/>
      <c r="L2" s="2041"/>
      <c r="M2" s="2041"/>
    </row>
    <row r="3" spans="1:33" ht="18" customHeight="1" thickBot="1">
      <c r="A3" s="832" t="s">
        <v>1727</v>
      </c>
      <c r="B3" s="833">
        <f ca="1">IF(ISERROR(B2*10000/F43),0,ROUND(B2*10000/F43,0))</f>
        <v>11367</v>
      </c>
      <c r="C3" s="2041"/>
      <c r="D3" s="2039"/>
      <c r="E3" s="2040"/>
      <c r="F3" s="2040"/>
      <c r="G3" s="1575"/>
      <c r="H3" s="775" t="s">
        <v>695</v>
      </c>
      <c r="I3" s="1357"/>
      <c r="J3" s="1357"/>
      <c r="K3" s="1576"/>
      <c r="L3" s="1357"/>
      <c r="M3" s="1357"/>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257</v>
      </c>
      <c r="D5" s="2459" t="s">
        <v>2460</v>
      </c>
      <c r="E5" s="2453"/>
      <c r="F5" s="2454"/>
      <c r="G5" s="1577"/>
      <c r="H5" s="780">
        <v>1</v>
      </c>
      <c r="I5" s="781" t="s">
        <v>2457</v>
      </c>
      <c r="J5" s="55">
        <f ca="1">J6+J10+J12</f>
        <v>0</v>
      </c>
      <c r="K5" s="2459" t="s">
        <v>2460</v>
      </c>
      <c r="L5" s="2453"/>
      <c r="M5" s="2454"/>
    </row>
    <row r="6" spans="1:33" ht="18" customHeight="1">
      <c r="A6" s="1814" t="s">
        <v>1824</v>
      </c>
      <c r="B6" s="3632" t="s">
        <v>2462</v>
      </c>
      <c r="C6" s="782">
        <f ca="1">ROUND(F6*F8*F7*(1-F9)/10000,0)</f>
        <v>257</v>
      </c>
      <c r="D6" s="2460" t="s">
        <v>2461</v>
      </c>
      <c r="E6" s="783" t="s">
        <v>1738</v>
      </c>
      <c r="F6" s="784">
        <f ca="1">INDIRECT("'数据-取费表'!u"&amp;$G$1)</f>
        <v>2</v>
      </c>
      <c r="G6" s="1577"/>
      <c r="H6" s="2467" t="s">
        <v>2467</v>
      </c>
      <c r="I6" s="3632" t="s">
        <v>2462</v>
      </c>
      <c r="J6" s="782">
        <f ca="1">ROUND(M6*M8*M7*(1-M9)/10000,0)</f>
        <v>0</v>
      </c>
      <c r="K6" s="340" t="s">
        <v>1737</v>
      </c>
      <c r="L6" s="783" t="s">
        <v>1738</v>
      </c>
      <c r="M6" s="784">
        <f ca="1">INDIRECT("'数据-取费表'!z"&amp;$G$1)</f>
        <v>0</v>
      </c>
    </row>
    <row r="7" spans="1:33" ht="18" customHeight="1">
      <c r="A7" s="2463"/>
      <c r="B7" s="3633"/>
      <c r="C7" s="787"/>
      <c r="D7" s="788"/>
      <c r="E7" s="783" t="s">
        <v>1739</v>
      </c>
      <c r="F7" s="784">
        <f ca="1">IF(INDIRECT("'数据-取费表'!ah"&amp;$G$1)="",INDIRECT("'数据-取费表'!k"&amp;$G$1),INDIRECT("'数据-取费表'!ah"&amp;$G$1))</f>
        <v>3913.9399999999996</v>
      </c>
      <c r="G7" s="1577"/>
      <c r="H7" s="2452"/>
      <c r="I7" s="3633"/>
      <c r="J7" s="787"/>
      <c r="K7" s="788"/>
      <c r="L7" s="783" t="s">
        <v>1739</v>
      </c>
      <c r="M7" s="784">
        <f ca="1">F7</f>
        <v>3913.9399999999996</v>
      </c>
    </row>
    <row r="8" spans="1:33" ht="18" customHeight="1">
      <c r="A8" s="2456"/>
      <c r="B8" s="3634"/>
      <c r="C8" s="787"/>
      <c r="D8" s="788"/>
      <c r="E8" s="783" t="s">
        <v>1740</v>
      </c>
      <c r="F8" s="784">
        <f ca="1">INDIRECT("'数据-取费表'!ai"&amp;$G$1)</f>
        <v>365</v>
      </c>
      <c r="G8" s="1577"/>
      <c r="H8" s="2452"/>
      <c r="I8" s="3634"/>
      <c r="J8" s="787"/>
      <c r="K8" s="788"/>
      <c r="L8" s="783" t="s">
        <v>1740</v>
      </c>
      <c r="M8" s="784">
        <f ca="1">INDIRECT("'数据-取费表'!ai"&amp;$G$1)</f>
        <v>365</v>
      </c>
    </row>
    <row r="9" spans="1:33" ht="18" customHeight="1">
      <c r="A9" s="785"/>
      <c r="B9" s="3635"/>
      <c r="C9" s="787"/>
      <c r="D9" s="788"/>
      <c r="E9" s="783" t="s">
        <v>1741</v>
      </c>
      <c r="F9" s="793">
        <f ca="1">INDIRECT("'数据-取费表'!w"&amp;$G$1)</f>
        <v>0.1</v>
      </c>
      <c r="G9" s="1577"/>
      <c r="H9" s="2468"/>
      <c r="I9" s="3634"/>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2972</v>
      </c>
      <c r="E10" s="2461" t="s">
        <v>2463</v>
      </c>
      <c r="F10" s="2584"/>
      <c r="G10" s="1577"/>
      <c r="H10" s="2524" t="s">
        <v>2468</v>
      </c>
      <c r="I10" s="2529" t="s">
        <v>2458</v>
      </c>
      <c r="J10" s="782">
        <f ca="1">ROUND(IF(M10="押一",J6/12*M11,IF(M10="押二",J6/12*2*M11,IF(M10="押三",J6/12*3*M11,J11*M11))),0)</f>
        <v>0</v>
      </c>
      <c r="K10" s="2464" t="s">
        <v>2972</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1546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999</v>
      </c>
      <c r="D14" s="1963" t="s">
        <v>1745</v>
      </c>
      <c r="E14" s="1964"/>
      <c r="F14" s="804"/>
      <c r="G14" s="1577"/>
      <c r="H14" s="1633" t="s">
        <v>1830</v>
      </c>
      <c r="I14" s="2215" t="s">
        <v>2824</v>
      </c>
      <c r="J14" s="53">
        <f ca="1">C29</f>
        <v>1546</v>
      </c>
      <c r="K14" s="26"/>
      <c r="L14" s="800"/>
      <c r="M14" s="801"/>
    </row>
    <row r="15" spans="1:33" s="2048" customFormat="1" ht="18" customHeight="1" thickBot="1">
      <c r="A15" s="1632" t="s">
        <v>1885</v>
      </c>
      <c r="B15" s="783" t="s">
        <v>647</v>
      </c>
      <c r="C15" s="53">
        <f ca="1">ROUND(C14*F15,0)</f>
        <v>30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153</v>
      </c>
      <c r="K16" s="1805" t="s">
        <v>1750</v>
      </c>
      <c r="L16" s="2449"/>
      <c r="M16" s="2454"/>
    </row>
    <row r="17" spans="1:33" s="2048" customFormat="1" ht="18" customHeight="1">
      <c r="A17" s="1632" t="s">
        <v>1887</v>
      </c>
      <c r="B17" s="783" t="s">
        <v>653</v>
      </c>
      <c r="C17" s="53">
        <f ca="1">ROUND(F17*(F43+INDIRECT("'数据-取费表'!S"&amp;$G$1))/10000,0)</f>
        <v>83</v>
      </c>
      <c r="D17" s="783" t="s">
        <v>1751</v>
      </c>
      <c r="E17" s="783" t="s">
        <v>1752</v>
      </c>
      <c r="F17" s="56">
        <f>'数据-取费表'!B35</f>
        <v>200</v>
      </c>
      <c r="G17" s="1578"/>
      <c r="H17" s="1633" t="s">
        <v>1830</v>
      </c>
      <c r="I17" s="783" t="s">
        <v>656</v>
      </c>
      <c r="J17" s="53">
        <f ca="1">ROUND(IF(项目基本情况!B11="自然人",J6*M17/(1+'数据-取费表'!C42),J18+J19+J20),0)</f>
        <v>130</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15</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1127</v>
      </c>
      <c r="D19" s="260" t="s">
        <v>1757</v>
      </c>
      <c r="E19" s="1966"/>
      <c r="F19" s="56"/>
      <c r="G19" s="1577"/>
      <c r="H19" s="1632" t="s">
        <v>1885</v>
      </c>
      <c r="I19" s="783" t="s">
        <v>1758</v>
      </c>
      <c r="J19" s="53">
        <f ca="1">IF(K19="按租金收入计税",ROUND(J6*M19/(1+'数据-取费表'!C42),1),ROUND(C29*F33*0.7,1))</f>
        <v>129.9</v>
      </c>
      <c r="K19" s="810" t="s">
        <v>665</v>
      </c>
      <c r="L19" s="783" t="s">
        <v>1747</v>
      </c>
      <c r="M19" s="808">
        <f>IF(K19="按租金收入计税",'数据-取费表'!B51,'数据-取费表'!B50)</f>
        <v>1.2E-2</v>
      </c>
    </row>
    <row r="20" spans="1:33" s="2048" customFormat="1" ht="18" customHeight="1">
      <c r="A20" s="1633" t="s">
        <v>1889</v>
      </c>
      <c r="B20" s="783" t="s">
        <v>666</v>
      </c>
      <c r="C20" s="53">
        <f ca="1">ROUND(C19*F20,0)</f>
        <v>23</v>
      </c>
      <c r="D20" s="811" t="s">
        <v>1759</v>
      </c>
      <c r="E20" s="783" t="s">
        <v>1747</v>
      </c>
      <c r="F20" s="808">
        <f>'数据-取费表'!B37</f>
        <v>0.02</v>
      </c>
      <c r="G20" s="1578"/>
      <c r="H20" s="1635" t="s">
        <v>1880</v>
      </c>
      <c r="I20" s="340" t="s">
        <v>1760</v>
      </c>
      <c r="J20" s="54">
        <f ca="1">ROUND(M20*M21/10000,0)</f>
        <v>0</v>
      </c>
      <c r="K20" s="813" t="s">
        <v>1761</v>
      </c>
      <c r="L20" s="783" t="s">
        <v>1762</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1605.49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23</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55</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2820</v>
      </c>
      <c r="J25" s="791">
        <f ca="1">J5-J16</f>
        <v>-153</v>
      </c>
      <c r="K25" s="2511" t="s">
        <v>1777</v>
      </c>
      <c r="L25" s="2512"/>
      <c r="M25" s="2513"/>
    </row>
    <row r="26" spans="1:33" ht="18" customHeight="1">
      <c r="A26" s="1632" t="s">
        <v>1831</v>
      </c>
      <c r="B26" s="783" t="s">
        <v>2437</v>
      </c>
      <c r="C26" s="53">
        <f ca="1">ROUND((C19+C20)*F26,0)</f>
        <v>230</v>
      </c>
      <c r="D26" s="811" t="s">
        <v>1778</v>
      </c>
      <c r="E26" s="794" t="s">
        <v>1779</v>
      </c>
      <c r="F26" s="793">
        <f ca="1">INDIRECT("'数据-取费表'!q"&amp;$G$1)</f>
        <v>0.2</v>
      </c>
      <c r="G26" s="1577"/>
      <c r="H26" s="2465" t="s">
        <v>1780</v>
      </c>
      <c r="I26" s="2216" t="s">
        <v>2825</v>
      </c>
      <c r="J26" s="782">
        <f ca="1">IF(J5&lt;&gt;0,ROUND(J25*(1-((1+M28)/(1+M26))^M27)/(M26-M28),0),0)</f>
        <v>0</v>
      </c>
      <c r="K26" s="813" t="s">
        <v>1781</v>
      </c>
      <c r="L26" s="783" t="s">
        <v>2418</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1546</v>
      </c>
      <c r="D29" s="2508"/>
      <c r="E29" s="2509"/>
      <c r="F29" s="2510"/>
      <c r="G29" s="1578"/>
      <c r="H29" s="822" t="s">
        <v>1787</v>
      </c>
      <c r="I29" s="823" t="s">
        <v>1788</v>
      </c>
      <c r="J29" s="824">
        <f ca="1">ROUND(J26/(1+F40)^F41,0)</f>
        <v>0</v>
      </c>
      <c r="K29" s="825" t="s">
        <v>1789</v>
      </c>
      <c r="L29" s="826"/>
      <c r="M29" s="827">
        <f ca="1">INDIRECT("'数据-取费表'!k"&amp;$G$1)</f>
        <v>3913.9399999999996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71</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43.1</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13.7</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29.4</v>
      </c>
      <c r="D33" s="810" t="s">
        <v>3043</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v>
      </c>
      <c r="D34" s="813" t="s">
        <v>1799</v>
      </c>
      <c r="E34" s="783" t="s">
        <v>1800</v>
      </c>
      <c r="F34" s="639">
        <f>'数据-取费表'!B52</f>
        <v>0</v>
      </c>
      <c r="G34" s="2046"/>
      <c r="H34" s="2049"/>
      <c r="I34" s="834" t="s">
        <v>1813</v>
      </c>
      <c r="J34" s="835"/>
      <c r="K34" s="2064"/>
      <c r="L34" s="2063"/>
      <c r="M34" s="2063"/>
    </row>
    <row r="35" spans="1:18" ht="18" customHeight="1">
      <c r="A35" s="814"/>
      <c r="B35" s="792"/>
      <c r="C35" s="69"/>
      <c r="D35" s="815"/>
      <c r="E35" s="783" t="s">
        <v>1801</v>
      </c>
      <c r="F35" s="784">
        <f ca="1">INDIRECT("'数据-取费表'!r"&amp;$G$1)</f>
        <v>1605.49</v>
      </c>
      <c r="G35" s="2046"/>
      <c r="H35" s="2049"/>
      <c r="I35" s="836" t="s">
        <v>1814</v>
      </c>
      <c r="J35" s="837">
        <f ca="1">ROUND(C13*J36,0)</f>
        <v>0</v>
      </c>
      <c r="K35" s="2062"/>
      <c r="L35" s="2061"/>
      <c r="M35" s="2061"/>
    </row>
    <row r="36" spans="1:18" ht="18" customHeight="1">
      <c r="A36" s="1633" t="s">
        <v>1889</v>
      </c>
      <c r="B36" s="783" t="s">
        <v>1802</v>
      </c>
      <c r="C36" s="53">
        <f ca="1">ROUND(C29*F36,1)</f>
        <v>23.2</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2.2999999999999998</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2.6</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2820</v>
      </c>
      <c r="C39" s="791">
        <f ca="1">C5-C30</f>
        <v>186</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4449</v>
      </c>
      <c r="D40" s="813" t="s">
        <v>1807</v>
      </c>
      <c r="E40" s="783" t="s">
        <v>2418</v>
      </c>
      <c r="F40" s="793">
        <f ca="1">INDIRECT("'数据-取费表'!I"&amp;$G$1)</f>
        <v>5.5E-2</v>
      </c>
      <c r="G40" s="2046"/>
      <c r="H40" s="2046"/>
      <c r="I40" s="836" t="s">
        <v>1819</v>
      </c>
      <c r="J40" s="844">
        <f ca="1">1-J39</f>
        <v>1</v>
      </c>
      <c r="K40" s="2067"/>
      <c r="L40" s="2046"/>
      <c r="M40" s="2046"/>
    </row>
    <row r="41" spans="1:18" ht="18" customHeight="1">
      <c r="A41" s="785"/>
      <c r="B41" s="786"/>
      <c r="C41" s="787"/>
      <c r="D41" s="820" t="s">
        <v>1808</v>
      </c>
      <c r="E41" s="783" t="s">
        <v>2962</v>
      </c>
      <c r="F41" s="821">
        <f ca="1">IF(INDIRECT("'数据-取费表'!af"&amp;$G$1)=0,INDIRECT("'数据-取费表'!ae"&amp;$G$1),INDIRECT("'数据-取费表'!af"&amp;$G$1))</f>
        <v>38</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0.34699999999999998</v>
      </c>
      <c r="K42" s="2066"/>
      <c r="L42" s="1972"/>
      <c r="M42" s="1972"/>
    </row>
    <row r="43" spans="1:18" ht="18" customHeight="1" thickBot="1">
      <c r="A43" s="822" t="s">
        <v>1787</v>
      </c>
      <c r="B43" s="823" t="s">
        <v>1810</v>
      </c>
      <c r="C43" s="824">
        <f ca="1">ROUND(C40*10000/F43,0)</f>
        <v>11367</v>
      </c>
      <c r="D43" s="825" t="s">
        <v>1811</v>
      </c>
      <c r="E43" s="826" t="s">
        <v>1812</v>
      </c>
      <c r="F43" s="827">
        <f ca="1">INDIRECT("'数据-取费表'!k"&amp;$G$1)</f>
        <v>3913.9399999999996</v>
      </c>
      <c r="G43" s="2046"/>
      <c r="H43" s="1972"/>
      <c r="I43" s="846" t="s">
        <v>1822</v>
      </c>
      <c r="J43" s="847">
        <f ca="1">1-J42</f>
        <v>0.65300000000000002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-4860</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t="s">
        <v>3044</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636</v>
      </c>
      <c r="E48" s="2339" t="s">
        <v>2296</v>
      </c>
      <c r="F48" s="2340"/>
      <c r="G48" s="2074"/>
      <c r="I48" s="3077" t="s">
        <v>2344</v>
      </c>
      <c r="J48" s="2345" t="s">
        <v>2349</v>
      </c>
      <c r="K48" s="3105" t="s">
        <v>2350</v>
      </c>
      <c r="L48" s="1892">
        <f ca="1">INDIRECT("'数据-取费表'!f"&amp;$G$1)</f>
        <v>40</v>
      </c>
      <c r="O48" s="2361" t="s">
        <v>2378</v>
      </c>
      <c r="P48" s="2362" t="s">
        <v>2404</v>
      </c>
      <c r="Q48" s="2363">
        <f ca="1">C40+J29</f>
        <v>4449</v>
      </c>
      <c r="R48" s="2362" t="s">
        <v>2379</v>
      </c>
    </row>
    <row r="49" spans="1:18" s="2043" customFormat="1" ht="18" customHeight="1" thickBot="1">
      <c r="A49" s="785"/>
      <c r="B49" s="786"/>
      <c r="C49" s="787"/>
      <c r="D49" s="788"/>
      <c r="E49" s="783" t="s">
        <v>1739</v>
      </c>
      <c r="F49" s="784">
        <f ca="1">F7</f>
        <v>3913.9399999999996</v>
      </c>
      <c r="G49" s="2074"/>
      <c r="H49" s="2077"/>
      <c r="I49" s="3077" t="s">
        <v>2345</v>
      </c>
      <c r="J49" s="2346"/>
      <c r="K49" s="3106" t="s">
        <v>2351</v>
      </c>
      <c r="L49" s="2347"/>
      <c r="O49" s="2361" t="s">
        <v>2380</v>
      </c>
      <c r="P49" s="2362" t="s">
        <v>2405</v>
      </c>
      <c r="Q49" s="2363" t="str">
        <f ca="1">J60</f>
        <v>0</v>
      </c>
      <c r="R49" s="2362" t="s">
        <v>2381</v>
      </c>
    </row>
    <row r="50" spans="1:18" s="2043" customFormat="1" ht="18" customHeight="1" thickBot="1">
      <c r="A50" s="785"/>
      <c r="B50" s="786"/>
      <c r="C50" s="787"/>
      <c r="D50" s="788"/>
      <c r="E50" s="783" t="s">
        <v>1740</v>
      </c>
      <c r="F50" s="784">
        <f ca="1">F8</f>
        <v>365</v>
      </c>
      <c r="G50" s="2079"/>
      <c r="H50" s="2077"/>
      <c r="I50" s="3077" t="s">
        <v>2346</v>
      </c>
      <c r="J50" s="3102">
        <f>SUMPRODUCT((I63:I65=J47)*(J62:L62=J48)*(J63:L65))</f>
        <v>60</v>
      </c>
      <c r="K50" s="3106" t="s">
        <v>2352</v>
      </c>
      <c r="L50" s="2347"/>
      <c r="O50" s="2364" t="s">
        <v>2382</v>
      </c>
      <c r="P50" s="2362" t="s">
        <v>2406</v>
      </c>
      <c r="Q50" s="2363">
        <f ca="1">C29</f>
        <v>1546</v>
      </c>
      <c r="R50" s="2362" t="s">
        <v>2379</v>
      </c>
    </row>
    <row r="51" spans="1:18" s="2043" customFormat="1" ht="18" customHeight="1" thickBot="1">
      <c r="A51" s="785"/>
      <c r="B51" s="786"/>
      <c r="C51" s="787"/>
      <c r="D51" s="788"/>
      <c r="E51" s="783" t="s">
        <v>640</v>
      </c>
      <c r="F51" s="2334"/>
      <c r="H51" s="2077"/>
      <c r="I51" s="3099" t="s">
        <v>2347</v>
      </c>
      <c r="J51" s="3103">
        <f>IF(J49="",J50,J49+J50-YEAR('数据-取费表'!B2))</f>
        <v>60</v>
      </c>
      <c r="K51" s="3077" t="s">
        <v>2353</v>
      </c>
      <c r="L51" s="3109">
        <f ca="1">ROUND(-PV(INDIRECT("'数据-取费表'!h"&amp;$G$1),L48,(C39-C13*J36),0),0)</f>
        <v>3192</v>
      </c>
      <c r="O51" s="2364" t="s">
        <v>2383</v>
      </c>
      <c r="P51" s="2362" t="s">
        <v>2384</v>
      </c>
      <c r="Q51" s="2365" t="e">
        <f ca="1">J58</f>
        <v>#VALUE!</v>
      </c>
      <c r="R51" s="2366"/>
    </row>
    <row r="52" spans="1:18" s="2043" customFormat="1" ht="18" customHeight="1" thickBot="1">
      <c r="A52" s="780" t="s">
        <v>2535</v>
      </c>
      <c r="B52" s="2457" t="s">
        <v>2458</v>
      </c>
      <c r="C52" s="798">
        <f ca="1">ROUND(IF(F52="押一",C48/12*F11,IF(F52="押二",C48/12*2*F11,IF(F52="押三",C48/12*3*F11,C53*F11))),0)</f>
        <v>0</v>
      </c>
      <c r="D52" s="2464" t="s">
        <v>2973</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101" t="s">
        <v>2976</v>
      </c>
      <c r="J53" s="3180">
        <f ca="1">IF(M47="住宅",IF(D1="——",MAX(J51,L48),MAX(J51,L48-'数据-取费表'!B20)),IF(D1="——",MIN(J51,L48),MIN(J51,L48-'数据-取费表'!B20)))</f>
        <v>38</v>
      </c>
      <c r="K53" s="3666" t="s">
        <v>2964</v>
      </c>
      <c r="L53" s="3667"/>
      <c r="O53" s="2364" t="s">
        <v>2387</v>
      </c>
      <c r="P53" s="2362" t="s">
        <v>2388</v>
      </c>
      <c r="Q53" s="2363">
        <f ca="1">J53</f>
        <v>38</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4449</v>
      </c>
      <c r="R54" s="2366" t="s">
        <v>2391</v>
      </c>
    </row>
    <row r="55" spans="1:18" s="2043" customFormat="1" ht="18" customHeight="1" thickTop="1" thickBot="1">
      <c r="A55" s="796">
        <v>2</v>
      </c>
      <c r="B55" s="797" t="s">
        <v>644</v>
      </c>
      <c r="C55" s="798">
        <f ca="1">C13</f>
        <v>1546</v>
      </c>
      <c r="D55" s="794"/>
      <c r="E55" s="794"/>
      <c r="F55" s="799"/>
      <c r="I55" s="3112" t="s">
        <v>2354</v>
      </c>
      <c r="J55" s="3052" t="e">
        <f ca="1">ROUND(IF(J47="钢混",J57/J50,1-(1-2%)*(J50-J57)/J50),3)</f>
        <v>#VALUE!</v>
      </c>
      <c r="K55" s="3113" t="s">
        <v>2355</v>
      </c>
      <c r="L55" s="2349"/>
      <c r="O55" s="2367" t="s">
        <v>2410</v>
      </c>
      <c r="P55" s="1577"/>
      <c r="Q55" s="1588"/>
      <c r="R55" s="1577"/>
    </row>
    <row r="56" spans="1:18" s="2043" customFormat="1" ht="42.75" customHeight="1" thickBot="1">
      <c r="A56" s="1634"/>
      <c r="B56" s="2215" t="s">
        <v>2302</v>
      </c>
      <c r="C56" s="53">
        <f ca="1">C29</f>
        <v>1546</v>
      </c>
      <c r="D56" s="2602"/>
      <c r="E56" s="783"/>
      <c r="F56" s="808"/>
      <c r="I56" s="3114" t="s">
        <v>2356</v>
      </c>
      <c r="J56" s="3124" t="s">
        <v>1678</v>
      </c>
      <c r="K56" s="3077" t="s">
        <v>2361</v>
      </c>
      <c r="L56" s="1892" t="str">
        <f ca="1">IF(L48&lt;J51,"——",L48-J51)</f>
        <v>——</v>
      </c>
      <c r="O56" s="2358" t="s">
        <v>2374</v>
      </c>
      <c r="P56" s="2359" t="s">
        <v>2375</v>
      </c>
      <c r="Q56" s="2360" t="s">
        <v>2376</v>
      </c>
      <c r="R56" s="2359" t="s">
        <v>2377</v>
      </c>
    </row>
    <row r="57" spans="1:18" s="2043" customFormat="1" ht="28.5" customHeight="1" thickBot="1">
      <c r="A57" s="796" t="s">
        <v>1748</v>
      </c>
      <c r="B57" s="797" t="s">
        <v>651</v>
      </c>
      <c r="C57" s="798">
        <f ca="1">ROUND(C58+C63+C64+C65,0)</f>
        <v>26</v>
      </c>
      <c r="D57" s="26" t="s">
        <v>1750</v>
      </c>
      <c r="E57" s="2603"/>
      <c r="F57" s="56"/>
      <c r="I57" s="3115" t="s">
        <v>2357</v>
      </c>
      <c r="J57" s="3116" t="str">
        <f ca="1">IF(OR(M47="住宅",J51&lt;L48,J56="是"),"——",J51-L48)</f>
        <v>——</v>
      </c>
      <c r="K57" s="3077" t="s">
        <v>2362</v>
      </c>
      <c r="L57" s="1892" t="str">
        <f ca="1">IF(L48&lt;J51,"——",IF(L55="比较法",L49,IF(L55="基准地价",L50,L51)))</f>
        <v>——</v>
      </c>
      <c r="O57" s="2361" t="s">
        <v>2378</v>
      </c>
      <c r="P57" s="2362" t="s">
        <v>2408</v>
      </c>
      <c r="Q57" s="2363">
        <f ca="1">C40+J29</f>
        <v>4449</v>
      </c>
      <c r="R57" s="2362" t="s">
        <v>2379</v>
      </c>
    </row>
    <row r="58" spans="1:18" s="2043" customFormat="1" ht="28.5" customHeight="1" thickBot="1">
      <c r="A58" s="1633" t="s">
        <v>1824</v>
      </c>
      <c r="B58" s="783" t="s">
        <v>656</v>
      </c>
      <c r="C58" s="53">
        <f ca="1">ROUND(IF(项目基本情况!B11="自然人",C47*F58,C59+C60+C61),1)</f>
        <v>0</v>
      </c>
      <c r="D58" s="2601" t="s">
        <v>657</v>
      </c>
      <c r="E58" s="2602" t="s">
        <v>690</v>
      </c>
      <c r="F58" s="809" t="str">
        <f ca="1">IF(项目基本情况!B11="企业","",IF(INDIRECT("'数据-取费表'!c"&amp;$G$1)="住宅",5%,IF(F48*F49*F50/12/(1+'数据-取费表'!C42)&gt;20000,12%,7%)))</f>
        <v/>
      </c>
      <c r="I58" s="3115"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15" t="s">
        <v>2359</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1833</v>
      </c>
      <c r="B61" s="340" t="s">
        <v>668</v>
      </c>
      <c r="C61" s="54">
        <f ca="1">ROUND(F61*F62/10000,1)</f>
        <v>0</v>
      </c>
      <c r="D61" s="813" t="s">
        <v>669</v>
      </c>
      <c r="E61" s="783" t="s">
        <v>670</v>
      </c>
      <c r="F61" s="639">
        <f t="shared" si="0"/>
        <v>0</v>
      </c>
      <c r="K61" s="2070"/>
      <c r="O61" s="2364" t="s">
        <v>2385</v>
      </c>
      <c r="P61" s="2362" t="s">
        <v>2393</v>
      </c>
      <c r="Q61" s="2363" t="e">
        <f ca="1">L58</f>
        <v>#DIV/0!</v>
      </c>
      <c r="R61" s="2366" t="s">
        <v>2394</v>
      </c>
    </row>
    <row r="62" spans="1:18" s="2043" customFormat="1" ht="15.75" thickBot="1">
      <c r="A62" s="814"/>
      <c r="B62" s="792"/>
      <c r="C62" s="69"/>
      <c r="D62" s="815"/>
      <c r="E62" s="783" t="s">
        <v>674</v>
      </c>
      <c r="F62" s="784">
        <f t="shared" ca="1" si="0"/>
        <v>1605.49</v>
      </c>
      <c r="I62" s="3120" t="s">
        <v>2366</v>
      </c>
      <c r="J62" s="3121" t="s">
        <v>2367</v>
      </c>
      <c r="K62" s="3121" t="s">
        <v>2368</v>
      </c>
      <c r="L62" s="3121" t="s">
        <v>2349</v>
      </c>
      <c r="M62" s="3122" t="s">
        <v>2941</v>
      </c>
      <c r="O62" s="2364" t="s">
        <v>2387</v>
      </c>
      <c r="P62" s="2362" t="str">
        <f>K59</f>
        <v>建设期及建筑物耐用年限下的土地年期修正系数Kn</v>
      </c>
      <c r="Q62" s="2363" t="e">
        <f ca="1">L59</f>
        <v>#DIV/0!</v>
      </c>
      <c r="R62" s="2366" t="s">
        <v>2396</v>
      </c>
    </row>
    <row r="63" spans="1:18" s="2043" customFormat="1" ht="15.75" thickBot="1">
      <c r="A63" s="1633" t="s">
        <v>1889</v>
      </c>
      <c r="B63" s="783" t="s">
        <v>676</v>
      </c>
      <c r="C63" s="53">
        <f ca="1">ROUND(C56*F63,1)</f>
        <v>23.2</v>
      </c>
      <c r="D63" s="2602" t="s">
        <v>1803</v>
      </c>
      <c r="E63" s="783" t="s">
        <v>1747</v>
      </c>
      <c r="F63" s="816">
        <f t="shared" ca="1" si="0"/>
        <v>1.4999999999999999E-2</v>
      </c>
      <c r="I63" s="3120" t="s">
        <v>2369</v>
      </c>
      <c r="J63" s="3121">
        <v>70</v>
      </c>
      <c r="K63" s="3121">
        <v>50</v>
      </c>
      <c r="L63" s="3121">
        <v>80</v>
      </c>
      <c r="M63" s="3123">
        <v>0.02</v>
      </c>
      <c r="O63" s="2361" t="s">
        <v>2390</v>
      </c>
      <c r="P63" s="2362" t="s">
        <v>2407</v>
      </c>
      <c r="Q63" s="2363">
        <f ca="1">Q57+Q58</f>
        <v>4449</v>
      </c>
      <c r="R63" s="2366" t="s">
        <v>2391</v>
      </c>
    </row>
    <row r="64" spans="1:18" s="2043" customFormat="1" ht="16.5" thickBot="1">
      <c r="A64" s="1633" t="s">
        <v>1890</v>
      </c>
      <c r="B64" s="783" t="s">
        <v>679</v>
      </c>
      <c r="C64" s="53">
        <f ca="1">ROUND(C55*F64,1)</f>
        <v>2.2999999999999998</v>
      </c>
      <c r="D64" s="2602" t="s">
        <v>680</v>
      </c>
      <c r="E64" s="783" t="s">
        <v>1747</v>
      </c>
      <c r="F64" s="817">
        <f t="shared" ca="1" si="0"/>
        <v>1.5E-3</v>
      </c>
      <c r="I64" s="3120" t="s">
        <v>2370</v>
      </c>
      <c r="J64" s="3121">
        <v>50</v>
      </c>
      <c r="K64" s="3121">
        <v>35</v>
      </c>
      <c r="L64" s="3121">
        <v>60</v>
      </c>
      <c r="M64" s="845">
        <v>0</v>
      </c>
      <c r="O64" s="2367" t="s">
        <v>2414</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20" t="s">
        <v>2371</v>
      </c>
      <c r="J65" s="3121">
        <v>40</v>
      </c>
      <c r="K65" s="3121">
        <v>30</v>
      </c>
      <c r="L65" s="3121">
        <v>50</v>
      </c>
      <c r="M65" s="3123">
        <v>0.02</v>
      </c>
      <c r="O65" s="2358" t="s">
        <v>2374</v>
      </c>
      <c r="P65" s="2359" t="s">
        <v>2375</v>
      </c>
      <c r="Q65" s="2360" t="s">
        <v>2376</v>
      </c>
      <c r="R65" s="2359" t="s">
        <v>2377</v>
      </c>
    </row>
    <row r="66" spans="1:18" s="2043" customFormat="1" ht="24.75" thickBot="1">
      <c r="A66" s="796" t="s">
        <v>1776</v>
      </c>
      <c r="B66" s="2962" t="s">
        <v>2820</v>
      </c>
      <c r="C66" s="798">
        <f ca="1">C47-C57</f>
        <v>-26</v>
      </c>
      <c r="D66" s="2601" t="s">
        <v>700</v>
      </c>
      <c r="E66" s="2600"/>
      <c r="F66" s="819"/>
      <c r="K66" s="2070"/>
      <c r="O66" s="2361" t="s">
        <v>2378</v>
      </c>
      <c r="P66" s="2362" t="s">
        <v>2408</v>
      </c>
      <c r="Q66" s="2363">
        <f ca="1">C40+J29</f>
        <v>4449</v>
      </c>
      <c r="R66" s="2362" t="s">
        <v>2379</v>
      </c>
    </row>
    <row r="67" spans="1:18" s="2043" customFormat="1" ht="20.25" thickBot="1">
      <c r="A67" s="780" t="s">
        <v>1780</v>
      </c>
      <c r="B67" s="2216" t="s">
        <v>2301</v>
      </c>
      <c r="C67" s="782">
        <f ca="1">ROUND(C66*(1-((1+F69)/(1+F67))^F68)/(F67-F69),0)</f>
        <v>-411</v>
      </c>
      <c r="D67" s="813" t="s">
        <v>704</v>
      </c>
      <c r="E67" s="783" t="s">
        <v>705</v>
      </c>
      <c r="F67" s="793">
        <f ca="1">F40</f>
        <v>5.5E-2</v>
      </c>
      <c r="K67" s="2070"/>
      <c r="O67" s="2361" t="s">
        <v>2380</v>
      </c>
      <c r="P67" s="2362" t="s">
        <v>2411</v>
      </c>
      <c r="Q67" s="2363">
        <f ca="1">L60</f>
        <v>0</v>
      </c>
      <c r="R67" s="2366" t="s">
        <v>2413</v>
      </c>
    </row>
    <row r="68" spans="1:18" ht="21.75" thickBot="1">
      <c r="A68" s="785"/>
      <c r="B68" s="786"/>
      <c r="C68" s="787"/>
      <c r="D68" s="820" t="s">
        <v>1808</v>
      </c>
      <c r="E68" s="783" t="s">
        <v>1784</v>
      </c>
      <c r="F68" s="821">
        <f ca="1">F41</f>
        <v>38</v>
      </c>
      <c r="O68" s="2364" t="s">
        <v>2382</v>
      </c>
      <c r="P68" s="2362" t="s">
        <v>2412</v>
      </c>
      <c r="Q68" s="2368">
        <f ca="1">L51</f>
        <v>3192</v>
      </c>
      <c r="R68" s="2369" t="s">
        <v>2415</v>
      </c>
    </row>
    <row r="69" spans="1:18" ht="20.25" thickBot="1">
      <c r="A69" s="789"/>
      <c r="B69" s="790"/>
      <c r="C69" s="791"/>
      <c r="D69" s="815"/>
      <c r="E69" s="783" t="s">
        <v>710</v>
      </c>
      <c r="F69" s="2334"/>
      <c r="O69" s="2364" t="s">
        <v>2383</v>
      </c>
      <c r="P69" s="2370" t="s">
        <v>2397</v>
      </c>
      <c r="Q69" s="2363">
        <f ca="1">ROUND(Q70-Q71*Q72,0)</f>
        <v>186</v>
      </c>
      <c r="R69" s="2366"/>
    </row>
    <row r="70" spans="1:18" ht="15.75" thickBot="1">
      <c r="A70" s="822" t="s">
        <v>1787</v>
      </c>
      <c r="B70" s="823" t="s">
        <v>1810</v>
      </c>
      <c r="C70" s="824">
        <f ca="1">ROUND(C67*10000/F70,0)</f>
        <v>-1050</v>
      </c>
      <c r="D70" s="825" t="s">
        <v>1811</v>
      </c>
      <c r="E70" s="826" t="s">
        <v>1812</v>
      </c>
      <c r="F70" s="827">
        <f ca="1">F43</f>
        <v>3913.9399999999996</v>
      </c>
      <c r="O70" s="2364" t="s">
        <v>2398</v>
      </c>
      <c r="P70" s="2370" t="s">
        <v>2399</v>
      </c>
      <c r="Q70" s="2363">
        <f ca="1">C39</f>
        <v>186</v>
      </c>
      <c r="R70" s="2362" t="s">
        <v>2379</v>
      </c>
    </row>
    <row r="71" spans="1:18" ht="15.75" thickBot="1">
      <c r="O71" s="2364" t="s">
        <v>2400</v>
      </c>
      <c r="P71" s="2370" t="s">
        <v>2401</v>
      </c>
      <c r="Q71" s="2363">
        <f ca="1">C13</f>
        <v>1546</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4449</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548" t="s">
        <v>522</v>
      </c>
      <c r="D4" s="3549"/>
      <c r="E4" s="3585" t="s">
        <v>523</v>
      </c>
      <c r="F4" s="3586"/>
      <c r="G4" s="3548" t="s">
        <v>524</v>
      </c>
      <c r="H4" s="3549"/>
      <c r="I4" s="3548" t="s">
        <v>525</v>
      </c>
      <c r="J4" s="3549"/>
      <c r="K4" s="513" t="s">
        <v>526</v>
      </c>
      <c r="L4" s="2117"/>
      <c r="M4" s="2118"/>
      <c r="N4" s="2118"/>
      <c r="O4" s="2118"/>
      <c r="P4" s="3550" t="s">
        <v>527</v>
      </c>
      <c r="Q4" s="3551"/>
      <c r="R4" s="3556" t="s">
        <v>523</v>
      </c>
      <c r="S4" s="3557"/>
      <c r="T4" s="3556" t="s">
        <v>524</v>
      </c>
      <c r="U4" s="3557"/>
      <c r="V4" s="3543" t="s">
        <v>525</v>
      </c>
      <c r="W4" s="3543"/>
      <c r="X4" s="1552"/>
      <c r="Y4" s="3556" t="s">
        <v>527</v>
      </c>
      <c r="Z4" s="3557"/>
      <c r="AA4" s="3545" t="s">
        <v>523</v>
      </c>
      <c r="AB4" s="3543" t="s">
        <v>524</v>
      </c>
      <c r="AC4" s="3545" t="s">
        <v>525</v>
      </c>
    </row>
    <row r="5" spans="1:29" ht="15">
      <c r="A5" s="514"/>
      <c r="B5" s="515"/>
      <c r="C5" s="3564" t="s">
        <v>2928</v>
      </c>
      <c r="D5" s="3565"/>
      <c r="E5" s="3587" t="s">
        <v>2929</v>
      </c>
      <c r="F5" s="3588"/>
      <c r="G5" s="3564" t="s">
        <v>2930</v>
      </c>
      <c r="H5" s="3565"/>
      <c r="I5" s="3564" t="s">
        <v>2931</v>
      </c>
      <c r="J5" s="3565"/>
      <c r="K5" s="513"/>
      <c r="L5" s="2117"/>
      <c r="M5" s="2118"/>
      <c r="N5" s="2118"/>
      <c r="O5" s="2118"/>
      <c r="P5" s="3552"/>
      <c r="Q5" s="3553"/>
      <c r="R5" s="3558"/>
      <c r="S5" s="3559"/>
      <c r="T5" s="3558"/>
      <c r="U5" s="3559"/>
      <c r="V5" s="3543"/>
      <c r="W5" s="3543"/>
      <c r="X5" s="1552"/>
      <c r="Y5" s="3558"/>
      <c r="Z5" s="3559"/>
      <c r="AA5" s="3546"/>
      <c r="AB5" s="3543"/>
      <c r="AC5" s="3546"/>
    </row>
    <row r="6" spans="1:29" ht="15.75" thickBot="1">
      <c r="A6" s="516"/>
      <c r="B6" s="517"/>
      <c r="C6" s="3562" t="s">
        <v>2932</v>
      </c>
      <c r="D6" s="3563"/>
      <c r="E6" s="3583" t="s">
        <v>2932</v>
      </c>
      <c r="F6" s="3584"/>
      <c r="G6" s="3562" t="s">
        <v>2932</v>
      </c>
      <c r="H6" s="3563"/>
      <c r="I6" s="3562" t="s">
        <v>2932</v>
      </c>
      <c r="J6" s="3563"/>
      <c r="K6" s="513" t="s">
        <v>528</v>
      </c>
      <c r="L6" s="2117"/>
      <c r="M6" s="2118"/>
      <c r="N6" s="2118"/>
      <c r="O6" s="2118"/>
      <c r="P6" s="3554"/>
      <c r="Q6" s="3555"/>
      <c r="R6" s="3558"/>
      <c r="S6" s="3559"/>
      <c r="T6" s="3560"/>
      <c r="U6" s="3561"/>
      <c r="V6" s="3543"/>
      <c r="W6" s="3543"/>
      <c r="X6" s="1552"/>
      <c r="Y6" s="3560"/>
      <c r="Z6" s="3561"/>
      <c r="AA6" s="3547"/>
      <c r="AB6" s="3543"/>
      <c r="AC6" s="3547"/>
    </row>
    <row r="7" spans="1:29" s="1214" customFormat="1" ht="15.75" thickBot="1">
      <c r="A7" s="2866"/>
      <c r="B7" s="2873" t="s">
        <v>529</v>
      </c>
      <c r="C7" s="518">
        <f>'数据-取费表'!B2</f>
        <v>43698</v>
      </c>
      <c r="D7" s="519">
        <v>100</v>
      </c>
      <c r="E7" s="520"/>
      <c r="F7" s="521">
        <f>SUMIF(58:58,YEAR(E7)&amp;"-"&amp;MONTH(E7),59:59)</f>
        <v>0</v>
      </c>
      <c r="G7" s="520"/>
      <c r="H7" s="519">
        <f>SUMIF(58:58,YEAR(G7)&amp;"-"&amp;MONTH(G7),59:59)</f>
        <v>0</v>
      </c>
      <c r="I7" s="520"/>
      <c r="J7" s="519">
        <f>SUMIF(58:58,YEAR(I7)&amp;"-"&amp;MONTH(I7),59:59)</f>
        <v>0</v>
      </c>
      <c r="K7" s="523"/>
      <c r="L7" s="2119"/>
      <c r="M7" s="2120"/>
      <c r="N7" s="2120"/>
      <c r="O7" s="2120"/>
      <c r="P7" s="3573" t="s">
        <v>530</v>
      </c>
      <c r="Q7" s="3575"/>
      <c r="R7" s="1553" t="s">
        <v>8</v>
      </c>
      <c r="S7" s="1554">
        <f t="shared" ref="S7:S15" si="0">F7</f>
        <v>0</v>
      </c>
      <c r="T7" s="1553" t="s">
        <v>8</v>
      </c>
      <c r="U7" s="1554">
        <f t="shared" ref="U7:U15" si="1">H7</f>
        <v>0</v>
      </c>
      <c r="V7" s="1553" t="s">
        <v>8</v>
      </c>
      <c r="W7" s="1554">
        <f t="shared" ref="W7:W15" si="2">J7</f>
        <v>0</v>
      </c>
      <c r="X7" s="1555"/>
      <c r="Y7" s="3573" t="s">
        <v>530</v>
      </c>
      <c r="Z7" s="3574"/>
      <c r="AA7" s="1556" t="e">
        <f>D7/F7</f>
        <v>#DIV/0!</v>
      </c>
      <c r="AB7" s="1556" t="e">
        <f>D7/H7</f>
        <v>#DIV/0!</v>
      </c>
      <c r="AC7" s="1556" t="e">
        <f>D7/J7</f>
        <v>#DIV/0!</v>
      </c>
    </row>
    <row r="8" spans="1:29" s="1214"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573" t="s">
        <v>533</v>
      </c>
      <c r="Q8" s="3574"/>
      <c r="R8" s="1553" t="s">
        <v>8</v>
      </c>
      <c r="S8" s="1554">
        <f t="shared" si="0"/>
        <v>0</v>
      </c>
      <c r="T8" s="1553" t="s">
        <v>8</v>
      </c>
      <c r="U8" s="1554">
        <f t="shared" si="1"/>
        <v>0</v>
      </c>
      <c r="V8" s="1553" t="s">
        <v>8</v>
      </c>
      <c r="W8" s="1554">
        <f t="shared" si="2"/>
        <v>0</v>
      </c>
      <c r="X8" s="1555"/>
      <c r="Y8" s="3573" t="s">
        <v>533</v>
      </c>
      <c r="Z8" s="3574"/>
      <c r="AA8" s="1556" t="e">
        <f t="shared" ref="AA8:AA46" si="3">D8/F8</f>
        <v>#DIV/0!</v>
      </c>
      <c r="AB8" s="1556" t="e">
        <f t="shared" ref="AB8:AB46" si="4">D8/H8</f>
        <v>#DIV/0!</v>
      </c>
      <c r="AC8" s="1556" t="e">
        <f t="shared" ref="AC8:AC46" si="5">D8/J8</f>
        <v>#DIV/0!</v>
      </c>
    </row>
    <row r="9" spans="1:29" s="1214" customFormat="1" ht="15">
      <c r="A9" s="2868"/>
      <c r="B9" s="2875" t="s">
        <v>2754</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542" t="s">
        <v>535</v>
      </c>
      <c r="Q9" s="1145" t="str">
        <f t="shared" ref="Q9:Q15" si="6">B9</f>
        <v>用途</v>
      </c>
      <c r="R9" s="1553" t="s">
        <v>8</v>
      </c>
      <c r="S9" s="1554">
        <f t="shared" si="0"/>
        <v>100</v>
      </c>
      <c r="T9" s="1553" t="s">
        <v>8</v>
      </c>
      <c r="U9" s="1554">
        <f t="shared" si="1"/>
        <v>100</v>
      </c>
      <c r="V9" s="1553" t="s">
        <v>8</v>
      </c>
      <c r="W9" s="1554">
        <f t="shared" si="2"/>
        <v>100</v>
      </c>
      <c r="X9" s="1555"/>
      <c r="Y9" s="3488"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542"/>
      <c r="Q10" s="1145" t="str">
        <f t="shared" si="6"/>
        <v>土地使用年限（年）</v>
      </c>
      <c r="R10" s="1553" t="s">
        <v>8</v>
      </c>
      <c r="S10" s="1554">
        <f t="shared" si="0"/>
        <v>100</v>
      </c>
      <c r="T10" s="1553" t="s">
        <v>8</v>
      </c>
      <c r="U10" s="1554">
        <f t="shared" si="1"/>
        <v>100</v>
      </c>
      <c r="V10" s="1553" t="s">
        <v>8</v>
      </c>
      <c r="W10" s="1554">
        <f t="shared" si="2"/>
        <v>100</v>
      </c>
      <c r="X10" s="1555"/>
      <c r="Y10" s="3488"/>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542"/>
      <c r="Q11" s="1145" t="str">
        <f t="shared" si="6"/>
        <v>容积率</v>
      </c>
      <c r="R11" s="1553" t="s">
        <v>8</v>
      </c>
      <c r="S11" s="1554" t="e">
        <f t="shared" si="0"/>
        <v>#N/A</v>
      </c>
      <c r="T11" s="1553" t="s">
        <v>8</v>
      </c>
      <c r="U11" s="1554" t="e">
        <f t="shared" si="1"/>
        <v>#N/A</v>
      </c>
      <c r="V11" s="1553" t="s">
        <v>8</v>
      </c>
      <c r="W11" s="1554" t="e">
        <f t="shared" si="2"/>
        <v>#N/A</v>
      </c>
      <c r="X11" s="1555"/>
      <c r="Y11" s="3488"/>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542"/>
      <c r="Q12" s="1145">
        <f t="shared" si="6"/>
        <v>111</v>
      </c>
      <c r="R12" s="1553" t="s">
        <v>8</v>
      </c>
      <c r="S12" s="1554">
        <f t="shared" si="0"/>
        <v>100</v>
      </c>
      <c r="T12" s="1553" t="s">
        <v>8</v>
      </c>
      <c r="U12" s="1554">
        <f t="shared" si="1"/>
        <v>100</v>
      </c>
      <c r="V12" s="1553" t="s">
        <v>8</v>
      </c>
      <c r="W12" s="1554">
        <f t="shared" si="2"/>
        <v>100</v>
      </c>
      <c r="X12" s="1555"/>
      <c r="Y12" s="3488"/>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542"/>
      <c r="Q13" s="1145">
        <f t="shared" si="6"/>
        <v>111</v>
      </c>
      <c r="R13" s="1553" t="s">
        <v>8</v>
      </c>
      <c r="S13" s="1554">
        <f t="shared" si="0"/>
        <v>100</v>
      </c>
      <c r="T13" s="1553" t="s">
        <v>8</v>
      </c>
      <c r="U13" s="1554">
        <f t="shared" si="1"/>
        <v>100</v>
      </c>
      <c r="V13" s="1553" t="s">
        <v>8</v>
      </c>
      <c r="W13" s="1554">
        <f t="shared" si="2"/>
        <v>100</v>
      </c>
      <c r="X13" s="1555"/>
      <c r="Y13" s="3488"/>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542"/>
      <c r="Q14" s="1145">
        <f t="shared" si="6"/>
        <v>111</v>
      </c>
      <c r="R14" s="1553" t="s">
        <v>8</v>
      </c>
      <c r="S14" s="1554">
        <f t="shared" si="0"/>
        <v>100</v>
      </c>
      <c r="T14" s="1553" t="s">
        <v>8</v>
      </c>
      <c r="U14" s="1554">
        <f t="shared" si="1"/>
        <v>100</v>
      </c>
      <c r="V14" s="1553" t="s">
        <v>8</v>
      </c>
      <c r="W14" s="1554">
        <f t="shared" si="2"/>
        <v>100</v>
      </c>
      <c r="X14" s="1555"/>
      <c r="Y14" s="3488"/>
      <c r="Z14" s="1144">
        <f t="shared" si="7"/>
        <v>111</v>
      </c>
      <c r="AA14" s="1556">
        <f t="shared" si="3"/>
        <v>1</v>
      </c>
      <c r="AB14" s="1556">
        <f t="shared" si="4"/>
        <v>1</v>
      </c>
      <c r="AC14" s="1556">
        <f t="shared" si="5"/>
        <v>1</v>
      </c>
    </row>
    <row r="15" spans="1:29" ht="71.25">
      <c r="A15" s="2864"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576" t="s">
        <v>540</v>
      </c>
      <c r="Q15" s="1557" t="str">
        <f t="shared" si="6"/>
        <v>商业繁华度</v>
      </c>
      <c r="R15" s="1558" t="s">
        <v>8</v>
      </c>
      <c r="S15" s="1559">
        <f t="shared" si="0"/>
        <v>100</v>
      </c>
      <c r="T15" s="1558" t="s">
        <v>8</v>
      </c>
      <c r="U15" s="1559">
        <f t="shared" si="1"/>
        <v>100</v>
      </c>
      <c r="V15" s="1558" t="s">
        <v>8</v>
      </c>
      <c r="W15" s="1559">
        <f t="shared" si="2"/>
        <v>100</v>
      </c>
      <c r="X15" s="1552"/>
      <c r="Y15" s="3576"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577"/>
      <c r="Q16" s="1557"/>
      <c r="R16" s="1558"/>
      <c r="S16" s="1559"/>
      <c r="T16" s="1558"/>
      <c r="U16" s="1559"/>
      <c r="V16" s="1558"/>
      <c r="W16" s="1559"/>
      <c r="X16" s="1552"/>
      <c r="Y16" s="3577"/>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577"/>
      <c r="Q17" s="1557" t="str">
        <f>B17</f>
        <v>交通便捷度</v>
      </c>
      <c r="R17" s="1558" t="s">
        <v>8</v>
      </c>
      <c r="S17" s="1559">
        <f>F17</f>
        <v>100</v>
      </c>
      <c r="T17" s="1558" t="s">
        <v>8</v>
      </c>
      <c r="U17" s="1559">
        <f>H17</f>
        <v>100</v>
      </c>
      <c r="V17" s="1558" t="s">
        <v>8</v>
      </c>
      <c r="W17" s="1559">
        <f>J17</f>
        <v>100</v>
      </c>
      <c r="X17" s="1552"/>
      <c r="Y17" s="357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577"/>
      <c r="Q18" s="1557"/>
      <c r="R18" s="1558"/>
      <c r="S18" s="1559"/>
      <c r="T18" s="1558"/>
      <c r="U18" s="1559"/>
      <c r="V18" s="1558"/>
      <c r="W18" s="1559"/>
      <c r="X18" s="1552"/>
      <c r="Y18" s="3577"/>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577"/>
      <c r="Q19" s="1557" t="str">
        <f>B19</f>
        <v>公共配套设施</v>
      </c>
      <c r="R19" s="1558" t="s">
        <v>8</v>
      </c>
      <c r="S19" s="1559">
        <f>F19</f>
        <v>100</v>
      </c>
      <c r="T19" s="1558" t="s">
        <v>8</v>
      </c>
      <c r="U19" s="1559">
        <f>H19</f>
        <v>100</v>
      </c>
      <c r="V19" s="1558" t="s">
        <v>8</v>
      </c>
      <c r="W19" s="1559">
        <f>J19</f>
        <v>100</v>
      </c>
      <c r="X19" s="1552"/>
      <c r="Y19" s="3577"/>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577"/>
      <c r="Q20" s="1557"/>
      <c r="R20" s="1558"/>
      <c r="S20" s="1559"/>
      <c r="T20" s="1558"/>
      <c r="U20" s="1559"/>
      <c r="V20" s="1558"/>
      <c r="W20" s="1559"/>
      <c r="X20" s="1552"/>
      <c r="Y20" s="3577"/>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577"/>
      <c r="Q21" s="2542" t="str">
        <f>B21</f>
        <v>基础设施水平</v>
      </c>
      <c r="R21" s="1558" t="s">
        <v>8</v>
      </c>
      <c r="S21" s="1559">
        <f>F21</f>
        <v>100</v>
      </c>
      <c r="T21" s="1558" t="s">
        <v>8</v>
      </c>
      <c r="U21" s="1559">
        <f>H21</f>
        <v>100</v>
      </c>
      <c r="V21" s="1558" t="s">
        <v>8</v>
      </c>
      <c r="W21" s="1559">
        <f>J21</f>
        <v>100</v>
      </c>
      <c r="X21" s="2544"/>
      <c r="Y21" s="3577"/>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577"/>
      <c r="Q22" s="2542"/>
      <c r="R22" s="1558"/>
      <c r="S22" s="1559"/>
      <c r="T22" s="1558"/>
      <c r="U22" s="1559"/>
      <c r="V22" s="1558"/>
      <c r="W22" s="1559"/>
      <c r="X22" s="2544"/>
      <c r="Y22" s="3577"/>
      <c r="Z22" s="2543"/>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577"/>
      <c r="Q23" s="1557" t="str">
        <f>B23</f>
        <v>自然及人文环境</v>
      </c>
      <c r="R23" s="1558" t="s">
        <v>8</v>
      </c>
      <c r="S23" s="1559">
        <f>F23</f>
        <v>100</v>
      </c>
      <c r="T23" s="1558" t="s">
        <v>8</v>
      </c>
      <c r="U23" s="1559">
        <f>H23</f>
        <v>100</v>
      </c>
      <c r="V23" s="1558" t="s">
        <v>8</v>
      </c>
      <c r="W23" s="1559">
        <f>J23</f>
        <v>100</v>
      </c>
      <c r="X23" s="1552"/>
      <c r="Y23" s="3577"/>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577"/>
      <c r="Q24" s="1557"/>
      <c r="R24" s="1558"/>
      <c r="S24" s="1559"/>
      <c r="T24" s="1558"/>
      <c r="U24" s="1559"/>
      <c r="V24" s="1558"/>
      <c r="W24" s="1559"/>
      <c r="X24" s="1552"/>
      <c r="Y24" s="3577"/>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577"/>
      <c r="Q25" s="1557" t="str">
        <f t="shared" ref="Q25:Q46" si="11">B25</f>
        <v>临街状况</v>
      </c>
      <c r="R25" s="1558" t="s">
        <v>8</v>
      </c>
      <c r="S25" s="1559">
        <f>F25</f>
        <v>100</v>
      </c>
      <c r="T25" s="1558" t="s">
        <v>8</v>
      </c>
      <c r="U25" s="1559">
        <f>H25</f>
        <v>100</v>
      </c>
      <c r="V25" s="1558" t="s">
        <v>8</v>
      </c>
      <c r="W25" s="1559">
        <f>J25</f>
        <v>100</v>
      </c>
      <c r="X25" s="1552"/>
      <c r="Y25" s="3577"/>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577"/>
      <c r="Q26" s="1557" t="str">
        <f t="shared" si="11"/>
        <v>平面位置/可视性</v>
      </c>
      <c r="R26" s="1558" t="s">
        <v>8</v>
      </c>
      <c r="S26" s="1559">
        <f>F26</f>
        <v>100</v>
      </c>
      <c r="T26" s="1558" t="s">
        <v>8</v>
      </c>
      <c r="U26" s="1559">
        <f>H26</f>
        <v>100</v>
      </c>
      <c r="V26" s="1558" t="s">
        <v>8</v>
      </c>
      <c r="W26" s="1559">
        <f>J26</f>
        <v>100</v>
      </c>
      <c r="X26" s="1552"/>
      <c r="Y26" s="3577"/>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577"/>
      <c r="Q27" s="1145" t="str">
        <f t="shared" si="11"/>
        <v>人流量</v>
      </c>
      <c r="R27" s="1553" t="s">
        <v>8</v>
      </c>
      <c r="S27" s="1554">
        <f>F27</f>
        <v>100</v>
      </c>
      <c r="T27" s="1553" t="s">
        <v>8</v>
      </c>
      <c r="U27" s="1554">
        <f>H27</f>
        <v>100</v>
      </c>
      <c r="V27" s="1553" t="s">
        <v>8</v>
      </c>
      <c r="W27" s="1554">
        <f>J27</f>
        <v>100</v>
      </c>
      <c r="X27" s="1555"/>
      <c r="Y27" s="3577"/>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57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77"/>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577"/>
      <c r="Q29" s="1557">
        <f t="shared" si="11"/>
        <v>111</v>
      </c>
      <c r="R29" s="1558" t="s">
        <v>8</v>
      </c>
      <c r="S29" s="1559">
        <f t="shared" si="12"/>
        <v>100</v>
      </c>
      <c r="T29" s="1558" t="s">
        <v>8</v>
      </c>
      <c r="U29" s="1559">
        <f t="shared" si="13"/>
        <v>100</v>
      </c>
      <c r="V29" s="1558" t="s">
        <v>8</v>
      </c>
      <c r="W29" s="1559">
        <f t="shared" si="14"/>
        <v>100</v>
      </c>
      <c r="X29" s="1552"/>
      <c r="Y29" s="357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577"/>
      <c r="Q30" s="1557">
        <f t="shared" si="11"/>
        <v>111</v>
      </c>
      <c r="R30" s="1558" t="s">
        <v>8</v>
      </c>
      <c r="S30" s="1559">
        <f t="shared" si="12"/>
        <v>100</v>
      </c>
      <c r="T30" s="1558" t="s">
        <v>8</v>
      </c>
      <c r="U30" s="1559">
        <f t="shared" si="13"/>
        <v>100</v>
      </c>
      <c r="V30" s="1558" t="s">
        <v>8</v>
      </c>
      <c r="W30" s="1559">
        <f t="shared" si="14"/>
        <v>100</v>
      </c>
      <c r="X30" s="1552"/>
      <c r="Y30" s="3577"/>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577"/>
      <c r="Q31" s="1557">
        <f t="shared" si="11"/>
        <v>111</v>
      </c>
      <c r="R31" s="1558" t="s">
        <v>8</v>
      </c>
      <c r="S31" s="1559">
        <f t="shared" si="12"/>
        <v>100</v>
      </c>
      <c r="T31" s="1558" t="s">
        <v>8</v>
      </c>
      <c r="U31" s="1559">
        <f t="shared" si="13"/>
        <v>100</v>
      </c>
      <c r="V31" s="1558" t="s">
        <v>8</v>
      </c>
      <c r="W31" s="1559">
        <f t="shared" si="14"/>
        <v>100</v>
      </c>
      <c r="X31" s="1552"/>
      <c r="Y31" s="3577"/>
      <c r="Z31" s="1560">
        <f t="shared" si="15"/>
        <v>111</v>
      </c>
      <c r="AA31" s="1561">
        <f t="shared" si="3"/>
        <v>1</v>
      </c>
      <c r="AB31" s="1561">
        <f t="shared" si="4"/>
        <v>1</v>
      </c>
      <c r="AC31" s="1561">
        <f t="shared" si="5"/>
        <v>1</v>
      </c>
    </row>
    <row r="32" spans="1:29" ht="15">
      <c r="A32" s="2861"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578" t="s">
        <v>550</v>
      </c>
      <c r="Q32" s="1557" t="str">
        <f t="shared" si="11"/>
        <v>商业类型</v>
      </c>
      <c r="R32" s="1558" t="s">
        <v>8</v>
      </c>
      <c r="S32" s="1559">
        <f t="shared" si="12"/>
        <v>100</v>
      </c>
      <c r="T32" s="1558" t="s">
        <v>8</v>
      </c>
      <c r="U32" s="1559">
        <f t="shared" si="13"/>
        <v>100</v>
      </c>
      <c r="V32" s="1558" t="s">
        <v>8</v>
      </c>
      <c r="W32" s="1559">
        <f t="shared" si="14"/>
        <v>100</v>
      </c>
      <c r="X32" s="1552"/>
      <c r="Y32" s="3579"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579"/>
      <c r="Q33" s="1589" t="str">
        <f t="shared" si="11"/>
        <v>项目建筑规模</v>
      </c>
      <c r="R33" s="1562" t="s">
        <v>8</v>
      </c>
      <c r="S33" s="1563" t="e">
        <f t="shared" si="12"/>
        <v>#N/A</v>
      </c>
      <c r="T33" s="1562" t="s">
        <v>8</v>
      </c>
      <c r="U33" s="1563" t="e">
        <f t="shared" si="13"/>
        <v>#N/A</v>
      </c>
      <c r="V33" s="1562" t="s">
        <v>8</v>
      </c>
      <c r="W33" s="1563" t="e">
        <f t="shared" si="14"/>
        <v>#N/A</v>
      </c>
      <c r="X33" s="1564"/>
      <c r="Y33" s="3579"/>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579"/>
      <c r="Q34" s="1557" t="str">
        <f t="shared" si="11"/>
        <v>建筑结构</v>
      </c>
      <c r="R34" s="1558" t="s">
        <v>8</v>
      </c>
      <c r="S34" s="1559">
        <f t="shared" si="12"/>
        <v>100</v>
      </c>
      <c r="T34" s="1558" t="s">
        <v>8</v>
      </c>
      <c r="U34" s="1559">
        <f t="shared" si="13"/>
        <v>100</v>
      </c>
      <c r="V34" s="1558" t="s">
        <v>8</v>
      </c>
      <c r="W34" s="1559">
        <f t="shared" si="14"/>
        <v>100</v>
      </c>
      <c r="X34" s="1552"/>
      <c r="Y34" s="357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579"/>
      <c r="Q35" s="1557" t="str">
        <f t="shared" si="11"/>
        <v>公共部分装修</v>
      </c>
      <c r="R35" s="1558" t="s">
        <v>8</v>
      </c>
      <c r="S35" s="1559">
        <f t="shared" si="12"/>
        <v>100</v>
      </c>
      <c r="T35" s="1558" t="s">
        <v>8</v>
      </c>
      <c r="U35" s="1559">
        <f t="shared" si="13"/>
        <v>100</v>
      </c>
      <c r="V35" s="1558" t="s">
        <v>8</v>
      </c>
      <c r="W35" s="1559">
        <f t="shared" si="14"/>
        <v>100</v>
      </c>
      <c r="X35" s="1552"/>
      <c r="Y35" s="3579"/>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579"/>
      <c r="Q36" s="1557" t="str">
        <f t="shared" si="11"/>
        <v>成新度</v>
      </c>
      <c r="R36" s="1558" t="s">
        <v>8</v>
      </c>
      <c r="S36" s="1559" t="e">
        <f t="shared" si="12"/>
        <v>#N/A</v>
      </c>
      <c r="T36" s="1558" t="s">
        <v>8</v>
      </c>
      <c r="U36" s="1559" t="e">
        <f t="shared" si="13"/>
        <v>#N/A</v>
      </c>
      <c r="V36" s="1558" t="s">
        <v>8</v>
      </c>
      <c r="W36" s="1559" t="e">
        <f t="shared" si="14"/>
        <v>#N/A</v>
      </c>
      <c r="X36" s="1552"/>
      <c r="Y36" s="3579"/>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579"/>
      <c r="Q37" s="1145" t="str">
        <f t="shared" si="11"/>
        <v>市政基础设施</v>
      </c>
      <c r="R37" s="1553" t="s">
        <v>8</v>
      </c>
      <c r="S37" s="1554">
        <f t="shared" si="12"/>
        <v>100</v>
      </c>
      <c r="T37" s="1553" t="s">
        <v>8</v>
      </c>
      <c r="U37" s="1554">
        <f t="shared" si="13"/>
        <v>100</v>
      </c>
      <c r="V37" s="1553" t="s">
        <v>8</v>
      </c>
      <c r="W37" s="1554">
        <f t="shared" si="14"/>
        <v>100</v>
      </c>
      <c r="X37" s="1555"/>
      <c r="Y37" s="3579"/>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579" t="s">
        <v>766</v>
      </c>
      <c r="Q38" s="1557" t="str">
        <f t="shared" si="11"/>
        <v>业态</v>
      </c>
      <c r="R38" s="1558" t="s">
        <v>8</v>
      </c>
      <c r="S38" s="1559">
        <f t="shared" si="12"/>
        <v>100</v>
      </c>
      <c r="T38" s="1558" t="s">
        <v>8</v>
      </c>
      <c r="U38" s="1559">
        <f t="shared" si="13"/>
        <v>100</v>
      </c>
      <c r="V38" s="1558" t="s">
        <v>8</v>
      </c>
      <c r="W38" s="1559">
        <f t="shared" si="14"/>
        <v>100</v>
      </c>
      <c r="X38" s="1552"/>
      <c r="Y38" s="3579"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579"/>
      <c r="Q39" s="1557" t="str">
        <f t="shared" si="11"/>
        <v>层高</v>
      </c>
      <c r="R39" s="1558" t="s">
        <v>8</v>
      </c>
      <c r="S39" s="1559">
        <f t="shared" si="12"/>
        <v>100</v>
      </c>
      <c r="T39" s="1558" t="s">
        <v>8</v>
      </c>
      <c r="U39" s="1559">
        <f t="shared" si="13"/>
        <v>100</v>
      </c>
      <c r="V39" s="1558" t="s">
        <v>8</v>
      </c>
      <c r="W39" s="1559">
        <f t="shared" si="14"/>
        <v>100</v>
      </c>
      <c r="X39" s="1552"/>
      <c r="Y39" s="3579"/>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579"/>
      <c r="Q40" s="1557" t="str">
        <f t="shared" si="11"/>
        <v>单套建筑面积</v>
      </c>
      <c r="R40" s="1558" t="s">
        <v>8</v>
      </c>
      <c r="S40" s="1559">
        <f t="shared" si="12"/>
        <v>100</v>
      </c>
      <c r="T40" s="1558" t="s">
        <v>8</v>
      </c>
      <c r="U40" s="1559">
        <f t="shared" si="13"/>
        <v>100</v>
      </c>
      <c r="V40" s="1558" t="s">
        <v>8</v>
      </c>
      <c r="W40" s="1559">
        <f t="shared" si="14"/>
        <v>100</v>
      </c>
      <c r="X40" s="1552"/>
      <c r="Y40" s="3579"/>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579"/>
      <c r="Q41" s="1589" t="str">
        <f t="shared" si="11"/>
        <v>进深比</v>
      </c>
      <c r="R41" s="1562" t="s">
        <v>8</v>
      </c>
      <c r="S41" s="1563">
        <f t="shared" si="12"/>
        <v>100</v>
      </c>
      <c r="T41" s="1562" t="s">
        <v>8</v>
      </c>
      <c r="U41" s="1563">
        <f t="shared" si="13"/>
        <v>100</v>
      </c>
      <c r="V41" s="1562" t="s">
        <v>8</v>
      </c>
      <c r="W41" s="1563">
        <f t="shared" si="14"/>
        <v>100</v>
      </c>
      <c r="X41" s="1564"/>
      <c r="Y41" s="3579"/>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579"/>
      <c r="Q42" s="1557" t="str">
        <f t="shared" si="11"/>
        <v>内部装修</v>
      </c>
      <c r="R42" s="1558" t="s">
        <v>8</v>
      </c>
      <c r="S42" s="1559">
        <f t="shared" si="12"/>
        <v>100</v>
      </c>
      <c r="T42" s="1558" t="s">
        <v>8</v>
      </c>
      <c r="U42" s="1559">
        <f t="shared" si="13"/>
        <v>100</v>
      </c>
      <c r="V42" s="1558" t="s">
        <v>8</v>
      </c>
      <c r="W42" s="1559">
        <f t="shared" si="14"/>
        <v>100</v>
      </c>
      <c r="X42" s="1552"/>
      <c r="Y42" s="3579"/>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579"/>
      <c r="Q43" s="1557" t="str">
        <f t="shared" si="11"/>
        <v>内部装修维护情况</v>
      </c>
      <c r="R43" s="1558" t="s">
        <v>8</v>
      </c>
      <c r="S43" s="1559">
        <f t="shared" si="12"/>
        <v>100</v>
      </c>
      <c r="T43" s="1558" t="s">
        <v>8</v>
      </c>
      <c r="U43" s="1559">
        <f t="shared" si="13"/>
        <v>100</v>
      </c>
      <c r="V43" s="1558" t="s">
        <v>8</v>
      </c>
      <c r="W43" s="1559">
        <f t="shared" si="14"/>
        <v>100</v>
      </c>
      <c r="X43" s="1552"/>
      <c r="Y43" s="3579"/>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579"/>
      <c r="Q44" s="1145">
        <f t="shared" si="11"/>
        <v>111</v>
      </c>
      <c r="R44" s="1553" t="s">
        <v>8</v>
      </c>
      <c r="S44" s="1554">
        <f t="shared" si="12"/>
        <v>100</v>
      </c>
      <c r="T44" s="1553" t="s">
        <v>8</v>
      </c>
      <c r="U44" s="1554">
        <f t="shared" si="13"/>
        <v>100</v>
      </c>
      <c r="V44" s="1553" t="s">
        <v>8</v>
      </c>
      <c r="W44" s="1554">
        <f t="shared" si="14"/>
        <v>100</v>
      </c>
      <c r="X44" s="1555"/>
      <c r="Y44" s="3579"/>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579"/>
      <c r="Q45" s="1557">
        <f t="shared" si="11"/>
        <v>111</v>
      </c>
      <c r="R45" s="1558" t="s">
        <v>8</v>
      </c>
      <c r="S45" s="1559">
        <f t="shared" si="12"/>
        <v>100</v>
      </c>
      <c r="T45" s="1558" t="s">
        <v>8</v>
      </c>
      <c r="U45" s="1559">
        <f t="shared" si="13"/>
        <v>100</v>
      </c>
      <c r="V45" s="1558" t="s">
        <v>8</v>
      </c>
      <c r="W45" s="1559">
        <f t="shared" si="14"/>
        <v>100</v>
      </c>
      <c r="X45" s="1552"/>
      <c r="Y45" s="3579"/>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661"/>
      <c r="Q46" s="1557">
        <f t="shared" si="11"/>
        <v>111</v>
      </c>
      <c r="R46" s="1558" t="s">
        <v>8</v>
      </c>
      <c r="S46" s="1559">
        <f t="shared" si="12"/>
        <v>100</v>
      </c>
      <c r="T46" s="1558" t="s">
        <v>8</v>
      </c>
      <c r="U46" s="1559">
        <f t="shared" si="13"/>
        <v>100</v>
      </c>
      <c r="V46" s="1558" t="s">
        <v>8</v>
      </c>
      <c r="W46" s="1559">
        <f t="shared" si="14"/>
        <v>100</v>
      </c>
      <c r="X46" s="1552"/>
      <c r="Y46" s="3661"/>
      <c r="Z46" s="1560">
        <f t="shared" si="15"/>
        <v>111</v>
      </c>
      <c r="AA46" s="1561">
        <f t="shared" si="3"/>
        <v>1</v>
      </c>
      <c r="AB46" s="1561">
        <f t="shared" si="4"/>
        <v>1</v>
      </c>
      <c r="AC46" s="1561">
        <f t="shared" si="5"/>
        <v>1</v>
      </c>
    </row>
    <row r="47" spans="1:29" ht="15">
      <c r="A47" s="606" t="s">
        <v>736</v>
      </c>
      <c r="B47" s="885"/>
      <c r="C47" s="2590" t="s">
        <v>1</v>
      </c>
      <c r="D47" s="2591"/>
      <c r="E47" s="2592"/>
      <c r="F47" s="2593"/>
      <c r="G47" s="2594"/>
      <c r="H47" s="2595"/>
      <c r="I47" s="2592"/>
      <c r="J47" s="2595"/>
      <c r="K47" s="1595"/>
      <c r="L47" s="2128"/>
      <c r="M47" s="2129"/>
      <c r="N47" s="2118"/>
      <c r="O47" s="2129"/>
      <c r="P47" s="3542" t="str">
        <f>A47</f>
        <v>成交单价（元/平方米）</v>
      </c>
      <c r="Q47" s="3542"/>
      <c r="R47" s="3660">
        <f>E47</f>
        <v>0</v>
      </c>
      <c r="S47" s="3660"/>
      <c r="T47" s="3660">
        <f>G47</f>
        <v>0</v>
      </c>
      <c r="U47" s="3660"/>
      <c r="V47" s="3660">
        <f>I47</f>
        <v>0</v>
      </c>
      <c r="W47" s="3660"/>
      <c r="X47" s="1544"/>
      <c r="Y47" s="1566"/>
      <c r="Z47" s="1544"/>
      <c r="AA47" s="1544"/>
      <c r="AB47" s="1544"/>
      <c r="AC47" s="1544"/>
    </row>
    <row r="48" spans="1:29" ht="15.75" thickBot="1">
      <c r="A48" s="614" t="s">
        <v>2758</v>
      </c>
      <c r="B48" s="886"/>
      <c r="C48" s="2596" t="e">
        <f>R49</f>
        <v>#DIV/0!</v>
      </c>
      <c r="D48" s="2597"/>
      <c r="E48" s="2598" t="e">
        <f>R48</f>
        <v>#DIV/0!</v>
      </c>
      <c r="F48" s="2598"/>
      <c r="G48" s="2596" t="e">
        <f>T48</f>
        <v>#DIV/0!</v>
      </c>
      <c r="H48" s="2597"/>
      <c r="I48" s="2598" t="e">
        <f>V48</f>
        <v>#DIV/0!</v>
      </c>
      <c r="J48" s="2597"/>
      <c r="K48" s="1596"/>
      <c r="L48" s="2128"/>
      <c r="M48" s="2129"/>
      <c r="N48" s="2118"/>
      <c r="O48" s="2129"/>
      <c r="P48" s="3542" t="str">
        <f>A48</f>
        <v>比较价格（元/平方米）</v>
      </c>
      <c r="Q48" s="3542"/>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544"/>
      <c r="Y48" s="1544"/>
      <c r="Z48" s="1544"/>
      <c r="AA48" s="1544"/>
      <c r="AB48" s="1544"/>
      <c r="AC48" s="1544"/>
    </row>
    <row r="49" spans="1:29" ht="15.75" thickBot="1">
      <c r="A49" s="620" t="s">
        <v>2934</v>
      </c>
      <c r="B49" s="621"/>
      <c r="C49" s="2599" t="e">
        <f>R49</f>
        <v>#DIV/0!</v>
      </c>
      <c r="D49" s="2599"/>
      <c r="E49" s="2599"/>
      <c r="F49" s="2599"/>
      <c r="G49" s="2599"/>
      <c r="H49" s="2599"/>
      <c r="I49" s="2599"/>
      <c r="J49" s="2599"/>
      <c r="K49" s="1597"/>
      <c r="L49" s="2128"/>
      <c r="M49" s="2129"/>
      <c r="N49" s="2118"/>
      <c r="O49" s="2129"/>
      <c r="P49" s="3539" t="str">
        <f>A49</f>
        <v>估价对象XX用房的比较价格（楼面单价，元/平方米）</v>
      </c>
      <c r="Q49" s="3540"/>
      <c r="R49" s="3659" t="e">
        <f>IF(F1="售价",ROUND(AVERAGE(R48:V48),0),ROUND(AVERAGE(R48:V48),1))</f>
        <v>#DIV/0!</v>
      </c>
      <c r="S49" s="3659"/>
      <c r="T49" s="3659"/>
      <c r="U49" s="3659"/>
      <c r="V49" s="3659"/>
      <c r="W49" s="365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529</v>
      </c>
      <c r="B58" s="645"/>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771</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548" t="s">
        <v>522</v>
      </c>
      <c r="D4" s="3549"/>
      <c r="E4" s="3585" t="s">
        <v>523</v>
      </c>
      <c r="F4" s="3586"/>
      <c r="G4" s="3548" t="s">
        <v>524</v>
      </c>
      <c r="H4" s="3549"/>
      <c r="I4" s="3548" t="s">
        <v>525</v>
      </c>
      <c r="J4" s="3549"/>
      <c r="K4" s="513" t="s">
        <v>526</v>
      </c>
      <c r="L4" s="2117"/>
      <c r="M4" s="2118"/>
      <c r="N4" s="2118"/>
      <c r="O4" s="2118"/>
      <c r="P4" s="3669" t="s">
        <v>527</v>
      </c>
      <c r="Q4" s="3551"/>
      <c r="R4" s="3556" t="s">
        <v>523</v>
      </c>
      <c r="S4" s="3557"/>
      <c r="T4" s="3556" t="s">
        <v>524</v>
      </c>
      <c r="U4" s="3557"/>
      <c r="V4" s="3543" t="s">
        <v>525</v>
      </c>
      <c r="W4" s="3543"/>
      <c r="X4" s="1552"/>
      <c r="Y4" s="3556" t="s">
        <v>527</v>
      </c>
      <c r="Z4" s="3557"/>
      <c r="AA4" s="3545" t="s">
        <v>523</v>
      </c>
      <c r="AB4" s="3545" t="s">
        <v>524</v>
      </c>
      <c r="AC4" s="3545" t="s">
        <v>525</v>
      </c>
    </row>
    <row r="5" spans="1:29" ht="15">
      <c r="A5" s="514"/>
      <c r="B5" s="515"/>
      <c r="C5" s="3564" t="s">
        <v>2928</v>
      </c>
      <c r="D5" s="3565"/>
      <c r="E5" s="3587" t="s">
        <v>2929</v>
      </c>
      <c r="F5" s="3588"/>
      <c r="G5" s="3564" t="s">
        <v>2930</v>
      </c>
      <c r="H5" s="3565"/>
      <c r="I5" s="3564" t="s">
        <v>2931</v>
      </c>
      <c r="J5" s="3565"/>
      <c r="K5" s="513"/>
      <c r="L5" s="2117"/>
      <c r="M5" s="2118"/>
      <c r="N5" s="2118"/>
      <c r="O5" s="2118"/>
      <c r="P5" s="3670"/>
      <c r="Q5" s="3553"/>
      <c r="R5" s="3558"/>
      <c r="S5" s="3559"/>
      <c r="T5" s="3558"/>
      <c r="U5" s="3559"/>
      <c r="V5" s="3543"/>
      <c r="W5" s="3543"/>
      <c r="X5" s="1552"/>
      <c r="Y5" s="3558"/>
      <c r="Z5" s="3559"/>
      <c r="AA5" s="3546"/>
      <c r="AB5" s="3546"/>
      <c r="AC5" s="3546"/>
    </row>
    <row r="6" spans="1:29" ht="15.75" thickBot="1">
      <c r="A6" s="516"/>
      <c r="B6" s="517"/>
      <c r="C6" s="3562" t="s">
        <v>2932</v>
      </c>
      <c r="D6" s="3563"/>
      <c r="E6" s="3583" t="s">
        <v>2932</v>
      </c>
      <c r="F6" s="3584"/>
      <c r="G6" s="3562" t="s">
        <v>2932</v>
      </c>
      <c r="H6" s="3563"/>
      <c r="I6" s="3562" t="s">
        <v>2932</v>
      </c>
      <c r="J6" s="3563"/>
      <c r="K6" s="513" t="s">
        <v>528</v>
      </c>
      <c r="L6" s="2117"/>
      <c r="M6" s="2118"/>
      <c r="N6" s="2118"/>
      <c r="O6" s="2118"/>
      <c r="P6" s="3671"/>
      <c r="Q6" s="3555"/>
      <c r="R6" s="3558"/>
      <c r="S6" s="3559"/>
      <c r="T6" s="3560"/>
      <c r="U6" s="3561"/>
      <c r="V6" s="3543"/>
      <c r="W6" s="3543"/>
      <c r="X6" s="1552"/>
      <c r="Y6" s="3560"/>
      <c r="Z6" s="3561"/>
      <c r="AA6" s="3547"/>
      <c r="AB6" s="3547"/>
      <c r="AC6" s="3547"/>
    </row>
    <row r="7" spans="1:29" s="1214" customFormat="1" ht="15.75" thickBot="1">
      <c r="A7" s="2866"/>
      <c r="B7" s="2873" t="s">
        <v>529</v>
      </c>
      <c r="C7" s="518">
        <f>'数据-取费表'!B2</f>
        <v>43698</v>
      </c>
      <c r="D7" s="519">
        <v>100</v>
      </c>
      <c r="E7" s="520"/>
      <c r="F7" s="521">
        <f>SUMIF(59:59,YEAR(E7)&amp;"-"&amp;MONTH(E7),60:60)</f>
        <v>0</v>
      </c>
      <c r="G7" s="520"/>
      <c r="H7" s="519">
        <f>SUMIF(59:59,YEAR(G7)&amp;"-"&amp;MONTH(G7),60:60)</f>
        <v>0</v>
      </c>
      <c r="I7" s="520"/>
      <c r="J7" s="519">
        <f>SUMIF(59:59,YEAR(I7)&amp;"-"&amp;MONTH(I7),60:60)</f>
        <v>0</v>
      </c>
      <c r="K7" s="523"/>
      <c r="L7" s="2119"/>
      <c r="M7" s="2120"/>
      <c r="N7" s="2120"/>
      <c r="O7" s="2120"/>
      <c r="P7" s="3575" t="s">
        <v>530</v>
      </c>
      <c r="Q7" s="3575"/>
      <c r="R7" s="1553" t="s">
        <v>8</v>
      </c>
      <c r="S7" s="1554">
        <f t="shared" ref="S7:S15" si="0">F7</f>
        <v>0</v>
      </c>
      <c r="T7" s="1553" t="s">
        <v>8</v>
      </c>
      <c r="U7" s="1554">
        <f t="shared" ref="U7:U15" si="1">H7</f>
        <v>0</v>
      </c>
      <c r="V7" s="1553" t="s">
        <v>8</v>
      </c>
      <c r="W7" s="1554">
        <f t="shared" ref="W7:W15" si="2">J7</f>
        <v>0</v>
      </c>
      <c r="X7" s="1555"/>
      <c r="Y7" s="3573" t="s">
        <v>530</v>
      </c>
      <c r="Z7" s="3574"/>
      <c r="AA7" s="1556" t="e">
        <f>D7/F7</f>
        <v>#DIV/0!</v>
      </c>
      <c r="AB7" s="1556" t="e">
        <f>D7/H7</f>
        <v>#DIV/0!</v>
      </c>
      <c r="AC7" s="1556" t="e">
        <f>D7/J7</f>
        <v>#DIV/0!</v>
      </c>
    </row>
    <row r="8" spans="1:29" s="1214"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575" t="s">
        <v>533</v>
      </c>
      <c r="Q8" s="3574"/>
      <c r="R8" s="1553" t="s">
        <v>8</v>
      </c>
      <c r="S8" s="1554">
        <f t="shared" si="0"/>
        <v>0</v>
      </c>
      <c r="T8" s="1553" t="s">
        <v>8</v>
      </c>
      <c r="U8" s="1554">
        <f t="shared" si="1"/>
        <v>0</v>
      </c>
      <c r="V8" s="1553" t="s">
        <v>8</v>
      </c>
      <c r="W8" s="1554">
        <f t="shared" si="2"/>
        <v>0</v>
      </c>
      <c r="X8" s="1555"/>
      <c r="Y8" s="3573" t="s">
        <v>533</v>
      </c>
      <c r="Z8" s="3574"/>
      <c r="AA8" s="1556" t="e">
        <f t="shared" ref="AA8:AA47" si="3">D8/F8</f>
        <v>#DIV/0!</v>
      </c>
      <c r="AB8" s="1556" t="e">
        <f t="shared" ref="AB8:AB47" si="4">D8/H8</f>
        <v>#DIV/0!</v>
      </c>
      <c r="AC8" s="1556" t="e">
        <f t="shared" ref="AC8:AC47" si="5">D8/J8</f>
        <v>#DIV/0!</v>
      </c>
    </row>
    <row r="9" spans="1:29" s="1214" customFormat="1" ht="15">
      <c r="A9" s="2868"/>
      <c r="B9" s="2875" t="s">
        <v>2754</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542" t="s">
        <v>535</v>
      </c>
      <c r="Q9" s="1145" t="str">
        <f t="shared" ref="Q9:Q15" si="6">B9</f>
        <v>用途</v>
      </c>
      <c r="R9" s="1553" t="s">
        <v>8</v>
      </c>
      <c r="S9" s="1554">
        <f t="shared" si="0"/>
        <v>100</v>
      </c>
      <c r="T9" s="1553" t="s">
        <v>8</v>
      </c>
      <c r="U9" s="1554">
        <f t="shared" si="1"/>
        <v>100</v>
      </c>
      <c r="V9" s="1553" t="s">
        <v>8</v>
      </c>
      <c r="W9" s="1554">
        <f t="shared" si="2"/>
        <v>100</v>
      </c>
      <c r="X9" s="1555"/>
      <c r="Y9" s="3488"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542"/>
      <c r="Q10" s="1145" t="str">
        <f t="shared" si="6"/>
        <v>土地使用年限（年）</v>
      </c>
      <c r="R10" s="1553" t="s">
        <v>8</v>
      </c>
      <c r="S10" s="1554">
        <f t="shared" si="0"/>
        <v>100</v>
      </c>
      <c r="T10" s="1553" t="s">
        <v>8</v>
      </c>
      <c r="U10" s="1554">
        <f t="shared" si="1"/>
        <v>100</v>
      </c>
      <c r="V10" s="1553" t="s">
        <v>8</v>
      </c>
      <c r="W10" s="1554">
        <f t="shared" si="2"/>
        <v>100</v>
      </c>
      <c r="X10" s="1555"/>
      <c r="Y10" s="3488"/>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542"/>
      <c r="Q11" s="1145" t="str">
        <f t="shared" si="6"/>
        <v>容积率</v>
      </c>
      <c r="R11" s="1553" t="s">
        <v>8</v>
      </c>
      <c r="S11" s="1554" t="e">
        <f t="shared" si="0"/>
        <v>#N/A</v>
      </c>
      <c r="T11" s="1553" t="s">
        <v>8</v>
      </c>
      <c r="U11" s="1554" t="e">
        <f t="shared" si="1"/>
        <v>#N/A</v>
      </c>
      <c r="V11" s="1553" t="s">
        <v>8</v>
      </c>
      <c r="W11" s="1554" t="e">
        <f t="shared" si="2"/>
        <v>#N/A</v>
      </c>
      <c r="X11" s="1555"/>
      <c r="Y11" s="3488"/>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542"/>
      <c r="Q12" s="1145">
        <f t="shared" si="6"/>
        <v>111</v>
      </c>
      <c r="R12" s="1553" t="s">
        <v>8</v>
      </c>
      <c r="S12" s="1554">
        <f t="shared" si="0"/>
        <v>100</v>
      </c>
      <c r="T12" s="1553" t="s">
        <v>8</v>
      </c>
      <c r="U12" s="1554">
        <f t="shared" si="1"/>
        <v>100</v>
      </c>
      <c r="V12" s="1553" t="s">
        <v>8</v>
      </c>
      <c r="W12" s="1554">
        <f t="shared" si="2"/>
        <v>100</v>
      </c>
      <c r="X12" s="1555"/>
      <c r="Y12" s="3488"/>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542"/>
      <c r="Q13" s="1145">
        <f t="shared" si="6"/>
        <v>111</v>
      </c>
      <c r="R13" s="1553" t="s">
        <v>8</v>
      </c>
      <c r="S13" s="1554">
        <f t="shared" si="0"/>
        <v>100</v>
      </c>
      <c r="T13" s="1553" t="s">
        <v>8</v>
      </c>
      <c r="U13" s="1554">
        <f t="shared" si="1"/>
        <v>100</v>
      </c>
      <c r="V13" s="1553" t="s">
        <v>8</v>
      </c>
      <c r="W13" s="1554">
        <f t="shared" si="2"/>
        <v>100</v>
      </c>
      <c r="X13" s="1555"/>
      <c r="Y13" s="3488"/>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542"/>
      <c r="Q14" s="1145">
        <f t="shared" si="6"/>
        <v>111</v>
      </c>
      <c r="R14" s="1553" t="s">
        <v>8</v>
      </c>
      <c r="S14" s="1554">
        <f t="shared" si="0"/>
        <v>100</v>
      </c>
      <c r="T14" s="1553" t="s">
        <v>8</v>
      </c>
      <c r="U14" s="1554">
        <f t="shared" si="1"/>
        <v>100</v>
      </c>
      <c r="V14" s="1553" t="s">
        <v>8</v>
      </c>
      <c r="W14" s="1554">
        <f t="shared" si="2"/>
        <v>100</v>
      </c>
      <c r="X14" s="1555"/>
      <c r="Y14" s="3488"/>
      <c r="Z14" s="1144">
        <f t="shared" si="7"/>
        <v>111</v>
      </c>
      <c r="AA14" s="1556">
        <f t="shared" si="3"/>
        <v>1</v>
      </c>
      <c r="AB14" s="1556">
        <f t="shared" si="4"/>
        <v>1</v>
      </c>
      <c r="AC14" s="1556">
        <f t="shared" si="5"/>
        <v>1</v>
      </c>
    </row>
    <row r="15" spans="1:29" ht="71.25">
      <c r="A15" s="2864"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576" t="s">
        <v>540</v>
      </c>
      <c r="Q15" s="1557" t="str">
        <f t="shared" si="6"/>
        <v>办公集聚程度</v>
      </c>
      <c r="R15" s="1558" t="s">
        <v>8</v>
      </c>
      <c r="S15" s="1559">
        <f t="shared" si="0"/>
        <v>100</v>
      </c>
      <c r="T15" s="1558" t="s">
        <v>8</v>
      </c>
      <c r="U15" s="1559">
        <f t="shared" si="1"/>
        <v>100</v>
      </c>
      <c r="V15" s="1558" t="s">
        <v>8</v>
      </c>
      <c r="W15" s="1559">
        <f t="shared" si="2"/>
        <v>100</v>
      </c>
      <c r="X15" s="1552"/>
      <c r="Y15" s="357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577"/>
      <c r="Q16" s="1557"/>
      <c r="R16" s="1558"/>
      <c r="S16" s="1559"/>
      <c r="T16" s="1558"/>
      <c r="U16" s="1559"/>
      <c r="V16" s="1558"/>
      <c r="W16" s="1559"/>
      <c r="X16" s="1552"/>
      <c r="Y16" s="3577"/>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577"/>
      <c r="Q17" s="1557" t="str">
        <f>B17</f>
        <v>交通便捷度</v>
      </c>
      <c r="R17" s="1558" t="s">
        <v>8</v>
      </c>
      <c r="S17" s="1559">
        <f>F17</f>
        <v>100</v>
      </c>
      <c r="T17" s="1558" t="s">
        <v>8</v>
      </c>
      <c r="U17" s="1559">
        <f>H17</f>
        <v>100</v>
      </c>
      <c r="V17" s="1558" t="s">
        <v>8</v>
      </c>
      <c r="W17" s="1559">
        <f>J17</f>
        <v>100</v>
      </c>
      <c r="X17" s="1552"/>
      <c r="Y17" s="357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577"/>
      <c r="Q18" s="1557"/>
      <c r="R18" s="1558"/>
      <c r="S18" s="1559"/>
      <c r="T18" s="1558"/>
      <c r="U18" s="1559"/>
      <c r="V18" s="1558"/>
      <c r="W18" s="1559"/>
      <c r="X18" s="1552"/>
      <c r="Y18" s="3577"/>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577"/>
      <c r="Q19" s="1557" t="str">
        <f>B19</f>
        <v>公共配套设施</v>
      </c>
      <c r="R19" s="1558" t="s">
        <v>8</v>
      </c>
      <c r="S19" s="1559">
        <f>F19</f>
        <v>100</v>
      </c>
      <c r="T19" s="1558" t="s">
        <v>8</v>
      </c>
      <c r="U19" s="1559">
        <f>H19</f>
        <v>100</v>
      </c>
      <c r="V19" s="1558" t="s">
        <v>8</v>
      </c>
      <c r="W19" s="1559">
        <f>J19</f>
        <v>100</v>
      </c>
      <c r="X19" s="1552"/>
      <c r="Y19" s="357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577"/>
      <c r="Q20" s="1557"/>
      <c r="R20" s="1558"/>
      <c r="S20" s="1559"/>
      <c r="T20" s="1558"/>
      <c r="U20" s="1559"/>
      <c r="V20" s="1558"/>
      <c r="W20" s="1559"/>
      <c r="X20" s="1552"/>
      <c r="Y20" s="3577"/>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577"/>
      <c r="Q21" s="2542" t="str">
        <f>B21</f>
        <v>基础设施水平</v>
      </c>
      <c r="R21" s="1558" t="s">
        <v>8</v>
      </c>
      <c r="S21" s="1559">
        <f>F21</f>
        <v>100</v>
      </c>
      <c r="T21" s="1558" t="s">
        <v>8</v>
      </c>
      <c r="U21" s="1559">
        <f>H21</f>
        <v>100</v>
      </c>
      <c r="V21" s="1558" t="s">
        <v>8</v>
      </c>
      <c r="W21" s="1559">
        <f>J21</f>
        <v>100</v>
      </c>
      <c r="X21" s="2544"/>
      <c r="Y21" s="3577"/>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577"/>
      <c r="Q22" s="2542"/>
      <c r="R22" s="1558"/>
      <c r="S22" s="1559"/>
      <c r="T22" s="1558"/>
      <c r="U22" s="1559"/>
      <c r="V22" s="1558"/>
      <c r="W22" s="1559"/>
      <c r="X22" s="2544"/>
      <c r="Y22" s="3577"/>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577"/>
      <c r="Q23" s="1557" t="str">
        <f>B23</f>
        <v>环境质量</v>
      </c>
      <c r="R23" s="1558" t="s">
        <v>8</v>
      </c>
      <c r="S23" s="1559">
        <f>F23</f>
        <v>100</v>
      </c>
      <c r="T23" s="1558" t="s">
        <v>8</v>
      </c>
      <c r="U23" s="1559">
        <f>H23</f>
        <v>100</v>
      </c>
      <c r="V23" s="1558" t="s">
        <v>8</v>
      </c>
      <c r="W23" s="1559">
        <f>J23</f>
        <v>100</v>
      </c>
      <c r="X23" s="1552"/>
      <c r="Y23" s="357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577"/>
      <c r="Q24" s="1557"/>
      <c r="R24" s="1558"/>
      <c r="S24" s="1559"/>
      <c r="T24" s="1558"/>
      <c r="U24" s="1559"/>
      <c r="V24" s="1558"/>
      <c r="W24" s="1559"/>
      <c r="X24" s="1552"/>
      <c r="Y24" s="3577"/>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577"/>
      <c r="Q25" s="1557" t="str">
        <f>B25</f>
        <v>毗邻道路的类型与等级</v>
      </c>
      <c r="R25" s="1558" t="s">
        <v>8</v>
      </c>
      <c r="S25" s="1559">
        <f>F25</f>
        <v>100</v>
      </c>
      <c r="T25" s="1558" t="s">
        <v>8</v>
      </c>
      <c r="U25" s="1559">
        <f>H25</f>
        <v>100</v>
      </c>
      <c r="V25" s="1558" t="s">
        <v>8</v>
      </c>
      <c r="W25" s="1559">
        <f>J25</f>
        <v>100</v>
      </c>
      <c r="X25" s="1552"/>
      <c r="Y25" s="357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577"/>
      <c r="Q26" s="1557"/>
      <c r="R26" s="1558"/>
      <c r="S26" s="1559"/>
      <c r="T26" s="1558"/>
      <c r="U26" s="1559"/>
      <c r="V26" s="1558"/>
      <c r="W26" s="1559"/>
      <c r="X26" s="1552"/>
      <c r="Y26" s="357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577"/>
      <c r="Q27" s="1557" t="str">
        <f t="shared" ref="Q27:Q47" si="11">B27</f>
        <v>楼层</v>
      </c>
      <c r="R27" s="1558" t="s">
        <v>8</v>
      </c>
      <c r="S27" s="1559">
        <f>F27</f>
        <v>100</v>
      </c>
      <c r="T27" s="1558" t="s">
        <v>8</v>
      </c>
      <c r="U27" s="1559">
        <f>H27</f>
        <v>100</v>
      </c>
      <c r="V27" s="1558" t="s">
        <v>8</v>
      </c>
      <c r="W27" s="1559">
        <f>J27</f>
        <v>100</v>
      </c>
      <c r="X27" s="1552"/>
      <c r="Y27" s="3577"/>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577"/>
      <c r="Q28" s="1145" t="str">
        <f t="shared" si="11"/>
        <v>朝向</v>
      </c>
      <c r="R28" s="1553" t="s">
        <v>8</v>
      </c>
      <c r="S28" s="1554">
        <f>F28</f>
        <v>100</v>
      </c>
      <c r="T28" s="1553" t="s">
        <v>8</v>
      </c>
      <c r="U28" s="1554">
        <f>H28</f>
        <v>100</v>
      </c>
      <c r="V28" s="1553" t="s">
        <v>8</v>
      </c>
      <c r="W28" s="1554">
        <f>J28</f>
        <v>100</v>
      </c>
      <c r="X28" s="1555"/>
      <c r="Y28" s="3577"/>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577"/>
      <c r="Q29" s="1557">
        <f t="shared" si="11"/>
        <v>111</v>
      </c>
      <c r="R29" s="1558" t="s">
        <v>8</v>
      </c>
      <c r="S29" s="1559">
        <f t="shared" ref="S29:S47" si="12">F29</f>
        <v>100</v>
      </c>
      <c r="T29" s="1558" t="s">
        <v>8</v>
      </c>
      <c r="U29" s="1559">
        <f t="shared" ref="U29:U47" si="13">H29</f>
        <v>100</v>
      </c>
      <c r="V29" s="1558" t="s">
        <v>8</v>
      </c>
      <c r="W29" s="1559">
        <f t="shared" ref="W29:W47" si="14">J29</f>
        <v>100</v>
      </c>
      <c r="X29" s="1552"/>
      <c r="Y29" s="3577"/>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577"/>
      <c r="Q30" s="1557">
        <f t="shared" si="11"/>
        <v>111</v>
      </c>
      <c r="R30" s="1558" t="s">
        <v>8</v>
      </c>
      <c r="S30" s="1559">
        <f t="shared" si="12"/>
        <v>100</v>
      </c>
      <c r="T30" s="1558" t="s">
        <v>8</v>
      </c>
      <c r="U30" s="1559">
        <f t="shared" si="13"/>
        <v>100</v>
      </c>
      <c r="V30" s="1558" t="s">
        <v>8</v>
      </c>
      <c r="W30" s="1559">
        <f t="shared" si="14"/>
        <v>100</v>
      </c>
      <c r="X30" s="1552"/>
      <c r="Y30" s="3577"/>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577"/>
      <c r="Q31" s="1557">
        <f t="shared" si="11"/>
        <v>111</v>
      </c>
      <c r="R31" s="1558" t="s">
        <v>8</v>
      </c>
      <c r="S31" s="1559">
        <f t="shared" si="12"/>
        <v>100</v>
      </c>
      <c r="T31" s="1558" t="s">
        <v>8</v>
      </c>
      <c r="U31" s="1559">
        <f t="shared" si="13"/>
        <v>100</v>
      </c>
      <c r="V31" s="1558" t="s">
        <v>8</v>
      </c>
      <c r="W31" s="1559">
        <f t="shared" si="14"/>
        <v>100</v>
      </c>
      <c r="X31" s="1552"/>
      <c r="Y31" s="3577"/>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577"/>
      <c r="Q32" s="1557">
        <f t="shared" si="11"/>
        <v>111</v>
      </c>
      <c r="R32" s="1558" t="s">
        <v>8</v>
      </c>
      <c r="S32" s="1559">
        <f t="shared" si="12"/>
        <v>100</v>
      </c>
      <c r="T32" s="1558" t="s">
        <v>8</v>
      </c>
      <c r="U32" s="1559">
        <f t="shared" si="13"/>
        <v>100</v>
      </c>
      <c r="V32" s="1558" t="s">
        <v>8</v>
      </c>
      <c r="W32" s="1559">
        <f t="shared" si="14"/>
        <v>100</v>
      </c>
      <c r="X32" s="1552"/>
      <c r="Y32" s="3577"/>
      <c r="Z32" s="1560">
        <f t="shared" si="15"/>
        <v>111</v>
      </c>
      <c r="AA32" s="1561">
        <f t="shared" si="3"/>
        <v>1</v>
      </c>
      <c r="AB32" s="1561">
        <f t="shared" si="4"/>
        <v>1</v>
      </c>
      <c r="AC32" s="1561">
        <f t="shared" si="5"/>
        <v>1</v>
      </c>
    </row>
    <row r="33" spans="1:29" ht="15">
      <c r="A33" s="2861"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578" t="s">
        <v>550</v>
      </c>
      <c r="Q33" s="1557" t="str">
        <f t="shared" si="11"/>
        <v>建筑类型</v>
      </c>
      <c r="R33" s="1558" t="s">
        <v>8</v>
      </c>
      <c r="S33" s="1559">
        <f t="shared" si="12"/>
        <v>100</v>
      </c>
      <c r="T33" s="1558" t="s">
        <v>8</v>
      </c>
      <c r="U33" s="1559">
        <f t="shared" si="13"/>
        <v>100</v>
      </c>
      <c r="V33" s="1558" t="s">
        <v>8</v>
      </c>
      <c r="W33" s="1559">
        <f t="shared" si="14"/>
        <v>100</v>
      </c>
      <c r="X33" s="1552"/>
      <c r="Y33" s="3579"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579"/>
      <c r="Q34" s="1589" t="str">
        <f t="shared" si="11"/>
        <v>项目建筑规模</v>
      </c>
      <c r="R34" s="1562" t="s">
        <v>8</v>
      </c>
      <c r="S34" s="1563" t="e">
        <f t="shared" si="12"/>
        <v>#N/A</v>
      </c>
      <c r="T34" s="1562" t="s">
        <v>8</v>
      </c>
      <c r="U34" s="1563" t="e">
        <f t="shared" si="13"/>
        <v>#N/A</v>
      </c>
      <c r="V34" s="1562" t="s">
        <v>8</v>
      </c>
      <c r="W34" s="1563" t="e">
        <f t="shared" si="14"/>
        <v>#N/A</v>
      </c>
      <c r="X34" s="1564"/>
      <c r="Y34" s="357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579"/>
      <c r="Q35" s="1557" t="str">
        <f t="shared" si="11"/>
        <v>建筑结构</v>
      </c>
      <c r="R35" s="1558" t="s">
        <v>8</v>
      </c>
      <c r="S35" s="1559">
        <f t="shared" si="12"/>
        <v>100</v>
      </c>
      <c r="T35" s="1558" t="s">
        <v>8</v>
      </c>
      <c r="U35" s="1559">
        <f t="shared" si="13"/>
        <v>100</v>
      </c>
      <c r="V35" s="1558" t="s">
        <v>8</v>
      </c>
      <c r="W35" s="1559">
        <f t="shared" si="14"/>
        <v>100</v>
      </c>
      <c r="X35" s="1552"/>
      <c r="Y35" s="357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579"/>
      <c r="Q36" s="1557" t="str">
        <f t="shared" si="11"/>
        <v>公共部分装修</v>
      </c>
      <c r="R36" s="1558" t="s">
        <v>8</v>
      </c>
      <c r="S36" s="1559">
        <f t="shared" si="12"/>
        <v>100</v>
      </c>
      <c r="T36" s="1558" t="s">
        <v>8</v>
      </c>
      <c r="U36" s="1559">
        <f t="shared" si="13"/>
        <v>100</v>
      </c>
      <c r="V36" s="1558" t="s">
        <v>8</v>
      </c>
      <c r="W36" s="1559">
        <f t="shared" si="14"/>
        <v>100</v>
      </c>
      <c r="X36" s="1552"/>
      <c r="Y36" s="3579"/>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579"/>
      <c r="Q37" s="1557" t="str">
        <f t="shared" si="11"/>
        <v>成新度</v>
      </c>
      <c r="R37" s="1558" t="s">
        <v>8</v>
      </c>
      <c r="S37" s="1559" t="e">
        <f t="shared" si="12"/>
        <v>#N/A</v>
      </c>
      <c r="T37" s="1558" t="s">
        <v>8</v>
      </c>
      <c r="U37" s="1559" t="e">
        <f t="shared" si="13"/>
        <v>#N/A</v>
      </c>
      <c r="V37" s="1558" t="s">
        <v>8</v>
      </c>
      <c r="W37" s="1559" t="e">
        <f t="shared" si="14"/>
        <v>#N/A</v>
      </c>
      <c r="X37" s="1552"/>
      <c r="Y37" s="3579"/>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579"/>
      <c r="Q38" s="1145" t="str">
        <f t="shared" si="11"/>
        <v>写字楼等级</v>
      </c>
      <c r="R38" s="1553" t="s">
        <v>8</v>
      </c>
      <c r="S38" s="1554">
        <f t="shared" si="12"/>
        <v>100</v>
      </c>
      <c r="T38" s="1553" t="s">
        <v>8</v>
      </c>
      <c r="U38" s="1554">
        <f t="shared" si="13"/>
        <v>100</v>
      </c>
      <c r="V38" s="1553" t="s">
        <v>8</v>
      </c>
      <c r="W38" s="1554">
        <f t="shared" si="14"/>
        <v>100</v>
      </c>
      <c r="X38" s="1555"/>
      <c r="Y38" s="3579"/>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579" t="s">
        <v>550</v>
      </c>
      <c r="Q39" s="1557" t="str">
        <f t="shared" si="11"/>
        <v>物业管理</v>
      </c>
      <c r="R39" s="1558" t="s">
        <v>8</v>
      </c>
      <c r="S39" s="1559">
        <f t="shared" si="12"/>
        <v>100</v>
      </c>
      <c r="T39" s="1558" t="s">
        <v>8</v>
      </c>
      <c r="U39" s="1559">
        <f t="shared" si="13"/>
        <v>100</v>
      </c>
      <c r="V39" s="1558" t="s">
        <v>8</v>
      </c>
      <c r="W39" s="1559">
        <f t="shared" si="14"/>
        <v>100</v>
      </c>
      <c r="X39" s="1552"/>
      <c r="Y39" s="3579"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579"/>
      <c r="Q40" s="1557" t="str">
        <f t="shared" si="11"/>
        <v>市政基础设施</v>
      </c>
      <c r="R40" s="1558" t="s">
        <v>8</v>
      </c>
      <c r="S40" s="1559">
        <f t="shared" si="12"/>
        <v>100</v>
      </c>
      <c r="T40" s="1558" t="s">
        <v>8</v>
      </c>
      <c r="U40" s="1559">
        <f t="shared" si="13"/>
        <v>100</v>
      </c>
      <c r="V40" s="1558" t="s">
        <v>8</v>
      </c>
      <c r="W40" s="1559">
        <f t="shared" si="14"/>
        <v>100</v>
      </c>
      <c r="X40" s="1552"/>
      <c r="Y40" s="357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579"/>
      <c r="Q41" s="1557" t="str">
        <f t="shared" si="11"/>
        <v>层高</v>
      </c>
      <c r="R41" s="1558" t="s">
        <v>8</v>
      </c>
      <c r="S41" s="1559">
        <f t="shared" si="12"/>
        <v>100</v>
      </c>
      <c r="T41" s="1558" t="s">
        <v>8</v>
      </c>
      <c r="U41" s="1559">
        <f t="shared" si="13"/>
        <v>100</v>
      </c>
      <c r="V41" s="1558" t="s">
        <v>8</v>
      </c>
      <c r="W41" s="1559">
        <f t="shared" si="14"/>
        <v>100</v>
      </c>
      <c r="X41" s="1552"/>
      <c r="Y41" s="3579"/>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579"/>
      <c r="Q42" s="1589" t="str">
        <f t="shared" si="11"/>
        <v>单套建筑面积</v>
      </c>
      <c r="R42" s="1562" t="s">
        <v>8</v>
      </c>
      <c r="S42" s="1563">
        <f t="shared" si="12"/>
        <v>100</v>
      </c>
      <c r="T42" s="1562" t="s">
        <v>8</v>
      </c>
      <c r="U42" s="1563">
        <f t="shared" si="13"/>
        <v>100</v>
      </c>
      <c r="V42" s="1562" t="s">
        <v>8</v>
      </c>
      <c r="W42" s="1563">
        <f t="shared" si="14"/>
        <v>100</v>
      </c>
      <c r="X42" s="1564"/>
      <c r="Y42" s="357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579"/>
      <c r="Q43" s="1557" t="str">
        <f t="shared" si="11"/>
        <v>内部装修</v>
      </c>
      <c r="R43" s="1558" t="s">
        <v>8</v>
      </c>
      <c r="S43" s="1559">
        <f t="shared" si="12"/>
        <v>100</v>
      </c>
      <c r="T43" s="1558" t="s">
        <v>8</v>
      </c>
      <c r="U43" s="1559">
        <f t="shared" si="13"/>
        <v>100</v>
      </c>
      <c r="V43" s="1558" t="s">
        <v>8</v>
      </c>
      <c r="W43" s="1559">
        <f t="shared" si="14"/>
        <v>100</v>
      </c>
      <c r="X43" s="1552"/>
      <c r="Y43" s="3579"/>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579"/>
      <c r="Q44" s="1557" t="str">
        <f t="shared" si="11"/>
        <v>内部装修维护情况</v>
      </c>
      <c r="R44" s="1558" t="s">
        <v>8</v>
      </c>
      <c r="S44" s="1559">
        <f t="shared" si="12"/>
        <v>100</v>
      </c>
      <c r="T44" s="1558" t="s">
        <v>8</v>
      </c>
      <c r="U44" s="1559">
        <f t="shared" si="13"/>
        <v>100</v>
      </c>
      <c r="V44" s="1558" t="s">
        <v>8</v>
      </c>
      <c r="W44" s="1559">
        <f t="shared" si="14"/>
        <v>100</v>
      </c>
      <c r="X44" s="1552"/>
      <c r="Y44" s="3579"/>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579"/>
      <c r="Q45" s="1145">
        <f t="shared" si="11"/>
        <v>111</v>
      </c>
      <c r="R45" s="1553" t="s">
        <v>8</v>
      </c>
      <c r="S45" s="1554">
        <f t="shared" si="12"/>
        <v>100</v>
      </c>
      <c r="T45" s="1553" t="s">
        <v>8</v>
      </c>
      <c r="U45" s="1554">
        <f t="shared" si="13"/>
        <v>100</v>
      </c>
      <c r="V45" s="1553" t="s">
        <v>8</v>
      </c>
      <c r="W45" s="1554">
        <f t="shared" si="14"/>
        <v>100</v>
      </c>
      <c r="X45" s="1555"/>
      <c r="Y45" s="3579"/>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579"/>
      <c r="Q46" s="1557">
        <f t="shared" si="11"/>
        <v>111</v>
      </c>
      <c r="R46" s="1558" t="s">
        <v>8</v>
      </c>
      <c r="S46" s="1559">
        <f t="shared" si="12"/>
        <v>100</v>
      </c>
      <c r="T46" s="1558" t="s">
        <v>8</v>
      </c>
      <c r="U46" s="1559">
        <f t="shared" si="13"/>
        <v>100</v>
      </c>
      <c r="V46" s="1558" t="s">
        <v>8</v>
      </c>
      <c r="W46" s="1559">
        <f t="shared" si="14"/>
        <v>100</v>
      </c>
      <c r="X46" s="1552"/>
      <c r="Y46" s="3579"/>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661"/>
      <c r="Q47" s="1557">
        <f t="shared" si="11"/>
        <v>111</v>
      </c>
      <c r="R47" s="1558" t="s">
        <v>8</v>
      </c>
      <c r="S47" s="1559">
        <f t="shared" si="12"/>
        <v>100</v>
      </c>
      <c r="T47" s="1558" t="s">
        <v>8</v>
      </c>
      <c r="U47" s="1559">
        <f t="shared" si="13"/>
        <v>100</v>
      </c>
      <c r="V47" s="1558" t="s">
        <v>8</v>
      </c>
      <c r="W47" s="1559">
        <f t="shared" si="14"/>
        <v>100</v>
      </c>
      <c r="X47" s="1552"/>
      <c r="Y47" s="3661"/>
      <c r="Z47" s="1560">
        <f t="shared" si="15"/>
        <v>111</v>
      </c>
      <c r="AA47" s="1561">
        <f t="shared" si="3"/>
        <v>1</v>
      </c>
      <c r="AB47" s="1561">
        <f t="shared" si="4"/>
        <v>1</v>
      </c>
      <c r="AC47" s="1561">
        <f t="shared" si="5"/>
        <v>1</v>
      </c>
    </row>
    <row r="48" spans="1:29" ht="15">
      <c r="A48" s="606" t="s">
        <v>736</v>
      </c>
      <c r="B48" s="885"/>
      <c r="C48" s="2590" t="s">
        <v>1</v>
      </c>
      <c r="D48" s="2591"/>
      <c r="E48" s="2592"/>
      <c r="F48" s="2593"/>
      <c r="G48" s="2594"/>
      <c r="H48" s="2595"/>
      <c r="I48" s="2592"/>
      <c r="J48" s="2595"/>
      <c r="K48" s="1595"/>
      <c r="L48" s="2128"/>
      <c r="M48" s="2118"/>
      <c r="N48" s="2118"/>
      <c r="O48" s="2118"/>
      <c r="P48" s="3540" t="str">
        <f>A48</f>
        <v>成交单价（元/平方米）</v>
      </c>
      <c r="Q48" s="3542"/>
      <c r="R48" s="3660">
        <f>E48</f>
        <v>0</v>
      </c>
      <c r="S48" s="3660"/>
      <c r="T48" s="3660">
        <f>G48</f>
        <v>0</v>
      </c>
      <c r="U48" s="3660"/>
      <c r="V48" s="3660">
        <f>I48</f>
        <v>0</v>
      </c>
      <c r="W48" s="3660"/>
      <c r="X48" s="1544"/>
      <c r="Y48" s="1566"/>
      <c r="Z48" s="1544"/>
      <c r="AA48" s="1544"/>
      <c r="AB48" s="1544"/>
      <c r="AC48" s="1544"/>
    </row>
    <row r="49" spans="1:29" ht="15.75" thickBot="1">
      <c r="A49" s="614" t="s">
        <v>2758</v>
      </c>
      <c r="B49" s="886"/>
      <c r="C49" s="2596" t="e">
        <f>R50</f>
        <v>#DIV/0!</v>
      </c>
      <c r="D49" s="2597"/>
      <c r="E49" s="2598" t="e">
        <f>R49</f>
        <v>#DIV/0!</v>
      </c>
      <c r="F49" s="2598"/>
      <c r="G49" s="2596" t="e">
        <f>T49</f>
        <v>#DIV/0!</v>
      </c>
      <c r="H49" s="2597"/>
      <c r="I49" s="2598" t="e">
        <f>V49</f>
        <v>#DIV/0!</v>
      </c>
      <c r="J49" s="2597"/>
      <c r="K49" s="1596"/>
      <c r="L49" s="2128"/>
      <c r="M49" s="2118"/>
      <c r="N49" s="2118"/>
      <c r="O49" s="2118"/>
      <c r="P49" s="3540" t="str">
        <f>A49</f>
        <v>比较价格（元/平方米）</v>
      </c>
      <c r="Q49" s="3542"/>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1544"/>
      <c r="Y49" s="1544"/>
      <c r="Z49" s="1544"/>
      <c r="AA49" s="1544"/>
      <c r="AB49" s="1544"/>
      <c r="AC49" s="1544"/>
    </row>
    <row r="50" spans="1:29" ht="15.75" thickBot="1">
      <c r="A50" s="620" t="s">
        <v>2934</v>
      </c>
      <c r="B50" s="621"/>
      <c r="C50" s="2599" t="e">
        <f>R50</f>
        <v>#DIV/0!</v>
      </c>
      <c r="D50" s="2599"/>
      <c r="E50" s="2599"/>
      <c r="F50" s="2599"/>
      <c r="G50" s="2599"/>
      <c r="H50" s="2599"/>
      <c r="I50" s="2599"/>
      <c r="J50" s="2599"/>
      <c r="K50" s="1597"/>
      <c r="L50" s="2128"/>
      <c r="M50" s="2118"/>
      <c r="N50" s="2118"/>
      <c r="O50" s="2118"/>
      <c r="P50" s="3668" t="str">
        <f>A50</f>
        <v>估价对象XX用房的比较价格（楼面单价，元/平方米）</v>
      </c>
      <c r="Q50" s="3540"/>
      <c r="R50" s="3659" t="e">
        <f>IF(F1="售价",ROUND(AVERAGE(R49:V49),0),ROUND(AVERAGE(R49:V49),1))</f>
        <v>#DIV/0!</v>
      </c>
      <c r="S50" s="3659"/>
      <c r="T50" s="3659"/>
      <c r="U50" s="3659"/>
      <c r="V50" s="3659"/>
      <c r="W50" s="365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529</v>
      </c>
      <c r="B59" s="645"/>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785</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787</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56.25">
      <c r="A4" s="1775" t="str">
        <f>"受贵公司委托，我公司对"&amp;项目基本情况!K2&amp;项目基本情况!B9&amp;"进行了预评估。"</f>
        <v>受贵公司委托，我公司对天津市滨海高新区滨海科技园（宗地编号：津滨高（挂）2019-1号）一宗城镇住宅、商服用地出让国有建设用地使用权抵押价格进行了预评估。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国能生活服务有限责任公司使用的、位于天津市滨海高新区滨海科技园（宗地编号：津滨高（挂）2019-1号）一宗城镇住宅、商服用地出让国有建设用地使用权。根据《国有土地使用证》[]，估价对象（分摊）出让国有建设用地使用权面积为72391.8平方米。根据《建设工程规划许可证》[]、《出让合同》[]，估价对象规划建筑面积为187743.54平方米。</v>
      </c>
    </row>
    <row r="7" spans="1:4" ht="93.75">
      <c r="A7" s="2827" t="s">
        <v>2746</v>
      </c>
    </row>
    <row r="8" spans="1:4" ht="18.75">
      <c r="A8" s="1778" t="s">
        <v>1906</v>
      </c>
    </row>
    <row r="9" spans="1:4" ht="112.5">
      <c r="A9" s="1780" t="str">
        <f>IF(项目基本情况!B8="抵押",IF(项目基本情况!B5=项目基本情况!B6,定义!C51,定义!B51),定义!D51)</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2019年8月21日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根据《国有土地使用证》[]，本次评估估价对象证载（地类）用途为城镇住宅、商服用地。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本次评估设定用途即为证载用途城镇住宅、商服用地。</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根据《国有土地使用证》[]，估价对象（分摊）出让国有建设用地使用权面积为72391.8平方米。根据《建设工程规划许可证》[]、《出让合同》[]，估价对象规划建筑面积为187743.54平方米。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548" t="s">
        <v>522</v>
      </c>
      <c r="D4" s="3549"/>
      <c r="E4" s="3585" t="s">
        <v>523</v>
      </c>
      <c r="F4" s="3586"/>
      <c r="G4" s="3548" t="s">
        <v>524</v>
      </c>
      <c r="H4" s="3549"/>
      <c r="I4" s="3548" t="s">
        <v>525</v>
      </c>
      <c r="J4" s="3549"/>
      <c r="K4" s="513" t="s">
        <v>526</v>
      </c>
      <c r="L4" s="2117"/>
      <c r="M4" s="2118"/>
      <c r="N4" s="2118"/>
      <c r="O4" s="2118"/>
      <c r="P4" s="3550" t="s">
        <v>527</v>
      </c>
      <c r="Q4" s="3551"/>
      <c r="R4" s="3556" t="s">
        <v>523</v>
      </c>
      <c r="S4" s="3557"/>
      <c r="T4" s="3556" t="s">
        <v>524</v>
      </c>
      <c r="U4" s="3557"/>
      <c r="V4" s="3543" t="s">
        <v>525</v>
      </c>
      <c r="W4" s="3543"/>
      <c r="X4" s="1552"/>
      <c r="Y4" s="3556" t="s">
        <v>527</v>
      </c>
      <c r="Z4" s="3557"/>
      <c r="AA4" s="3545" t="s">
        <v>523</v>
      </c>
      <c r="AB4" s="3546" t="s">
        <v>524</v>
      </c>
      <c r="AC4" s="3545" t="s">
        <v>525</v>
      </c>
    </row>
    <row r="5" spans="1:29" ht="15">
      <c r="A5" s="514"/>
      <c r="B5" s="515"/>
      <c r="C5" s="3564" t="s">
        <v>2928</v>
      </c>
      <c r="D5" s="3565"/>
      <c r="E5" s="3587" t="s">
        <v>2929</v>
      </c>
      <c r="F5" s="3588"/>
      <c r="G5" s="3564" t="s">
        <v>2930</v>
      </c>
      <c r="H5" s="3565"/>
      <c r="I5" s="3564" t="s">
        <v>2931</v>
      </c>
      <c r="J5" s="3565"/>
      <c r="K5" s="513"/>
      <c r="L5" s="2117"/>
      <c r="M5" s="2118"/>
      <c r="N5" s="2118"/>
      <c r="O5" s="2118"/>
      <c r="P5" s="3552"/>
      <c r="Q5" s="3553"/>
      <c r="R5" s="3558"/>
      <c r="S5" s="3559"/>
      <c r="T5" s="3558"/>
      <c r="U5" s="3559"/>
      <c r="V5" s="3543"/>
      <c r="W5" s="3543"/>
      <c r="X5" s="1552"/>
      <c r="Y5" s="3558"/>
      <c r="Z5" s="3559"/>
      <c r="AA5" s="3546"/>
      <c r="AB5" s="3546"/>
      <c r="AC5" s="3546"/>
    </row>
    <row r="6" spans="1:29" ht="15.75" thickBot="1">
      <c r="A6" s="516"/>
      <c r="B6" s="517"/>
      <c r="C6" s="3562" t="s">
        <v>2932</v>
      </c>
      <c r="D6" s="3563"/>
      <c r="E6" s="3583" t="s">
        <v>2932</v>
      </c>
      <c r="F6" s="3584"/>
      <c r="G6" s="3562" t="s">
        <v>2932</v>
      </c>
      <c r="H6" s="3563"/>
      <c r="I6" s="3562" t="s">
        <v>2932</v>
      </c>
      <c r="J6" s="3563"/>
      <c r="K6" s="513" t="s">
        <v>528</v>
      </c>
      <c r="L6" s="2117"/>
      <c r="M6" s="2118"/>
      <c r="N6" s="2118"/>
      <c r="O6" s="2118"/>
      <c r="P6" s="3554"/>
      <c r="Q6" s="3555"/>
      <c r="R6" s="3558"/>
      <c r="S6" s="3559"/>
      <c r="T6" s="3560"/>
      <c r="U6" s="3561"/>
      <c r="V6" s="3543"/>
      <c r="W6" s="3543"/>
      <c r="X6" s="1552"/>
      <c r="Y6" s="3560"/>
      <c r="Z6" s="3561"/>
      <c r="AA6" s="3547"/>
      <c r="AB6" s="3547"/>
      <c r="AC6" s="3547"/>
    </row>
    <row r="7" spans="1:29" s="1214" customFormat="1" ht="15.75" thickBot="1">
      <c r="A7" s="2866"/>
      <c r="B7" s="2873" t="s">
        <v>529</v>
      </c>
      <c r="C7" s="518">
        <f>'数据-取费表'!B2</f>
        <v>43698</v>
      </c>
      <c r="D7" s="519">
        <v>100</v>
      </c>
      <c r="E7" s="520"/>
      <c r="F7" s="521">
        <f>SUMIF(52:52,YEAR(E7)&amp;"-"&amp;MONTH(E7),53:53)</f>
        <v>0</v>
      </c>
      <c r="G7" s="520"/>
      <c r="H7" s="519">
        <f>SUMIF(52:52,YEAR(G7)&amp;"-"&amp;MONTH(G7),53:53)</f>
        <v>0</v>
      </c>
      <c r="I7" s="520"/>
      <c r="J7" s="519">
        <f>SUMIF(52:52,YEAR(I7)&amp;"-"&amp;MONTH(I7),53:53)</f>
        <v>0</v>
      </c>
      <c r="K7" s="523"/>
      <c r="L7" s="2119"/>
      <c r="M7" s="2120"/>
      <c r="N7" s="2120"/>
      <c r="O7" s="2120"/>
      <c r="P7" s="3573" t="s">
        <v>530</v>
      </c>
      <c r="Q7" s="3575"/>
      <c r="R7" s="1553" t="s">
        <v>8</v>
      </c>
      <c r="S7" s="1554">
        <f t="shared" ref="S7:S15" si="0">F7</f>
        <v>0</v>
      </c>
      <c r="T7" s="1553" t="s">
        <v>8</v>
      </c>
      <c r="U7" s="1554">
        <f t="shared" ref="U7:U15" si="1">H7</f>
        <v>0</v>
      </c>
      <c r="V7" s="1553" t="s">
        <v>8</v>
      </c>
      <c r="W7" s="1554">
        <f t="shared" ref="W7:W15" si="2">J7</f>
        <v>0</v>
      </c>
      <c r="X7" s="1555"/>
      <c r="Y7" s="3573" t="s">
        <v>530</v>
      </c>
      <c r="Z7" s="3574"/>
      <c r="AA7" s="1556" t="e">
        <f>D7/F7</f>
        <v>#DIV/0!</v>
      </c>
      <c r="AB7" s="1556" t="e">
        <f>D7/H7</f>
        <v>#DIV/0!</v>
      </c>
      <c r="AC7" s="1556" t="e">
        <f>D7/J7</f>
        <v>#DIV/0!</v>
      </c>
    </row>
    <row r="8" spans="1:29" s="1214"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573" t="s">
        <v>533</v>
      </c>
      <c r="Q8" s="3574"/>
      <c r="R8" s="1553" t="s">
        <v>8</v>
      </c>
      <c r="S8" s="1554">
        <f t="shared" si="0"/>
        <v>0</v>
      </c>
      <c r="T8" s="1553" t="s">
        <v>8</v>
      </c>
      <c r="U8" s="1554">
        <f t="shared" si="1"/>
        <v>0</v>
      </c>
      <c r="V8" s="1553" t="s">
        <v>8</v>
      </c>
      <c r="W8" s="1554">
        <f t="shared" si="2"/>
        <v>0</v>
      </c>
      <c r="X8" s="1555"/>
      <c r="Y8" s="3573" t="s">
        <v>533</v>
      </c>
      <c r="Z8" s="3574"/>
      <c r="AA8" s="1556" t="e">
        <f t="shared" ref="AA8:AA40" si="3">D8/F8</f>
        <v>#DIV/0!</v>
      </c>
      <c r="AB8" s="1556" t="e">
        <f t="shared" ref="AB8:AB40" si="4">D8/H8</f>
        <v>#DIV/0!</v>
      </c>
      <c r="AC8" s="1556" t="e">
        <f t="shared" ref="AC8:AC40" si="5">D8/J8</f>
        <v>#DIV/0!</v>
      </c>
    </row>
    <row r="9" spans="1:29" s="1214" customFormat="1" ht="15">
      <c r="A9" s="2868"/>
      <c r="B9" s="2875" t="s">
        <v>2754</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542" t="s">
        <v>535</v>
      </c>
      <c r="Q9" s="1145" t="str">
        <f t="shared" ref="Q9:Q15" si="6">B9</f>
        <v>用途</v>
      </c>
      <c r="R9" s="1553" t="s">
        <v>8</v>
      </c>
      <c r="S9" s="1554">
        <f t="shared" si="0"/>
        <v>100</v>
      </c>
      <c r="T9" s="1553" t="s">
        <v>8</v>
      </c>
      <c r="U9" s="1554">
        <f t="shared" si="1"/>
        <v>100</v>
      </c>
      <c r="V9" s="1553" t="s">
        <v>8</v>
      </c>
      <c r="W9" s="1554">
        <f t="shared" si="2"/>
        <v>100</v>
      </c>
      <c r="X9" s="1555"/>
      <c r="Y9" s="3488" t="s">
        <v>536</v>
      </c>
      <c r="Z9" s="1144" t="str">
        <f t="shared" ref="Z9:Z15" si="7">Q9</f>
        <v>用途</v>
      </c>
      <c r="AA9" s="1556">
        <f t="shared" si="3"/>
        <v>1</v>
      </c>
      <c r="AB9" s="1556">
        <f t="shared" si="4"/>
        <v>1</v>
      </c>
      <c r="AC9" s="1556">
        <f t="shared" si="5"/>
        <v>1</v>
      </c>
    </row>
    <row r="10" spans="1:29" s="1332" customFormat="1" ht="27">
      <c r="A10" s="2869"/>
      <c r="B10" s="2874" t="s">
        <v>2755</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542"/>
      <c r="Q10" s="1145" t="str">
        <f t="shared" si="6"/>
        <v>土地使用年限（年）</v>
      </c>
      <c r="R10" s="1553" t="s">
        <v>8</v>
      </c>
      <c r="S10" s="1554">
        <f t="shared" si="0"/>
        <v>100</v>
      </c>
      <c r="T10" s="1553" t="s">
        <v>8</v>
      </c>
      <c r="U10" s="1554">
        <f t="shared" si="1"/>
        <v>100</v>
      </c>
      <c r="V10" s="1553" t="s">
        <v>8</v>
      </c>
      <c r="W10" s="1554">
        <f t="shared" si="2"/>
        <v>100</v>
      </c>
      <c r="X10" s="1555"/>
      <c r="Y10" s="3488"/>
      <c r="Z10" s="1144" t="str">
        <f t="shared" si="7"/>
        <v>土地使用年限（年）</v>
      </c>
      <c r="AA10" s="1556">
        <f t="shared" si="3"/>
        <v>1</v>
      </c>
      <c r="AB10" s="1556">
        <f t="shared" si="4"/>
        <v>1</v>
      </c>
      <c r="AC10" s="1556">
        <f t="shared" si="5"/>
        <v>1</v>
      </c>
    </row>
    <row r="11" spans="1:29" ht="15">
      <c r="A11" s="2870"/>
      <c r="B11" s="2874"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542"/>
      <c r="Q11" s="1145" t="str">
        <f t="shared" si="6"/>
        <v>容积率</v>
      </c>
      <c r="R11" s="1553" t="s">
        <v>8</v>
      </c>
      <c r="S11" s="1554" t="e">
        <f t="shared" si="0"/>
        <v>#N/A</v>
      </c>
      <c r="T11" s="1553" t="s">
        <v>8</v>
      </c>
      <c r="U11" s="1554" t="e">
        <f t="shared" si="1"/>
        <v>#N/A</v>
      </c>
      <c r="V11" s="1553" t="s">
        <v>8</v>
      </c>
      <c r="W11" s="1554" t="e">
        <f t="shared" si="2"/>
        <v>#N/A</v>
      </c>
      <c r="X11" s="1555"/>
      <c r="Y11" s="3488"/>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542"/>
      <c r="Q12" s="1145">
        <f t="shared" si="6"/>
        <v>111</v>
      </c>
      <c r="R12" s="1553" t="s">
        <v>8</v>
      </c>
      <c r="S12" s="1554">
        <f t="shared" si="0"/>
        <v>100</v>
      </c>
      <c r="T12" s="1553" t="s">
        <v>8</v>
      </c>
      <c r="U12" s="1554">
        <f t="shared" si="1"/>
        <v>100</v>
      </c>
      <c r="V12" s="1553" t="s">
        <v>8</v>
      </c>
      <c r="W12" s="1554">
        <f t="shared" si="2"/>
        <v>100</v>
      </c>
      <c r="X12" s="1555"/>
      <c r="Y12" s="3488"/>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542"/>
      <c r="Q13" s="1145">
        <f t="shared" si="6"/>
        <v>111</v>
      </c>
      <c r="R13" s="1553" t="s">
        <v>8</v>
      </c>
      <c r="S13" s="1554">
        <f t="shared" si="0"/>
        <v>100</v>
      </c>
      <c r="T13" s="1553" t="s">
        <v>8</v>
      </c>
      <c r="U13" s="1554">
        <f t="shared" si="1"/>
        <v>100</v>
      </c>
      <c r="V13" s="1553" t="s">
        <v>8</v>
      </c>
      <c r="W13" s="1554">
        <f t="shared" si="2"/>
        <v>100</v>
      </c>
      <c r="X13" s="1555"/>
      <c r="Y13" s="3488"/>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542"/>
      <c r="Q14" s="1145">
        <f t="shared" si="6"/>
        <v>111</v>
      </c>
      <c r="R14" s="1553" t="s">
        <v>8</v>
      </c>
      <c r="S14" s="1554">
        <f t="shared" si="0"/>
        <v>100</v>
      </c>
      <c r="T14" s="1553" t="s">
        <v>8</v>
      </c>
      <c r="U14" s="1554">
        <f t="shared" si="1"/>
        <v>100</v>
      </c>
      <c r="V14" s="1553" t="s">
        <v>8</v>
      </c>
      <c r="W14" s="1554">
        <f t="shared" si="2"/>
        <v>100</v>
      </c>
      <c r="X14" s="1555"/>
      <c r="Y14" s="3488"/>
      <c r="Z14" s="1144">
        <f t="shared" si="7"/>
        <v>111</v>
      </c>
      <c r="AA14" s="1556">
        <f t="shared" si="3"/>
        <v>1</v>
      </c>
      <c r="AB14" s="1556">
        <f t="shared" si="4"/>
        <v>1</v>
      </c>
      <c r="AC14" s="1556">
        <f t="shared" si="5"/>
        <v>1</v>
      </c>
    </row>
    <row r="15" spans="1:29" ht="57">
      <c r="A15" s="2864"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576" t="s">
        <v>540</v>
      </c>
      <c r="Q15" s="1557" t="str">
        <f t="shared" si="6"/>
        <v>产业集聚程度</v>
      </c>
      <c r="R15" s="1558" t="s">
        <v>8</v>
      </c>
      <c r="S15" s="1559">
        <f t="shared" si="0"/>
        <v>100</v>
      </c>
      <c r="T15" s="1558" t="s">
        <v>8</v>
      </c>
      <c r="U15" s="1559">
        <f t="shared" si="1"/>
        <v>100</v>
      </c>
      <c r="V15" s="1558" t="s">
        <v>8</v>
      </c>
      <c r="W15" s="1559">
        <f t="shared" si="2"/>
        <v>100</v>
      </c>
      <c r="X15" s="1552"/>
      <c r="Y15" s="357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577"/>
      <c r="Q16" s="1557"/>
      <c r="R16" s="1558"/>
      <c r="S16" s="1559"/>
      <c r="T16" s="1558"/>
      <c r="U16" s="1559"/>
      <c r="V16" s="1558"/>
      <c r="W16" s="1559"/>
      <c r="X16" s="1552"/>
      <c r="Y16" s="3577"/>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577"/>
      <c r="Q17" s="1557" t="str">
        <f>B17</f>
        <v>交通便捷度</v>
      </c>
      <c r="R17" s="1558" t="s">
        <v>8</v>
      </c>
      <c r="S17" s="1559">
        <f>F17</f>
        <v>100</v>
      </c>
      <c r="T17" s="1558" t="s">
        <v>8</v>
      </c>
      <c r="U17" s="1559">
        <f>H17</f>
        <v>100</v>
      </c>
      <c r="V17" s="1558" t="s">
        <v>8</v>
      </c>
      <c r="W17" s="1559">
        <f>J17</f>
        <v>100</v>
      </c>
      <c r="X17" s="1552"/>
      <c r="Y17" s="357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577"/>
      <c r="Q18" s="1557"/>
      <c r="R18" s="1558"/>
      <c r="S18" s="1559"/>
      <c r="T18" s="1558"/>
      <c r="U18" s="1559"/>
      <c r="V18" s="1558"/>
      <c r="W18" s="1559"/>
      <c r="X18" s="1552"/>
      <c r="Y18" s="3577"/>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577"/>
      <c r="Q19" s="1557" t="str">
        <f>B19</f>
        <v>公共配套设施</v>
      </c>
      <c r="R19" s="1558" t="s">
        <v>8</v>
      </c>
      <c r="S19" s="1559">
        <f>F19</f>
        <v>100</v>
      </c>
      <c r="T19" s="1558" t="s">
        <v>8</v>
      </c>
      <c r="U19" s="1559">
        <f>H19</f>
        <v>100</v>
      </c>
      <c r="V19" s="1558" t="s">
        <v>8</v>
      </c>
      <c r="W19" s="1559">
        <f>J19</f>
        <v>100</v>
      </c>
      <c r="X19" s="1552"/>
      <c r="Y19" s="357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577"/>
      <c r="Q20" s="1557"/>
      <c r="R20" s="1558"/>
      <c r="S20" s="1559"/>
      <c r="T20" s="1558"/>
      <c r="U20" s="1559"/>
      <c r="V20" s="1558"/>
      <c r="W20" s="1559"/>
      <c r="X20" s="1552"/>
      <c r="Y20" s="3577"/>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577"/>
      <c r="Q21" s="2542" t="str">
        <f>B21</f>
        <v>基础设施水平</v>
      </c>
      <c r="R21" s="1558" t="s">
        <v>8</v>
      </c>
      <c r="S21" s="1559">
        <f>F21</f>
        <v>100</v>
      </c>
      <c r="T21" s="1558" t="s">
        <v>8</v>
      </c>
      <c r="U21" s="1559">
        <f>H21</f>
        <v>100</v>
      </c>
      <c r="V21" s="1558" t="s">
        <v>8</v>
      </c>
      <c r="W21" s="1559">
        <f>J21</f>
        <v>100</v>
      </c>
      <c r="X21" s="2544"/>
      <c r="Y21" s="3577"/>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577"/>
      <c r="Q22" s="2542"/>
      <c r="R22" s="1558"/>
      <c r="S22" s="1559"/>
      <c r="T22" s="1558"/>
      <c r="U22" s="1559"/>
      <c r="V22" s="1558"/>
      <c r="W22" s="1559"/>
      <c r="X22" s="2544"/>
      <c r="Y22" s="3577"/>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577"/>
      <c r="Q23" s="1557" t="str">
        <f>B23</f>
        <v>环境质量</v>
      </c>
      <c r="R23" s="1558" t="s">
        <v>8</v>
      </c>
      <c r="S23" s="1559">
        <f>F23</f>
        <v>100</v>
      </c>
      <c r="T23" s="1558" t="s">
        <v>8</v>
      </c>
      <c r="U23" s="1559">
        <f>H23</f>
        <v>100</v>
      </c>
      <c r="V23" s="1558" t="s">
        <v>8</v>
      </c>
      <c r="W23" s="1559">
        <f>J23</f>
        <v>100</v>
      </c>
      <c r="X23" s="1552"/>
      <c r="Y23" s="3577"/>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577"/>
      <c r="Q24" s="1557"/>
      <c r="R24" s="1558"/>
      <c r="S24" s="1559"/>
      <c r="T24" s="1558"/>
      <c r="U24" s="1559"/>
      <c r="V24" s="1558"/>
      <c r="W24" s="1559"/>
      <c r="X24" s="1552"/>
      <c r="Y24" s="357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577"/>
      <c r="Q25" s="1557">
        <f>B25</f>
        <v>111</v>
      </c>
      <c r="R25" s="1558" t="s">
        <v>8</v>
      </c>
      <c r="S25" s="1559">
        <f>F25</f>
        <v>100</v>
      </c>
      <c r="T25" s="1558" t="s">
        <v>8</v>
      </c>
      <c r="U25" s="1559">
        <f>H25</f>
        <v>100</v>
      </c>
      <c r="V25" s="1558" t="s">
        <v>8</v>
      </c>
      <c r="W25" s="1559">
        <f>J25</f>
        <v>100</v>
      </c>
      <c r="X25" s="1552"/>
      <c r="Y25" s="357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577"/>
      <c r="Q26" s="1557">
        <f t="shared" ref="Q26:Q40" si="11">B26</f>
        <v>111</v>
      </c>
      <c r="R26" s="1558" t="s">
        <v>8</v>
      </c>
      <c r="S26" s="1559">
        <f>F26</f>
        <v>100</v>
      </c>
      <c r="T26" s="1558" t="s">
        <v>8</v>
      </c>
      <c r="U26" s="1559">
        <f>H26</f>
        <v>100</v>
      </c>
      <c r="V26" s="1558" t="s">
        <v>8</v>
      </c>
      <c r="W26" s="1559">
        <f>J26</f>
        <v>100</v>
      </c>
      <c r="X26" s="1552"/>
      <c r="Y26" s="3577"/>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577"/>
      <c r="Q27" s="1145">
        <f t="shared" si="11"/>
        <v>111</v>
      </c>
      <c r="R27" s="1553" t="s">
        <v>8</v>
      </c>
      <c r="S27" s="1554">
        <f>F27</f>
        <v>100</v>
      </c>
      <c r="T27" s="1553" t="s">
        <v>8</v>
      </c>
      <c r="U27" s="1554">
        <f>H27</f>
        <v>100</v>
      </c>
      <c r="V27" s="1553" t="s">
        <v>8</v>
      </c>
      <c r="W27" s="1554">
        <f>J27</f>
        <v>100</v>
      </c>
      <c r="X27" s="1555"/>
      <c r="Y27" s="3577"/>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577"/>
      <c r="Q28" s="1557">
        <f t="shared" si="11"/>
        <v>111</v>
      </c>
      <c r="R28" s="1558" t="s">
        <v>8</v>
      </c>
      <c r="S28" s="1559">
        <f t="shared" ref="S28:S40" si="12">F28</f>
        <v>100</v>
      </c>
      <c r="T28" s="1558" t="s">
        <v>8</v>
      </c>
      <c r="U28" s="1559">
        <f t="shared" ref="U28:U40" si="13">H28</f>
        <v>100</v>
      </c>
      <c r="V28" s="1558" t="s">
        <v>8</v>
      </c>
      <c r="W28" s="1559">
        <f t="shared" ref="W28:W40" si="14">J28</f>
        <v>100</v>
      </c>
      <c r="X28" s="1552"/>
      <c r="Y28" s="3577"/>
      <c r="Z28" s="1560">
        <f t="shared" ref="Z28:Z40" si="15">Q28</f>
        <v>111</v>
      </c>
      <c r="AA28" s="1561">
        <f t="shared" si="3"/>
        <v>1</v>
      </c>
      <c r="AB28" s="1561">
        <f t="shared" si="4"/>
        <v>1</v>
      </c>
      <c r="AC28" s="1561">
        <f t="shared" si="5"/>
        <v>1</v>
      </c>
    </row>
    <row r="29" spans="1:29" ht="15">
      <c r="A29" s="2861"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578" t="s">
        <v>550</v>
      </c>
      <c r="Q29" s="1557" t="str">
        <f t="shared" si="11"/>
        <v>建筑类型</v>
      </c>
      <c r="R29" s="1558" t="s">
        <v>8</v>
      </c>
      <c r="S29" s="1559">
        <f t="shared" si="12"/>
        <v>100</v>
      </c>
      <c r="T29" s="1558" t="s">
        <v>8</v>
      </c>
      <c r="U29" s="1559">
        <f t="shared" si="13"/>
        <v>100</v>
      </c>
      <c r="V29" s="1558" t="s">
        <v>8</v>
      </c>
      <c r="W29" s="1559">
        <f t="shared" si="14"/>
        <v>100</v>
      </c>
      <c r="X29" s="1552"/>
      <c r="Y29" s="3579"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579"/>
      <c r="Q30" s="1589" t="str">
        <f t="shared" si="11"/>
        <v>项目建筑规模</v>
      </c>
      <c r="R30" s="1562" t="s">
        <v>8</v>
      </c>
      <c r="S30" s="1563" t="e">
        <f t="shared" si="12"/>
        <v>#N/A</v>
      </c>
      <c r="T30" s="1562" t="s">
        <v>8</v>
      </c>
      <c r="U30" s="1563" t="e">
        <f t="shared" si="13"/>
        <v>#N/A</v>
      </c>
      <c r="V30" s="1562" t="s">
        <v>8</v>
      </c>
      <c r="W30" s="1563" t="e">
        <f t="shared" si="14"/>
        <v>#N/A</v>
      </c>
      <c r="X30" s="1564"/>
      <c r="Y30" s="357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579"/>
      <c r="Q31" s="1557" t="str">
        <f t="shared" si="11"/>
        <v>建筑结构</v>
      </c>
      <c r="R31" s="1558" t="s">
        <v>8</v>
      </c>
      <c r="S31" s="1559">
        <f t="shared" si="12"/>
        <v>100</v>
      </c>
      <c r="T31" s="1558" t="s">
        <v>8</v>
      </c>
      <c r="U31" s="1559">
        <f t="shared" si="13"/>
        <v>100</v>
      </c>
      <c r="V31" s="1558" t="s">
        <v>8</v>
      </c>
      <c r="W31" s="1559">
        <f t="shared" si="14"/>
        <v>100</v>
      </c>
      <c r="X31" s="1552"/>
      <c r="Y31" s="357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579"/>
      <c r="Q32" s="1557" t="str">
        <f t="shared" si="11"/>
        <v>公共部分装修</v>
      </c>
      <c r="R32" s="1558" t="s">
        <v>8</v>
      </c>
      <c r="S32" s="1559">
        <f t="shared" si="12"/>
        <v>100</v>
      </c>
      <c r="T32" s="1558" t="s">
        <v>8</v>
      </c>
      <c r="U32" s="1559">
        <f t="shared" si="13"/>
        <v>100</v>
      </c>
      <c r="V32" s="1558" t="s">
        <v>8</v>
      </c>
      <c r="W32" s="1559">
        <f t="shared" si="14"/>
        <v>100</v>
      </c>
      <c r="X32" s="1552"/>
      <c r="Y32" s="3579"/>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579"/>
      <c r="Q33" s="1557" t="str">
        <f t="shared" si="11"/>
        <v>成新度</v>
      </c>
      <c r="R33" s="1558" t="s">
        <v>8</v>
      </c>
      <c r="S33" s="1559" t="e">
        <f t="shared" si="12"/>
        <v>#N/A</v>
      </c>
      <c r="T33" s="1558" t="s">
        <v>8</v>
      </c>
      <c r="U33" s="1559" t="e">
        <f t="shared" si="13"/>
        <v>#N/A</v>
      </c>
      <c r="V33" s="1558" t="s">
        <v>8</v>
      </c>
      <c r="W33" s="1559" t="e">
        <f t="shared" si="14"/>
        <v>#N/A</v>
      </c>
      <c r="X33" s="1552"/>
      <c r="Y33" s="3579"/>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579"/>
      <c r="Q34" s="1145" t="str">
        <f t="shared" si="11"/>
        <v>物业管理</v>
      </c>
      <c r="R34" s="1553" t="s">
        <v>8</v>
      </c>
      <c r="S34" s="1554">
        <f t="shared" si="12"/>
        <v>100</v>
      </c>
      <c r="T34" s="1553" t="s">
        <v>8</v>
      </c>
      <c r="U34" s="1554">
        <f t="shared" si="13"/>
        <v>100</v>
      </c>
      <c r="V34" s="1553" t="s">
        <v>8</v>
      </c>
      <c r="W34" s="1554">
        <f t="shared" si="14"/>
        <v>100</v>
      </c>
      <c r="X34" s="1555"/>
      <c r="Y34" s="3579"/>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579" t="s">
        <v>550</v>
      </c>
      <c r="Q35" s="1557" t="str">
        <f t="shared" si="11"/>
        <v>市政基础设施</v>
      </c>
      <c r="R35" s="1558" t="s">
        <v>8</v>
      </c>
      <c r="S35" s="1559">
        <f t="shared" si="12"/>
        <v>100</v>
      </c>
      <c r="T35" s="1558" t="s">
        <v>8</v>
      </c>
      <c r="U35" s="1559">
        <f t="shared" si="13"/>
        <v>100</v>
      </c>
      <c r="V35" s="1558" t="s">
        <v>8</v>
      </c>
      <c r="W35" s="1559">
        <f t="shared" si="14"/>
        <v>100</v>
      </c>
      <c r="X35" s="1552"/>
      <c r="Y35" s="357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579"/>
      <c r="Q36" s="1557" t="str">
        <f t="shared" si="11"/>
        <v>内部装修</v>
      </c>
      <c r="R36" s="1558" t="s">
        <v>8</v>
      </c>
      <c r="S36" s="1559">
        <f t="shared" si="12"/>
        <v>100</v>
      </c>
      <c r="T36" s="1558" t="s">
        <v>8</v>
      </c>
      <c r="U36" s="1559">
        <f t="shared" si="13"/>
        <v>100</v>
      </c>
      <c r="V36" s="1558" t="s">
        <v>8</v>
      </c>
      <c r="W36" s="1559">
        <f t="shared" si="14"/>
        <v>100</v>
      </c>
      <c r="X36" s="1552"/>
      <c r="Y36" s="357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579"/>
      <c r="Q37" s="1557" t="str">
        <f t="shared" si="11"/>
        <v>内部装修状况</v>
      </c>
      <c r="R37" s="1558" t="s">
        <v>8</v>
      </c>
      <c r="S37" s="1559">
        <f t="shared" si="12"/>
        <v>100</v>
      </c>
      <c r="T37" s="1558" t="s">
        <v>8</v>
      </c>
      <c r="U37" s="1559">
        <f t="shared" si="13"/>
        <v>100</v>
      </c>
      <c r="V37" s="1558" t="s">
        <v>8</v>
      </c>
      <c r="W37" s="1559">
        <f t="shared" si="14"/>
        <v>100</v>
      </c>
      <c r="X37" s="1552"/>
      <c r="Y37" s="3579"/>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579"/>
      <c r="Q38" s="1589">
        <f t="shared" si="11"/>
        <v>111</v>
      </c>
      <c r="R38" s="1562" t="s">
        <v>8</v>
      </c>
      <c r="S38" s="1563">
        <f t="shared" si="12"/>
        <v>100</v>
      </c>
      <c r="T38" s="1562" t="s">
        <v>8</v>
      </c>
      <c r="U38" s="1563">
        <f t="shared" si="13"/>
        <v>100</v>
      </c>
      <c r="V38" s="1562" t="s">
        <v>8</v>
      </c>
      <c r="W38" s="1563">
        <f t="shared" si="14"/>
        <v>100</v>
      </c>
      <c r="X38" s="1564"/>
      <c r="Y38" s="3579"/>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579"/>
      <c r="Q39" s="1557">
        <f t="shared" si="11"/>
        <v>111</v>
      </c>
      <c r="R39" s="1558" t="s">
        <v>8</v>
      </c>
      <c r="S39" s="1559">
        <f t="shared" si="12"/>
        <v>100</v>
      </c>
      <c r="T39" s="1558" t="s">
        <v>8</v>
      </c>
      <c r="U39" s="1559">
        <f t="shared" si="13"/>
        <v>100</v>
      </c>
      <c r="V39" s="1558" t="s">
        <v>8</v>
      </c>
      <c r="W39" s="1559">
        <f t="shared" si="14"/>
        <v>100</v>
      </c>
      <c r="X39" s="1552"/>
      <c r="Y39" s="3579"/>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661"/>
      <c r="Q40" s="1557">
        <f t="shared" si="11"/>
        <v>111</v>
      </c>
      <c r="R40" s="1558" t="s">
        <v>8</v>
      </c>
      <c r="S40" s="1559">
        <f t="shared" si="12"/>
        <v>100</v>
      </c>
      <c r="T40" s="1558" t="s">
        <v>8</v>
      </c>
      <c r="U40" s="1559">
        <f t="shared" si="13"/>
        <v>100</v>
      </c>
      <c r="V40" s="1558" t="s">
        <v>8</v>
      </c>
      <c r="W40" s="1559">
        <f t="shared" si="14"/>
        <v>100</v>
      </c>
      <c r="X40" s="1552"/>
      <c r="Y40" s="3661"/>
      <c r="Z40" s="1560">
        <f t="shared" si="15"/>
        <v>111</v>
      </c>
      <c r="AA40" s="1561">
        <f t="shared" si="3"/>
        <v>1</v>
      </c>
      <c r="AB40" s="1561">
        <f t="shared" si="4"/>
        <v>1</v>
      </c>
      <c r="AC40" s="1561">
        <f t="shared" si="5"/>
        <v>1</v>
      </c>
    </row>
    <row r="41" spans="1:29" ht="15">
      <c r="A41" s="606" t="s">
        <v>736</v>
      </c>
      <c r="B41" s="885"/>
      <c r="C41" s="2590" t="s">
        <v>1</v>
      </c>
      <c r="D41" s="2591"/>
      <c r="E41" s="2592"/>
      <c r="F41" s="2593"/>
      <c r="G41" s="2594"/>
      <c r="H41" s="2595"/>
      <c r="I41" s="2592"/>
      <c r="J41" s="2595"/>
      <c r="K41" s="1595"/>
      <c r="L41" s="2128"/>
      <c r="M41" s="2129"/>
      <c r="N41" s="2118"/>
      <c r="O41" s="2129"/>
      <c r="P41" s="3542" t="str">
        <f>A41</f>
        <v>成交单价（元/平方米）</v>
      </c>
      <c r="Q41" s="3542"/>
      <c r="R41" s="3660">
        <f>E41</f>
        <v>0</v>
      </c>
      <c r="S41" s="3660"/>
      <c r="T41" s="3660">
        <f>G41</f>
        <v>0</v>
      </c>
      <c r="U41" s="3660"/>
      <c r="V41" s="3660">
        <f>I41</f>
        <v>0</v>
      </c>
      <c r="W41" s="3660"/>
      <c r="X41" s="1544"/>
      <c r="Y41" s="1566"/>
      <c r="Z41" s="1544"/>
      <c r="AA41" s="1544"/>
      <c r="AB41" s="1544"/>
      <c r="AC41" s="1544"/>
    </row>
    <row r="42" spans="1:29" ht="15.75" thickBot="1">
      <c r="A42" s="614" t="s">
        <v>2758</v>
      </c>
      <c r="B42" s="886"/>
      <c r="C42" s="2596" t="e">
        <f>R43</f>
        <v>#DIV/0!</v>
      </c>
      <c r="D42" s="2597"/>
      <c r="E42" s="2598" t="e">
        <f>R42</f>
        <v>#DIV/0!</v>
      </c>
      <c r="F42" s="2598"/>
      <c r="G42" s="2596" t="e">
        <f>T42</f>
        <v>#DIV/0!</v>
      </c>
      <c r="H42" s="2597"/>
      <c r="I42" s="2598" t="e">
        <f>V42</f>
        <v>#DIV/0!</v>
      </c>
      <c r="J42" s="2597"/>
      <c r="K42" s="1596"/>
      <c r="L42" s="2128"/>
      <c r="M42" s="2129"/>
      <c r="N42" s="2118"/>
      <c r="O42" s="2129"/>
      <c r="P42" s="3542" t="str">
        <f>A42</f>
        <v>比较价格（元/平方米）</v>
      </c>
      <c r="Q42" s="3542"/>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544"/>
      <c r="Y42" s="1544"/>
      <c r="Z42" s="1544"/>
      <c r="AA42" s="1544"/>
      <c r="AB42" s="1544"/>
      <c r="AC42" s="1544"/>
    </row>
    <row r="43" spans="1:29" ht="15.75" thickBot="1">
      <c r="A43" s="620" t="s">
        <v>2934</v>
      </c>
      <c r="B43" s="621"/>
      <c r="C43" s="2599" t="e">
        <f>R43</f>
        <v>#DIV/0!</v>
      </c>
      <c r="D43" s="2599"/>
      <c r="E43" s="2599"/>
      <c r="F43" s="2599"/>
      <c r="G43" s="2599"/>
      <c r="H43" s="2599"/>
      <c r="I43" s="2599"/>
      <c r="J43" s="2599"/>
      <c r="K43" s="1597"/>
      <c r="L43" s="2128"/>
      <c r="M43" s="2129"/>
      <c r="N43" s="2129"/>
      <c r="O43" s="2129"/>
      <c r="P43" s="3539" t="str">
        <f>A43</f>
        <v>估价对象XX用房的比较价格（楼面单价，元/平方米）</v>
      </c>
      <c r="Q43" s="3540"/>
      <c r="R43" s="3659" t="e">
        <f>IF(F1="售价",ROUND(AVERAGE(R42:V42),0),ROUND(AVERAGE(R42:V42),1))</f>
        <v>#DIV/0!</v>
      </c>
      <c r="S43" s="3659"/>
      <c r="T43" s="3659"/>
      <c r="U43" s="3659"/>
      <c r="V43" s="3659"/>
      <c r="W43" s="365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529</v>
      </c>
      <c r="B52" s="645"/>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548" t="s">
        <v>798</v>
      </c>
      <c r="D4" s="3549"/>
      <c r="E4" s="3548" t="s">
        <v>799</v>
      </c>
      <c r="F4" s="3549"/>
      <c r="G4" s="3548" t="s">
        <v>800</v>
      </c>
      <c r="H4" s="3549"/>
      <c r="I4" s="3548" t="s">
        <v>801</v>
      </c>
      <c r="J4" s="3549"/>
      <c r="K4" s="513" t="s">
        <v>802</v>
      </c>
      <c r="L4" s="2117"/>
      <c r="M4" s="2118"/>
      <c r="N4" s="2118"/>
      <c r="O4" s="2118"/>
      <c r="P4" s="3550" t="s">
        <v>803</v>
      </c>
      <c r="Q4" s="3551"/>
      <c r="R4" s="3556" t="s">
        <v>799</v>
      </c>
      <c r="S4" s="3557"/>
      <c r="T4" s="3556" t="s">
        <v>800</v>
      </c>
      <c r="U4" s="3557"/>
      <c r="V4" s="3543" t="s">
        <v>801</v>
      </c>
      <c r="W4" s="3543"/>
      <c r="X4" s="1552"/>
      <c r="Y4" s="3556" t="s">
        <v>803</v>
      </c>
      <c r="Z4" s="3557"/>
      <c r="AA4" s="3545" t="s">
        <v>799</v>
      </c>
      <c r="AB4" s="3546" t="s">
        <v>800</v>
      </c>
      <c r="AC4" s="3545" t="s">
        <v>801</v>
      </c>
    </row>
    <row r="5" spans="1:29" ht="15">
      <c r="A5" s="514"/>
      <c r="B5" s="515"/>
      <c r="C5" s="3564" t="s">
        <v>2928</v>
      </c>
      <c r="D5" s="3565"/>
      <c r="E5" s="3564" t="s">
        <v>2929</v>
      </c>
      <c r="F5" s="3565"/>
      <c r="G5" s="3564" t="s">
        <v>2930</v>
      </c>
      <c r="H5" s="3565"/>
      <c r="I5" s="3564" t="s">
        <v>2931</v>
      </c>
      <c r="J5" s="3565"/>
      <c r="K5" s="513"/>
      <c r="L5" s="2117"/>
      <c r="M5" s="2118"/>
      <c r="N5" s="2118"/>
      <c r="O5" s="2118"/>
      <c r="P5" s="3552"/>
      <c r="Q5" s="3553"/>
      <c r="R5" s="3558"/>
      <c r="S5" s="3559"/>
      <c r="T5" s="3558"/>
      <c r="U5" s="3559"/>
      <c r="V5" s="3543"/>
      <c r="W5" s="3543"/>
      <c r="X5" s="1552"/>
      <c r="Y5" s="3558"/>
      <c r="Z5" s="3559"/>
      <c r="AA5" s="3546"/>
      <c r="AB5" s="3546"/>
      <c r="AC5" s="3546"/>
    </row>
    <row r="6" spans="1:29" ht="15.75" thickBot="1">
      <c r="A6" s="516"/>
      <c r="B6" s="517"/>
      <c r="C6" s="3562" t="s">
        <v>2932</v>
      </c>
      <c r="D6" s="3563"/>
      <c r="E6" s="3566" t="s">
        <v>2932</v>
      </c>
      <c r="F6" s="3567"/>
      <c r="G6" s="3562" t="s">
        <v>2932</v>
      </c>
      <c r="H6" s="3563"/>
      <c r="I6" s="3562" t="s">
        <v>2932</v>
      </c>
      <c r="J6" s="3563"/>
      <c r="K6" s="513" t="s">
        <v>528</v>
      </c>
      <c r="L6" s="2117"/>
      <c r="M6" s="2118"/>
      <c r="N6" s="2118"/>
      <c r="O6" s="2118"/>
      <c r="P6" s="3554"/>
      <c r="Q6" s="3555"/>
      <c r="R6" s="3558"/>
      <c r="S6" s="3559"/>
      <c r="T6" s="3560"/>
      <c r="U6" s="3561"/>
      <c r="V6" s="3543"/>
      <c r="W6" s="3543"/>
      <c r="X6" s="1552"/>
      <c r="Y6" s="3560"/>
      <c r="Z6" s="3561"/>
      <c r="AA6" s="3547"/>
      <c r="AB6" s="3547"/>
      <c r="AC6" s="3547"/>
    </row>
    <row r="7" spans="1:29" s="1214" customFormat="1" ht="15.75" thickBot="1">
      <c r="A7" s="2866"/>
      <c r="B7" s="2873" t="s">
        <v>529</v>
      </c>
      <c r="C7" s="518">
        <f>'数据-取费表'!B2</f>
        <v>43698</v>
      </c>
      <c r="D7" s="519">
        <v>100</v>
      </c>
      <c r="E7" s="520"/>
      <c r="F7" s="521">
        <f>SUMIF(48:48,YEAR(E7)&amp;"-"&amp;MONTH(E7),49:49)</f>
        <v>0</v>
      </c>
      <c r="G7" s="522"/>
      <c r="H7" s="519">
        <f>SUMIF(48:48,YEAR(G7)&amp;"-"&amp;MONTH(G7),49:49)</f>
        <v>0</v>
      </c>
      <c r="I7" s="522"/>
      <c r="J7" s="519">
        <f>SUMIF(48:48,YEAR(I7)&amp;"-"&amp;MONTH(I7),49:49)</f>
        <v>0</v>
      </c>
      <c r="K7" s="523"/>
      <c r="L7" s="2119"/>
      <c r="M7" s="2120"/>
      <c r="N7" s="2120"/>
      <c r="O7" s="2120"/>
      <c r="P7" s="3573" t="s">
        <v>530</v>
      </c>
      <c r="Q7" s="3575"/>
      <c r="R7" s="1553" t="s">
        <v>8</v>
      </c>
      <c r="S7" s="1554">
        <f t="shared" ref="S7:S14" si="0">F7</f>
        <v>0</v>
      </c>
      <c r="T7" s="1553" t="s">
        <v>8</v>
      </c>
      <c r="U7" s="1554">
        <f t="shared" ref="U7:U14" si="1">H7</f>
        <v>0</v>
      </c>
      <c r="V7" s="1553" t="s">
        <v>8</v>
      </c>
      <c r="W7" s="1554">
        <f t="shared" ref="W7:W14" si="2">J7</f>
        <v>0</v>
      </c>
      <c r="X7" s="1555"/>
      <c r="Y7" s="3573" t="s">
        <v>530</v>
      </c>
      <c r="Z7" s="3574"/>
      <c r="AA7" s="1556" t="e">
        <f>D7/F7</f>
        <v>#DIV/0!</v>
      </c>
      <c r="AB7" s="1556" t="e">
        <f>D7/H7</f>
        <v>#DIV/0!</v>
      </c>
      <c r="AC7" s="1556" t="e">
        <f>D7/J7</f>
        <v>#DIV/0!</v>
      </c>
    </row>
    <row r="8" spans="1:29" s="1214"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573" t="s">
        <v>533</v>
      </c>
      <c r="Q8" s="3574"/>
      <c r="R8" s="1553" t="s">
        <v>8</v>
      </c>
      <c r="S8" s="1554">
        <f t="shared" si="0"/>
        <v>0</v>
      </c>
      <c r="T8" s="1553" t="s">
        <v>8</v>
      </c>
      <c r="U8" s="1554">
        <f t="shared" si="1"/>
        <v>0</v>
      </c>
      <c r="V8" s="1553" t="s">
        <v>8</v>
      </c>
      <c r="W8" s="1554">
        <f t="shared" si="2"/>
        <v>0</v>
      </c>
      <c r="X8" s="1555"/>
      <c r="Y8" s="3573" t="s">
        <v>533</v>
      </c>
      <c r="Z8" s="3574"/>
      <c r="AA8" s="1556" t="e">
        <f t="shared" ref="AA8:AA36" si="3">D8/F8</f>
        <v>#DIV/0!</v>
      </c>
      <c r="AB8" s="1556" t="e">
        <f t="shared" ref="AB8:AB36" si="4">D8/H8</f>
        <v>#DIV/0!</v>
      </c>
      <c r="AC8" s="1556" t="e">
        <f t="shared" ref="AC8:AC36" si="5">D8/J8</f>
        <v>#DIV/0!</v>
      </c>
    </row>
    <row r="9" spans="1:29" s="1214" customFormat="1" ht="15">
      <c r="A9" s="2868"/>
      <c r="B9" s="2875" t="s">
        <v>2754</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542" t="s">
        <v>535</v>
      </c>
      <c r="Q9" s="1145" t="str">
        <f t="shared" ref="Q9:Q14" si="6">B9</f>
        <v>用途</v>
      </c>
      <c r="R9" s="1553" t="s">
        <v>8</v>
      </c>
      <c r="S9" s="1554">
        <f t="shared" si="0"/>
        <v>100</v>
      </c>
      <c r="T9" s="1553" t="s">
        <v>8</v>
      </c>
      <c r="U9" s="1554">
        <f t="shared" si="1"/>
        <v>100</v>
      </c>
      <c r="V9" s="1553" t="s">
        <v>8</v>
      </c>
      <c r="W9" s="1554">
        <f t="shared" si="2"/>
        <v>100</v>
      </c>
      <c r="X9" s="1555"/>
      <c r="Y9" s="3488"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542"/>
      <c r="Q10" s="1145" t="str">
        <f t="shared" si="6"/>
        <v>土地使用年限（年）</v>
      </c>
      <c r="R10" s="1553" t="s">
        <v>8</v>
      </c>
      <c r="S10" s="1554">
        <f t="shared" si="0"/>
        <v>100</v>
      </c>
      <c r="T10" s="1553" t="s">
        <v>8</v>
      </c>
      <c r="U10" s="1554">
        <f t="shared" si="1"/>
        <v>100</v>
      </c>
      <c r="V10" s="1553" t="s">
        <v>8</v>
      </c>
      <c r="W10" s="1554">
        <f t="shared" si="2"/>
        <v>100</v>
      </c>
      <c r="X10" s="1555"/>
      <c r="Y10" s="3488"/>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542"/>
      <c r="Q11" s="1145">
        <f t="shared" si="6"/>
        <v>111</v>
      </c>
      <c r="R11" s="1553" t="s">
        <v>8</v>
      </c>
      <c r="S11" s="1554">
        <f t="shared" si="0"/>
        <v>100</v>
      </c>
      <c r="T11" s="1553" t="s">
        <v>8</v>
      </c>
      <c r="U11" s="1554">
        <f t="shared" si="1"/>
        <v>100</v>
      </c>
      <c r="V11" s="1553" t="s">
        <v>8</v>
      </c>
      <c r="W11" s="1554">
        <f t="shared" si="2"/>
        <v>100</v>
      </c>
      <c r="X11" s="1555"/>
      <c r="Y11" s="3488"/>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542"/>
      <c r="Q12" s="1145">
        <f t="shared" si="6"/>
        <v>111</v>
      </c>
      <c r="R12" s="1553" t="s">
        <v>8</v>
      </c>
      <c r="S12" s="1554">
        <f t="shared" si="0"/>
        <v>100</v>
      </c>
      <c r="T12" s="1553" t="s">
        <v>8</v>
      </c>
      <c r="U12" s="1554">
        <f t="shared" si="1"/>
        <v>100</v>
      </c>
      <c r="V12" s="1553" t="s">
        <v>8</v>
      </c>
      <c r="W12" s="1554">
        <f t="shared" si="2"/>
        <v>100</v>
      </c>
      <c r="X12" s="1555"/>
      <c r="Y12" s="3488"/>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542"/>
      <c r="Q13" s="1145">
        <f t="shared" si="6"/>
        <v>111</v>
      </c>
      <c r="R13" s="1553" t="s">
        <v>8</v>
      </c>
      <c r="S13" s="1554">
        <f t="shared" si="0"/>
        <v>100</v>
      </c>
      <c r="T13" s="1553" t="s">
        <v>8</v>
      </c>
      <c r="U13" s="1554">
        <f t="shared" si="1"/>
        <v>100</v>
      </c>
      <c r="V13" s="1553" t="s">
        <v>8</v>
      </c>
      <c r="W13" s="1554">
        <f t="shared" si="2"/>
        <v>100</v>
      </c>
      <c r="X13" s="1555"/>
      <c r="Y13" s="3488"/>
      <c r="Z13" s="1144">
        <f t="shared" si="7"/>
        <v>111</v>
      </c>
      <c r="AA13" s="1556">
        <f t="shared" si="3"/>
        <v>1</v>
      </c>
      <c r="AB13" s="1556">
        <f t="shared" si="4"/>
        <v>1</v>
      </c>
      <c r="AC13" s="1556">
        <f t="shared" si="5"/>
        <v>1</v>
      </c>
    </row>
    <row r="14" spans="1:29" ht="85.5">
      <c r="A14" s="2864"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576" t="s">
        <v>540</v>
      </c>
      <c r="Q14" s="1557" t="str">
        <f t="shared" si="6"/>
        <v>交通便捷度</v>
      </c>
      <c r="R14" s="1558" t="s">
        <v>8</v>
      </c>
      <c r="S14" s="1559">
        <f t="shared" si="0"/>
        <v>100</v>
      </c>
      <c r="T14" s="1558" t="s">
        <v>8</v>
      </c>
      <c r="U14" s="1559">
        <f t="shared" si="1"/>
        <v>100</v>
      </c>
      <c r="V14" s="1558" t="s">
        <v>8</v>
      </c>
      <c r="W14" s="1559">
        <f t="shared" si="2"/>
        <v>100</v>
      </c>
      <c r="X14" s="1552"/>
      <c r="Y14" s="3576"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577"/>
      <c r="Q15" s="1557"/>
      <c r="R15" s="1558"/>
      <c r="S15" s="1559"/>
      <c r="T15" s="1558"/>
      <c r="U15" s="1559"/>
      <c r="V15" s="1558"/>
      <c r="W15" s="1559"/>
      <c r="X15" s="1552"/>
      <c r="Y15" s="3577"/>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577"/>
      <c r="Q16" s="1557" t="str">
        <f>B16</f>
        <v>公共配套设施</v>
      </c>
      <c r="R16" s="1558" t="s">
        <v>8</v>
      </c>
      <c r="S16" s="1559">
        <f>F16</f>
        <v>100</v>
      </c>
      <c r="T16" s="1558" t="s">
        <v>8</v>
      </c>
      <c r="U16" s="1559">
        <f>H16</f>
        <v>100</v>
      </c>
      <c r="V16" s="1558" t="s">
        <v>8</v>
      </c>
      <c r="W16" s="1559">
        <f>J16</f>
        <v>100</v>
      </c>
      <c r="X16" s="1552"/>
      <c r="Y16" s="357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577"/>
      <c r="Q17" s="1557"/>
      <c r="R17" s="1558"/>
      <c r="S17" s="1559"/>
      <c r="T17" s="1558"/>
      <c r="U17" s="1559"/>
      <c r="V17" s="1558"/>
      <c r="W17" s="1559"/>
      <c r="X17" s="1552"/>
      <c r="Y17" s="3577"/>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577"/>
      <c r="Q18" s="2542" t="str">
        <f>B18</f>
        <v>基础设施水平</v>
      </c>
      <c r="R18" s="1558" t="s">
        <v>8</v>
      </c>
      <c r="S18" s="1559">
        <f>F18</f>
        <v>100</v>
      </c>
      <c r="T18" s="1558" t="s">
        <v>8</v>
      </c>
      <c r="U18" s="1559">
        <f>H18</f>
        <v>100</v>
      </c>
      <c r="V18" s="1558" t="s">
        <v>8</v>
      </c>
      <c r="W18" s="1559">
        <f>J18</f>
        <v>100</v>
      </c>
      <c r="X18" s="2544"/>
      <c r="Y18" s="3577"/>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577"/>
      <c r="Q19" s="2542"/>
      <c r="R19" s="1558"/>
      <c r="S19" s="1559"/>
      <c r="T19" s="1558"/>
      <c r="U19" s="1559"/>
      <c r="V19" s="1558"/>
      <c r="W19" s="1559"/>
      <c r="X19" s="2544"/>
      <c r="Y19" s="3577"/>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577"/>
      <c r="Q20" s="1557" t="str">
        <f>B20</f>
        <v>自然及人文环境</v>
      </c>
      <c r="R20" s="1558" t="s">
        <v>8</v>
      </c>
      <c r="S20" s="1559">
        <f>F20</f>
        <v>100</v>
      </c>
      <c r="T20" s="1558" t="s">
        <v>8</v>
      </c>
      <c r="U20" s="1559">
        <f>H20</f>
        <v>100</v>
      </c>
      <c r="V20" s="1558" t="s">
        <v>8</v>
      </c>
      <c r="W20" s="1559">
        <f>J20</f>
        <v>100</v>
      </c>
      <c r="X20" s="1552"/>
      <c r="Y20" s="357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577"/>
      <c r="Q21" s="1557"/>
      <c r="R21" s="1558"/>
      <c r="S21" s="1559"/>
      <c r="T21" s="1558"/>
      <c r="U21" s="1559"/>
      <c r="V21" s="1558"/>
      <c r="W21" s="1559"/>
      <c r="X21" s="1552"/>
      <c r="Y21" s="357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577"/>
      <c r="Q22" s="1557" t="str">
        <f>B22</f>
        <v>楼层</v>
      </c>
      <c r="R22" s="1558" t="s">
        <v>8</v>
      </c>
      <c r="S22" s="1559">
        <f>F22</f>
        <v>100</v>
      </c>
      <c r="T22" s="1558" t="s">
        <v>8</v>
      </c>
      <c r="U22" s="1559">
        <f>H22</f>
        <v>100</v>
      </c>
      <c r="V22" s="1558" t="s">
        <v>8</v>
      </c>
      <c r="W22" s="1559">
        <f>J22</f>
        <v>100</v>
      </c>
      <c r="X22" s="1552"/>
      <c r="Y22" s="3577"/>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577"/>
      <c r="Q23" s="1557">
        <f>B23</f>
        <v>111</v>
      </c>
      <c r="R23" s="1558" t="s">
        <v>8</v>
      </c>
      <c r="S23" s="1559">
        <f>F23</f>
        <v>100</v>
      </c>
      <c r="T23" s="1558" t="s">
        <v>8</v>
      </c>
      <c r="U23" s="1559">
        <f>H23</f>
        <v>100</v>
      </c>
      <c r="V23" s="1558" t="s">
        <v>8</v>
      </c>
      <c r="W23" s="1559">
        <f>J23</f>
        <v>100</v>
      </c>
      <c r="X23" s="1552"/>
      <c r="Y23" s="3577"/>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577"/>
      <c r="Q24" s="1557">
        <f t="shared" ref="Q24:Q36" si="11">B24</f>
        <v>111</v>
      </c>
      <c r="R24" s="1558" t="s">
        <v>8</v>
      </c>
      <c r="S24" s="1559">
        <f>F24</f>
        <v>100</v>
      </c>
      <c r="T24" s="1558" t="s">
        <v>8</v>
      </c>
      <c r="U24" s="1559">
        <f>H24</f>
        <v>100</v>
      </c>
      <c r="V24" s="1558" t="s">
        <v>8</v>
      </c>
      <c r="W24" s="1559">
        <f>J24</f>
        <v>100</v>
      </c>
      <c r="X24" s="1552"/>
      <c r="Y24" s="3577"/>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577"/>
      <c r="Q25" s="1145">
        <f t="shared" si="11"/>
        <v>111</v>
      </c>
      <c r="R25" s="1553" t="s">
        <v>8</v>
      </c>
      <c r="S25" s="1554">
        <f>F25</f>
        <v>100</v>
      </c>
      <c r="T25" s="1553" t="s">
        <v>8</v>
      </c>
      <c r="U25" s="1554">
        <f>H25</f>
        <v>100</v>
      </c>
      <c r="V25" s="1553" t="s">
        <v>8</v>
      </c>
      <c r="W25" s="1554">
        <f>J25</f>
        <v>100</v>
      </c>
      <c r="X25" s="1555"/>
      <c r="Y25" s="3577"/>
      <c r="Z25" s="1144">
        <f>Q25</f>
        <v>111</v>
      </c>
      <c r="AA25" s="1561">
        <f>D25/F25</f>
        <v>1</v>
      </c>
      <c r="AB25" s="1561">
        <f>D25/H25</f>
        <v>1</v>
      </c>
      <c r="AC25" s="1561">
        <f>D25/J25</f>
        <v>1</v>
      </c>
    </row>
    <row r="26" spans="1:29" ht="15">
      <c r="A26" s="2861"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57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79"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579"/>
      <c r="Q27" s="1589" t="str">
        <f t="shared" si="11"/>
        <v>项目停车位配比</v>
      </c>
      <c r="R27" s="1562" t="s">
        <v>8</v>
      </c>
      <c r="S27" s="1563">
        <f t="shared" si="12"/>
        <v>100</v>
      </c>
      <c r="T27" s="1562" t="s">
        <v>8</v>
      </c>
      <c r="U27" s="1563">
        <f t="shared" si="13"/>
        <v>100</v>
      </c>
      <c r="V27" s="1562" t="s">
        <v>8</v>
      </c>
      <c r="W27" s="1563">
        <f t="shared" si="14"/>
        <v>100</v>
      </c>
      <c r="X27" s="1564"/>
      <c r="Y27" s="3579"/>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579"/>
      <c r="Q28" s="1557" t="str">
        <f t="shared" si="11"/>
        <v>公共部分装修</v>
      </c>
      <c r="R28" s="1558" t="s">
        <v>8</v>
      </c>
      <c r="S28" s="1559">
        <f t="shared" si="12"/>
        <v>100</v>
      </c>
      <c r="T28" s="1558" t="s">
        <v>8</v>
      </c>
      <c r="U28" s="1559">
        <f t="shared" si="13"/>
        <v>100</v>
      </c>
      <c r="V28" s="1558" t="s">
        <v>8</v>
      </c>
      <c r="W28" s="1559">
        <f t="shared" si="14"/>
        <v>100</v>
      </c>
      <c r="X28" s="1552"/>
      <c r="Y28" s="3579"/>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579"/>
      <c r="Q29" s="1557" t="str">
        <f t="shared" si="11"/>
        <v>成新率</v>
      </c>
      <c r="R29" s="1558" t="s">
        <v>8</v>
      </c>
      <c r="S29" s="1559" t="e">
        <f t="shared" si="12"/>
        <v>#N/A</v>
      </c>
      <c r="T29" s="1558" t="s">
        <v>8</v>
      </c>
      <c r="U29" s="1559" t="e">
        <f t="shared" si="13"/>
        <v>#N/A</v>
      </c>
      <c r="V29" s="1558" t="s">
        <v>8</v>
      </c>
      <c r="W29" s="1559" t="e">
        <f t="shared" si="14"/>
        <v>#N/A</v>
      </c>
      <c r="X29" s="1552"/>
      <c r="Y29" s="3579"/>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579"/>
      <c r="Q30" s="1557" t="str">
        <f t="shared" si="11"/>
        <v>物业等级</v>
      </c>
      <c r="R30" s="1558" t="s">
        <v>8</v>
      </c>
      <c r="S30" s="1559">
        <f t="shared" si="12"/>
        <v>100</v>
      </c>
      <c r="T30" s="1558" t="s">
        <v>8</v>
      </c>
      <c r="U30" s="1559">
        <f t="shared" si="13"/>
        <v>100</v>
      </c>
      <c r="V30" s="1558" t="s">
        <v>8</v>
      </c>
      <c r="W30" s="1559">
        <f t="shared" si="14"/>
        <v>100</v>
      </c>
      <c r="X30" s="1552"/>
      <c r="Y30" s="3579"/>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579"/>
      <c r="Q31" s="1145" t="str">
        <f t="shared" si="11"/>
        <v>停车位面积</v>
      </c>
      <c r="R31" s="1553" t="s">
        <v>8</v>
      </c>
      <c r="S31" s="1554" t="e">
        <f t="shared" si="12"/>
        <v>#N/A</v>
      </c>
      <c r="T31" s="1553" t="s">
        <v>8</v>
      </c>
      <c r="U31" s="1554" t="e">
        <f t="shared" si="13"/>
        <v>#N/A</v>
      </c>
      <c r="V31" s="1553" t="s">
        <v>8</v>
      </c>
      <c r="W31" s="1554" t="e">
        <f t="shared" si="14"/>
        <v>#N/A</v>
      </c>
      <c r="X31" s="1555"/>
      <c r="Y31" s="3579"/>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579" t="s">
        <v>550</v>
      </c>
      <c r="Q32" s="1557" t="str">
        <f t="shared" si="11"/>
        <v>车位类型</v>
      </c>
      <c r="R32" s="1558" t="s">
        <v>8</v>
      </c>
      <c r="S32" s="1559">
        <f t="shared" si="12"/>
        <v>100</v>
      </c>
      <c r="T32" s="1558" t="s">
        <v>8</v>
      </c>
      <c r="U32" s="1559">
        <f t="shared" si="13"/>
        <v>100</v>
      </c>
      <c r="V32" s="1558" t="s">
        <v>8</v>
      </c>
      <c r="W32" s="1559">
        <f t="shared" si="14"/>
        <v>100</v>
      </c>
      <c r="X32" s="1552"/>
      <c r="Y32" s="3579"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579"/>
      <c r="Q33" s="1557" t="str">
        <f t="shared" si="11"/>
        <v>是否直接入户</v>
      </c>
      <c r="R33" s="1558" t="s">
        <v>8</v>
      </c>
      <c r="S33" s="1559">
        <f t="shared" si="12"/>
        <v>100</v>
      </c>
      <c r="T33" s="1558" t="s">
        <v>8</v>
      </c>
      <c r="U33" s="1559">
        <f t="shared" si="13"/>
        <v>100</v>
      </c>
      <c r="V33" s="1558" t="s">
        <v>8</v>
      </c>
      <c r="W33" s="1559">
        <f t="shared" si="14"/>
        <v>100</v>
      </c>
      <c r="X33" s="1552"/>
      <c r="Y33" s="3579"/>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579"/>
      <c r="Q34" s="1557">
        <f t="shared" si="11"/>
        <v>111</v>
      </c>
      <c r="R34" s="1558" t="s">
        <v>8</v>
      </c>
      <c r="S34" s="1559">
        <f t="shared" si="12"/>
        <v>100</v>
      </c>
      <c r="T34" s="1558" t="s">
        <v>8</v>
      </c>
      <c r="U34" s="1559">
        <f t="shared" si="13"/>
        <v>100</v>
      </c>
      <c r="V34" s="1558" t="s">
        <v>8</v>
      </c>
      <c r="W34" s="1559">
        <f t="shared" si="14"/>
        <v>100</v>
      </c>
      <c r="X34" s="1552"/>
      <c r="Y34" s="3579"/>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579"/>
      <c r="Q35" s="1589">
        <f t="shared" si="11"/>
        <v>111</v>
      </c>
      <c r="R35" s="1562" t="s">
        <v>8</v>
      </c>
      <c r="S35" s="1563">
        <f t="shared" si="12"/>
        <v>100</v>
      </c>
      <c r="T35" s="1562" t="s">
        <v>8</v>
      </c>
      <c r="U35" s="1563">
        <f t="shared" si="13"/>
        <v>100</v>
      </c>
      <c r="V35" s="1562" t="s">
        <v>8</v>
      </c>
      <c r="W35" s="1563">
        <f t="shared" si="14"/>
        <v>100</v>
      </c>
      <c r="X35" s="1564"/>
      <c r="Y35" s="3579"/>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579"/>
      <c r="Q36" s="1557">
        <f t="shared" si="11"/>
        <v>111</v>
      </c>
      <c r="R36" s="1558" t="s">
        <v>8</v>
      </c>
      <c r="S36" s="1559">
        <f t="shared" si="12"/>
        <v>100</v>
      </c>
      <c r="T36" s="1558" t="s">
        <v>8</v>
      </c>
      <c r="U36" s="1559">
        <f t="shared" si="13"/>
        <v>100</v>
      </c>
      <c r="V36" s="1558" t="s">
        <v>8</v>
      </c>
      <c r="W36" s="1559">
        <f t="shared" si="14"/>
        <v>100</v>
      </c>
      <c r="X36" s="1552"/>
      <c r="Y36" s="3579"/>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542" t="str">
        <f>A37</f>
        <v>成交单价</v>
      </c>
      <c r="Q37" s="3542"/>
      <c r="R37" s="3660">
        <f>E37</f>
        <v>0</v>
      </c>
      <c r="S37" s="3660"/>
      <c r="T37" s="3660">
        <f>G37</f>
        <v>0</v>
      </c>
      <c r="U37" s="3660"/>
      <c r="V37" s="3660">
        <f>I37</f>
        <v>0</v>
      </c>
      <c r="W37" s="3660"/>
      <c r="X37" s="1544"/>
      <c r="Y37" s="1566"/>
      <c r="Z37" s="1544"/>
      <c r="AA37" s="1544"/>
      <c r="AB37" s="1544"/>
      <c r="AC37" s="1544"/>
    </row>
    <row r="38" spans="1:29" ht="15.75" thickBot="1">
      <c r="A38" s="614" t="s">
        <v>2758</v>
      </c>
      <c r="B38" s="886"/>
      <c r="C38" s="2596" t="e">
        <f>R39</f>
        <v>#DIV/0!</v>
      </c>
      <c r="D38" s="2597"/>
      <c r="E38" s="2598" t="e">
        <f>R38</f>
        <v>#DIV/0!</v>
      </c>
      <c r="F38" s="2598"/>
      <c r="G38" s="2596" t="e">
        <f>T38</f>
        <v>#DIV/0!</v>
      </c>
      <c r="H38" s="2597"/>
      <c r="I38" s="2598" t="e">
        <f>V38</f>
        <v>#DIV/0!</v>
      </c>
      <c r="J38" s="2597"/>
      <c r="K38" s="1596"/>
      <c r="L38" s="2128"/>
      <c r="M38" s="2129"/>
      <c r="N38" s="2129"/>
      <c r="O38" s="2129"/>
      <c r="P38" s="3542" t="str">
        <f>A38</f>
        <v>比较价格（元/平方米）</v>
      </c>
      <c r="Q38" s="3542"/>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544"/>
      <c r="Y38" s="1544"/>
      <c r="Z38" s="1544"/>
      <c r="AA38" s="1544"/>
      <c r="AB38" s="1544"/>
      <c r="AC38" s="1544"/>
    </row>
    <row r="39" spans="1:29" ht="15.75" thickBot="1">
      <c r="A39" s="620" t="s">
        <v>2934</v>
      </c>
      <c r="B39" s="621"/>
      <c r="C39" s="2599" t="e">
        <f>R39</f>
        <v>#DIV/0!</v>
      </c>
      <c r="D39" s="2599"/>
      <c r="E39" s="2599"/>
      <c r="F39" s="2599"/>
      <c r="G39" s="2599"/>
      <c r="H39" s="2599"/>
      <c r="I39" s="2599"/>
      <c r="J39" s="2599"/>
      <c r="K39" s="1597"/>
      <c r="L39" s="2128"/>
      <c r="M39" s="2129"/>
      <c r="N39" s="2129"/>
      <c r="O39" s="2129"/>
      <c r="P39" s="3539" t="str">
        <f>A39</f>
        <v>估价对象XX用房的比较价格（楼面单价，元/平方米）</v>
      </c>
      <c r="Q39" s="3540"/>
      <c r="R39" s="3659" t="e">
        <f>IF(F1="售价",ROUND(AVERAGE(R38:V38),0),ROUND(AVERAGE(R38:V38),1))</f>
        <v>#DIV/0!</v>
      </c>
      <c r="S39" s="3659"/>
      <c r="T39" s="3659"/>
      <c r="U39" s="3659"/>
      <c r="V39" s="3659"/>
      <c r="W39" s="365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529</v>
      </c>
      <c r="B48" s="645"/>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548" t="s">
        <v>798</v>
      </c>
      <c r="D4" s="3549"/>
      <c r="E4" s="3585" t="s">
        <v>799</v>
      </c>
      <c r="F4" s="3586"/>
      <c r="G4" s="3548" t="s">
        <v>800</v>
      </c>
      <c r="H4" s="3549"/>
      <c r="I4" s="3548" t="s">
        <v>801</v>
      </c>
      <c r="J4" s="3549"/>
      <c r="K4" s="513" t="s">
        <v>802</v>
      </c>
      <c r="L4" s="2117"/>
      <c r="M4" s="2118"/>
      <c r="N4" s="2118"/>
      <c r="O4" s="2118"/>
      <c r="P4" s="3550" t="s">
        <v>803</v>
      </c>
      <c r="Q4" s="3551"/>
      <c r="R4" s="3556" t="s">
        <v>799</v>
      </c>
      <c r="S4" s="3557"/>
      <c r="T4" s="3556" t="s">
        <v>800</v>
      </c>
      <c r="U4" s="3557"/>
      <c r="V4" s="3543" t="s">
        <v>801</v>
      </c>
      <c r="W4" s="3543"/>
      <c r="X4" s="1552"/>
      <c r="Y4" s="3556" t="s">
        <v>803</v>
      </c>
      <c r="Z4" s="3557"/>
      <c r="AA4" s="3545" t="s">
        <v>799</v>
      </c>
      <c r="AB4" s="3546" t="s">
        <v>800</v>
      </c>
      <c r="AC4" s="3545" t="s">
        <v>801</v>
      </c>
    </row>
    <row r="5" spans="1:29" ht="15">
      <c r="A5" s="514"/>
      <c r="B5" s="515"/>
      <c r="C5" s="3564" t="s">
        <v>2928</v>
      </c>
      <c r="D5" s="3565"/>
      <c r="E5" s="3587" t="s">
        <v>2929</v>
      </c>
      <c r="F5" s="3588"/>
      <c r="G5" s="3564" t="s">
        <v>2930</v>
      </c>
      <c r="H5" s="3565"/>
      <c r="I5" s="3564" t="s">
        <v>2931</v>
      </c>
      <c r="J5" s="3565"/>
      <c r="K5" s="513"/>
      <c r="L5" s="2117"/>
      <c r="M5" s="2118"/>
      <c r="N5" s="2118"/>
      <c r="O5" s="2118"/>
      <c r="P5" s="3552"/>
      <c r="Q5" s="3553"/>
      <c r="R5" s="3558"/>
      <c r="S5" s="3559"/>
      <c r="T5" s="3558"/>
      <c r="U5" s="3559"/>
      <c r="V5" s="3543"/>
      <c r="W5" s="3543"/>
      <c r="X5" s="1552"/>
      <c r="Y5" s="3558"/>
      <c r="Z5" s="3559"/>
      <c r="AA5" s="3546"/>
      <c r="AB5" s="3546"/>
      <c r="AC5" s="3546"/>
    </row>
    <row r="6" spans="1:29" ht="15.75" thickBot="1">
      <c r="A6" s="516"/>
      <c r="B6" s="517"/>
      <c r="C6" s="3562" t="s">
        <v>2932</v>
      </c>
      <c r="D6" s="3563"/>
      <c r="E6" s="3583" t="s">
        <v>2932</v>
      </c>
      <c r="F6" s="3584"/>
      <c r="G6" s="3562" t="s">
        <v>2932</v>
      </c>
      <c r="H6" s="3563"/>
      <c r="I6" s="3562" t="s">
        <v>2932</v>
      </c>
      <c r="J6" s="3563"/>
      <c r="K6" s="513" t="s">
        <v>528</v>
      </c>
      <c r="L6" s="2117"/>
      <c r="M6" s="2118"/>
      <c r="N6" s="2118"/>
      <c r="O6" s="2118"/>
      <c r="P6" s="3554"/>
      <c r="Q6" s="3555"/>
      <c r="R6" s="3558"/>
      <c r="S6" s="3559"/>
      <c r="T6" s="3560"/>
      <c r="U6" s="3561"/>
      <c r="V6" s="3543"/>
      <c r="W6" s="3543"/>
      <c r="X6" s="1552"/>
      <c r="Y6" s="3560"/>
      <c r="Z6" s="3561"/>
      <c r="AA6" s="3547"/>
      <c r="AB6" s="3547"/>
      <c r="AC6" s="3547"/>
    </row>
    <row r="7" spans="1:29" s="1214" customFormat="1" ht="15.75" thickBot="1">
      <c r="A7" s="2866"/>
      <c r="B7" s="2873" t="s">
        <v>529</v>
      </c>
      <c r="C7" s="518">
        <f>'数据-取费表'!B2</f>
        <v>43698</v>
      </c>
      <c r="D7" s="519">
        <v>100</v>
      </c>
      <c r="E7" s="520"/>
      <c r="F7" s="521">
        <f>SUMIF(46:46,YEAR(E7)&amp;"-"&amp;MONTH(E7),47:47)</f>
        <v>0</v>
      </c>
      <c r="G7" s="522"/>
      <c r="H7" s="519">
        <f>SUMIF(46:46,YEAR(G7)&amp;"-"&amp;MONTH(G7),47:47)</f>
        <v>0</v>
      </c>
      <c r="I7" s="522"/>
      <c r="J7" s="519">
        <f>SUMIF(46:46,YEAR(I7)&amp;"-"&amp;MONTH(I7),47:47)</f>
        <v>0</v>
      </c>
      <c r="K7" s="523"/>
      <c r="L7" s="2119"/>
      <c r="M7" s="2120"/>
      <c r="N7" s="2120"/>
      <c r="O7" s="2120"/>
      <c r="P7" s="3573" t="s">
        <v>530</v>
      </c>
      <c r="Q7" s="3575"/>
      <c r="R7" s="1553" t="s">
        <v>8</v>
      </c>
      <c r="S7" s="1554">
        <f t="shared" ref="S7:S14" si="0">F7</f>
        <v>0</v>
      </c>
      <c r="T7" s="1553" t="s">
        <v>8</v>
      </c>
      <c r="U7" s="1554">
        <f t="shared" ref="U7:U14" si="1">H7</f>
        <v>0</v>
      </c>
      <c r="V7" s="1553" t="s">
        <v>8</v>
      </c>
      <c r="W7" s="1554">
        <f t="shared" ref="W7:W14" si="2">J7</f>
        <v>0</v>
      </c>
      <c r="X7" s="1555"/>
      <c r="Y7" s="3573" t="s">
        <v>530</v>
      </c>
      <c r="Z7" s="3574"/>
      <c r="AA7" s="1556" t="e">
        <f>D7/F7</f>
        <v>#DIV/0!</v>
      </c>
      <c r="AB7" s="1556" t="e">
        <f>D7/H7</f>
        <v>#DIV/0!</v>
      </c>
      <c r="AC7" s="1556" t="e">
        <f>D7/J7</f>
        <v>#DIV/0!</v>
      </c>
    </row>
    <row r="8" spans="1:29" s="1214"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573" t="s">
        <v>533</v>
      </c>
      <c r="Q8" s="3574"/>
      <c r="R8" s="1553" t="s">
        <v>8</v>
      </c>
      <c r="S8" s="1554">
        <f t="shared" si="0"/>
        <v>0</v>
      </c>
      <c r="T8" s="1553" t="s">
        <v>8</v>
      </c>
      <c r="U8" s="1554">
        <f t="shared" si="1"/>
        <v>0</v>
      </c>
      <c r="V8" s="1553" t="s">
        <v>8</v>
      </c>
      <c r="W8" s="1554">
        <f t="shared" si="2"/>
        <v>0</v>
      </c>
      <c r="X8" s="1555"/>
      <c r="Y8" s="3573" t="s">
        <v>533</v>
      </c>
      <c r="Z8" s="3574"/>
      <c r="AA8" s="1556" t="e">
        <f t="shared" ref="AA8:AA34" si="3">D8/F8</f>
        <v>#DIV/0!</v>
      </c>
      <c r="AB8" s="1556" t="e">
        <f t="shared" ref="AB8:AB34" si="4">D8/H8</f>
        <v>#DIV/0!</v>
      </c>
      <c r="AC8" s="1556" t="e">
        <f t="shared" ref="AC8:AC34" si="5">D8/J8</f>
        <v>#DIV/0!</v>
      </c>
    </row>
    <row r="9" spans="1:29" s="1214" customFormat="1" ht="15">
      <c r="A9" s="2868"/>
      <c r="B9" s="2875" t="s">
        <v>2754</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542" t="s">
        <v>535</v>
      </c>
      <c r="Q9" s="1145" t="str">
        <f t="shared" ref="Q9:Q14" si="6">B9</f>
        <v>用途</v>
      </c>
      <c r="R9" s="1553" t="s">
        <v>8</v>
      </c>
      <c r="S9" s="1554">
        <f t="shared" si="0"/>
        <v>100</v>
      </c>
      <c r="T9" s="1553" t="s">
        <v>8</v>
      </c>
      <c r="U9" s="1554">
        <f t="shared" si="1"/>
        <v>100</v>
      </c>
      <c r="V9" s="1553" t="s">
        <v>8</v>
      </c>
      <c r="W9" s="1554">
        <f t="shared" si="2"/>
        <v>100</v>
      </c>
      <c r="X9" s="1555"/>
      <c r="Y9" s="3488" t="s">
        <v>536</v>
      </c>
      <c r="Z9" s="1144" t="str">
        <f t="shared" ref="Z9:Z14" si="7">Q9</f>
        <v>用途</v>
      </c>
      <c r="AA9" s="1556">
        <f t="shared" si="3"/>
        <v>1</v>
      </c>
      <c r="AB9" s="1556">
        <f t="shared" si="4"/>
        <v>1</v>
      </c>
      <c r="AC9" s="1556">
        <f t="shared" si="5"/>
        <v>1</v>
      </c>
    </row>
    <row r="10" spans="1:29" s="1332" customFormat="1" ht="27">
      <c r="A10" s="2869"/>
      <c r="B10" s="2874" t="s">
        <v>2755</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542"/>
      <c r="Q10" s="1145" t="str">
        <f t="shared" si="6"/>
        <v>土地使用年限（年）</v>
      </c>
      <c r="R10" s="1553" t="s">
        <v>8</v>
      </c>
      <c r="S10" s="1554">
        <f t="shared" si="0"/>
        <v>100</v>
      </c>
      <c r="T10" s="1553" t="s">
        <v>8</v>
      </c>
      <c r="U10" s="1554">
        <f t="shared" si="1"/>
        <v>100</v>
      </c>
      <c r="V10" s="1553" t="s">
        <v>8</v>
      </c>
      <c r="W10" s="1554">
        <f t="shared" si="2"/>
        <v>100</v>
      </c>
      <c r="X10" s="1555"/>
      <c r="Y10" s="3488"/>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542"/>
      <c r="Q11" s="1145">
        <f t="shared" si="6"/>
        <v>111</v>
      </c>
      <c r="R11" s="1553" t="s">
        <v>8</v>
      </c>
      <c r="S11" s="1554">
        <f t="shared" si="0"/>
        <v>100</v>
      </c>
      <c r="T11" s="1553" t="s">
        <v>8</v>
      </c>
      <c r="U11" s="1554">
        <f t="shared" si="1"/>
        <v>100</v>
      </c>
      <c r="V11" s="1553" t="s">
        <v>8</v>
      </c>
      <c r="W11" s="1554">
        <f t="shared" si="2"/>
        <v>100</v>
      </c>
      <c r="X11" s="1555"/>
      <c r="Y11" s="3488"/>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542"/>
      <c r="Q12" s="1145">
        <f t="shared" si="6"/>
        <v>111</v>
      </c>
      <c r="R12" s="1553" t="s">
        <v>8</v>
      </c>
      <c r="S12" s="1554">
        <f t="shared" si="0"/>
        <v>100</v>
      </c>
      <c r="T12" s="1553" t="s">
        <v>8</v>
      </c>
      <c r="U12" s="1554">
        <f t="shared" si="1"/>
        <v>100</v>
      </c>
      <c r="V12" s="1553" t="s">
        <v>8</v>
      </c>
      <c r="W12" s="1554">
        <f t="shared" si="2"/>
        <v>100</v>
      </c>
      <c r="X12" s="1555"/>
      <c r="Y12" s="3488"/>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542"/>
      <c r="Q13" s="1145">
        <f t="shared" si="6"/>
        <v>111</v>
      </c>
      <c r="R13" s="1553" t="s">
        <v>8</v>
      </c>
      <c r="S13" s="1554">
        <f t="shared" si="0"/>
        <v>100</v>
      </c>
      <c r="T13" s="1553" t="s">
        <v>8</v>
      </c>
      <c r="U13" s="1554">
        <f t="shared" si="1"/>
        <v>100</v>
      </c>
      <c r="V13" s="1553" t="s">
        <v>8</v>
      </c>
      <c r="W13" s="1554">
        <f t="shared" si="2"/>
        <v>100</v>
      </c>
      <c r="X13" s="1555"/>
      <c r="Y13" s="3488"/>
      <c r="Z13" s="1144">
        <f t="shared" si="7"/>
        <v>111</v>
      </c>
      <c r="AA13" s="1556">
        <f t="shared" si="3"/>
        <v>1</v>
      </c>
      <c r="AB13" s="1556">
        <f t="shared" si="4"/>
        <v>1</v>
      </c>
      <c r="AC13" s="1556">
        <f t="shared" si="5"/>
        <v>1</v>
      </c>
    </row>
    <row r="14" spans="1:29" ht="85.5">
      <c r="A14" s="2864"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576" t="s">
        <v>540</v>
      </c>
      <c r="Q14" s="1557" t="str">
        <f t="shared" si="6"/>
        <v>交通便捷度</v>
      </c>
      <c r="R14" s="1558" t="s">
        <v>8</v>
      </c>
      <c r="S14" s="1559">
        <f t="shared" si="0"/>
        <v>100</v>
      </c>
      <c r="T14" s="1558" t="s">
        <v>8</v>
      </c>
      <c r="U14" s="1559">
        <f t="shared" si="1"/>
        <v>100</v>
      </c>
      <c r="V14" s="1558" t="s">
        <v>8</v>
      </c>
      <c r="W14" s="1559">
        <f t="shared" si="2"/>
        <v>100</v>
      </c>
      <c r="X14" s="1552"/>
      <c r="Y14" s="357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577"/>
      <c r="Q15" s="1557"/>
      <c r="R15" s="1558"/>
      <c r="S15" s="1559"/>
      <c r="T15" s="1558"/>
      <c r="U15" s="1559"/>
      <c r="V15" s="1558"/>
      <c r="W15" s="1559"/>
      <c r="X15" s="1552"/>
      <c r="Y15" s="3577"/>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577"/>
      <c r="Q16" s="1557" t="str">
        <f>B16</f>
        <v>公共配套设施</v>
      </c>
      <c r="R16" s="1558" t="s">
        <v>8</v>
      </c>
      <c r="S16" s="1559">
        <f>F16</f>
        <v>100</v>
      </c>
      <c r="T16" s="1558" t="s">
        <v>8</v>
      </c>
      <c r="U16" s="1559">
        <f>H16</f>
        <v>100</v>
      </c>
      <c r="V16" s="1558" t="s">
        <v>8</v>
      </c>
      <c r="W16" s="1559">
        <f>J16</f>
        <v>100</v>
      </c>
      <c r="X16" s="1552"/>
      <c r="Y16" s="357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577"/>
      <c r="Q17" s="1557"/>
      <c r="R17" s="1558"/>
      <c r="S17" s="1559"/>
      <c r="T17" s="1558"/>
      <c r="U17" s="1559"/>
      <c r="V17" s="1558"/>
      <c r="W17" s="1559"/>
      <c r="X17" s="1552"/>
      <c r="Y17" s="3577"/>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577"/>
      <c r="Q18" s="2542" t="str">
        <f>B18</f>
        <v>基础设施水平</v>
      </c>
      <c r="R18" s="1558" t="s">
        <v>8</v>
      </c>
      <c r="S18" s="1559">
        <f>F18</f>
        <v>100</v>
      </c>
      <c r="T18" s="1558" t="s">
        <v>8</v>
      </c>
      <c r="U18" s="1559">
        <f>H18</f>
        <v>100</v>
      </c>
      <c r="V18" s="1558" t="s">
        <v>8</v>
      </c>
      <c r="W18" s="1559">
        <f>J18</f>
        <v>100</v>
      </c>
      <c r="X18" s="2544"/>
      <c r="Y18" s="3577"/>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577"/>
      <c r="Q19" s="2542"/>
      <c r="R19" s="1558"/>
      <c r="S19" s="1559"/>
      <c r="T19" s="1558"/>
      <c r="U19" s="1559"/>
      <c r="V19" s="1558"/>
      <c r="W19" s="1559"/>
      <c r="X19" s="2544"/>
      <c r="Y19" s="3577"/>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577"/>
      <c r="Q20" s="1557" t="str">
        <f>B20</f>
        <v>自然及人文环境</v>
      </c>
      <c r="R20" s="1558" t="s">
        <v>8</v>
      </c>
      <c r="S20" s="1559">
        <f>F20</f>
        <v>100</v>
      </c>
      <c r="T20" s="1558" t="s">
        <v>8</v>
      </c>
      <c r="U20" s="1559">
        <f>H20</f>
        <v>100</v>
      </c>
      <c r="V20" s="1558" t="s">
        <v>8</v>
      </c>
      <c r="W20" s="1559">
        <f>J20</f>
        <v>100</v>
      </c>
      <c r="X20" s="1552"/>
      <c r="Y20" s="357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577"/>
      <c r="Q21" s="1557"/>
      <c r="R21" s="1558"/>
      <c r="S21" s="1559"/>
      <c r="T21" s="1558"/>
      <c r="U21" s="1559"/>
      <c r="V21" s="1558"/>
      <c r="W21" s="1559"/>
      <c r="X21" s="1552"/>
      <c r="Y21" s="357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577"/>
      <c r="Q22" s="1557" t="str">
        <f>B22</f>
        <v>楼层</v>
      </c>
      <c r="R22" s="1558" t="s">
        <v>8</v>
      </c>
      <c r="S22" s="1559">
        <f>F22</f>
        <v>100</v>
      </c>
      <c r="T22" s="1558" t="s">
        <v>8</v>
      </c>
      <c r="U22" s="1559">
        <f>H22</f>
        <v>100</v>
      </c>
      <c r="V22" s="1558" t="s">
        <v>8</v>
      </c>
      <c r="W22" s="1559">
        <f>J22</f>
        <v>100</v>
      </c>
      <c r="X22" s="1552"/>
      <c r="Y22" s="357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577"/>
      <c r="Q23" s="1557">
        <f>B23</f>
        <v>111</v>
      </c>
      <c r="R23" s="1558" t="s">
        <v>8</v>
      </c>
      <c r="S23" s="1559">
        <f>F23</f>
        <v>100</v>
      </c>
      <c r="T23" s="1558" t="s">
        <v>8</v>
      </c>
      <c r="U23" s="1559">
        <f>H23</f>
        <v>100</v>
      </c>
      <c r="V23" s="1558" t="s">
        <v>8</v>
      </c>
      <c r="W23" s="1559">
        <f>J23</f>
        <v>100</v>
      </c>
      <c r="X23" s="1552"/>
      <c r="Y23" s="357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577"/>
      <c r="Q24" s="1557">
        <f t="shared" ref="Q24:Q34" si="11">B24</f>
        <v>111</v>
      </c>
      <c r="R24" s="1558" t="s">
        <v>8</v>
      </c>
      <c r="S24" s="1559">
        <f>F24</f>
        <v>100</v>
      </c>
      <c r="T24" s="1558" t="s">
        <v>8</v>
      </c>
      <c r="U24" s="1559">
        <f>H24</f>
        <v>100</v>
      </c>
      <c r="V24" s="1558" t="s">
        <v>8</v>
      </c>
      <c r="W24" s="1559">
        <f>J24</f>
        <v>100</v>
      </c>
      <c r="X24" s="1552"/>
      <c r="Y24" s="3577"/>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577"/>
      <c r="Q25" s="1145">
        <f t="shared" si="11"/>
        <v>111</v>
      </c>
      <c r="R25" s="1553" t="s">
        <v>8</v>
      </c>
      <c r="S25" s="1554">
        <f>F25</f>
        <v>100</v>
      </c>
      <c r="T25" s="1553" t="s">
        <v>8</v>
      </c>
      <c r="U25" s="1554">
        <f>H25</f>
        <v>100</v>
      </c>
      <c r="V25" s="1553" t="s">
        <v>8</v>
      </c>
      <c r="W25" s="1554">
        <f>J25</f>
        <v>100</v>
      </c>
      <c r="X25" s="1555"/>
      <c r="Y25" s="3577"/>
      <c r="Z25" s="1144">
        <f>Q25</f>
        <v>111</v>
      </c>
      <c r="AA25" s="1561">
        <f>D25/F25</f>
        <v>1</v>
      </c>
      <c r="AB25" s="1561">
        <f>D25/H25</f>
        <v>1</v>
      </c>
      <c r="AC25" s="1561">
        <f>D25/J25</f>
        <v>1</v>
      </c>
    </row>
    <row r="26" spans="1:29" ht="15">
      <c r="A26" s="2861"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57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79"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579"/>
      <c r="Q27" s="1589" t="str">
        <f t="shared" si="11"/>
        <v>成新率</v>
      </c>
      <c r="R27" s="1562" t="s">
        <v>8</v>
      </c>
      <c r="S27" s="1563" t="e">
        <f t="shared" si="12"/>
        <v>#N/A</v>
      </c>
      <c r="T27" s="1562" t="s">
        <v>8</v>
      </c>
      <c r="U27" s="1563" t="e">
        <f t="shared" si="13"/>
        <v>#N/A</v>
      </c>
      <c r="V27" s="1562" t="s">
        <v>8</v>
      </c>
      <c r="W27" s="1563" t="e">
        <f t="shared" si="14"/>
        <v>#N/A</v>
      </c>
      <c r="X27" s="1564"/>
      <c r="Y27" s="357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579"/>
      <c r="Q28" s="1557" t="str">
        <f t="shared" si="11"/>
        <v>物业等级</v>
      </c>
      <c r="R28" s="1558" t="s">
        <v>8</v>
      </c>
      <c r="S28" s="1559">
        <f t="shared" si="12"/>
        <v>100</v>
      </c>
      <c r="T28" s="1558" t="s">
        <v>8</v>
      </c>
      <c r="U28" s="1559">
        <f t="shared" si="13"/>
        <v>100</v>
      </c>
      <c r="V28" s="1558" t="s">
        <v>8</v>
      </c>
      <c r="W28" s="1559">
        <f t="shared" si="14"/>
        <v>100</v>
      </c>
      <c r="X28" s="1552"/>
      <c r="Y28" s="3579"/>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579"/>
      <c r="Q29" s="1557" t="str">
        <f t="shared" si="11"/>
        <v>有无电梯</v>
      </c>
      <c r="R29" s="1558" t="s">
        <v>8</v>
      </c>
      <c r="S29" s="1559">
        <f t="shared" si="12"/>
        <v>100</v>
      </c>
      <c r="T29" s="1558" t="s">
        <v>8</v>
      </c>
      <c r="U29" s="1559">
        <f t="shared" si="13"/>
        <v>100</v>
      </c>
      <c r="V29" s="1558" t="s">
        <v>8</v>
      </c>
      <c r="W29" s="1559">
        <f t="shared" si="14"/>
        <v>100</v>
      </c>
      <c r="X29" s="1552"/>
      <c r="Y29" s="3579"/>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579"/>
      <c r="Q30" s="1557" t="str">
        <f t="shared" si="11"/>
        <v>建筑面积</v>
      </c>
      <c r="R30" s="1558" t="s">
        <v>8</v>
      </c>
      <c r="S30" s="1559" t="e">
        <f t="shared" si="12"/>
        <v>#N/A</v>
      </c>
      <c r="T30" s="1558" t="s">
        <v>8</v>
      </c>
      <c r="U30" s="1559" t="e">
        <f t="shared" si="13"/>
        <v>#N/A</v>
      </c>
      <c r="V30" s="1558" t="s">
        <v>8</v>
      </c>
      <c r="W30" s="1559" t="e">
        <f t="shared" si="14"/>
        <v>#N/A</v>
      </c>
      <c r="X30" s="1552"/>
      <c r="Y30" s="3579"/>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579"/>
      <c r="Q31" s="1145" t="str">
        <f t="shared" si="11"/>
        <v>是否封闭</v>
      </c>
      <c r="R31" s="1553" t="s">
        <v>8</v>
      </c>
      <c r="S31" s="1554">
        <f t="shared" si="12"/>
        <v>100</v>
      </c>
      <c r="T31" s="1553" t="s">
        <v>8</v>
      </c>
      <c r="U31" s="1554">
        <f t="shared" si="13"/>
        <v>100</v>
      </c>
      <c r="V31" s="1553" t="s">
        <v>8</v>
      </c>
      <c r="W31" s="1554">
        <f t="shared" si="14"/>
        <v>100</v>
      </c>
      <c r="X31" s="1555"/>
      <c r="Y31" s="3579"/>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579" t="s">
        <v>550</v>
      </c>
      <c r="Q32" s="1557">
        <f t="shared" si="11"/>
        <v>111</v>
      </c>
      <c r="R32" s="1558" t="s">
        <v>8</v>
      </c>
      <c r="S32" s="1559">
        <f t="shared" si="12"/>
        <v>100</v>
      </c>
      <c r="T32" s="1558" t="s">
        <v>8</v>
      </c>
      <c r="U32" s="1559">
        <f t="shared" si="13"/>
        <v>100</v>
      </c>
      <c r="V32" s="1558" t="s">
        <v>8</v>
      </c>
      <c r="W32" s="1559">
        <f t="shared" si="14"/>
        <v>100</v>
      </c>
      <c r="X32" s="1552"/>
      <c r="Y32" s="3579"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579"/>
      <c r="Q33" s="1557">
        <f t="shared" si="11"/>
        <v>111</v>
      </c>
      <c r="R33" s="1558" t="s">
        <v>8</v>
      </c>
      <c r="S33" s="1559">
        <f t="shared" si="12"/>
        <v>100</v>
      </c>
      <c r="T33" s="1558" t="s">
        <v>8</v>
      </c>
      <c r="U33" s="1559">
        <f t="shared" si="13"/>
        <v>100</v>
      </c>
      <c r="V33" s="1558" t="s">
        <v>8</v>
      </c>
      <c r="W33" s="1559">
        <f t="shared" si="14"/>
        <v>100</v>
      </c>
      <c r="X33" s="1552"/>
      <c r="Y33" s="3579"/>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579"/>
      <c r="Q34" s="1557">
        <f t="shared" si="11"/>
        <v>111</v>
      </c>
      <c r="R34" s="1558" t="s">
        <v>8</v>
      </c>
      <c r="S34" s="1559">
        <f t="shared" si="12"/>
        <v>100</v>
      </c>
      <c r="T34" s="1558" t="s">
        <v>8</v>
      </c>
      <c r="U34" s="1559">
        <f t="shared" si="13"/>
        <v>100</v>
      </c>
      <c r="V34" s="1558" t="s">
        <v>8</v>
      </c>
      <c r="W34" s="1559">
        <f t="shared" si="14"/>
        <v>100</v>
      </c>
      <c r="X34" s="1552"/>
      <c r="Y34" s="3579"/>
      <c r="Z34" s="1560">
        <f t="shared" si="15"/>
        <v>111</v>
      </c>
      <c r="AA34" s="1561">
        <f t="shared" si="3"/>
        <v>1</v>
      </c>
      <c r="AB34" s="1561">
        <f t="shared" si="4"/>
        <v>1</v>
      </c>
      <c r="AC34" s="1561">
        <f t="shared" si="5"/>
        <v>1</v>
      </c>
    </row>
    <row r="35" spans="1:29" ht="15">
      <c r="A35" s="606" t="s">
        <v>736</v>
      </c>
      <c r="B35" s="885"/>
      <c r="C35" s="2590" t="s">
        <v>1</v>
      </c>
      <c r="D35" s="2591"/>
      <c r="E35" s="2592"/>
      <c r="F35" s="2593"/>
      <c r="G35" s="2594"/>
      <c r="H35" s="2595"/>
      <c r="I35" s="2592"/>
      <c r="J35" s="2595"/>
      <c r="K35" s="1595"/>
      <c r="L35" s="2128"/>
      <c r="M35" s="2129"/>
      <c r="N35" s="2118"/>
      <c r="O35" s="2129"/>
      <c r="P35" s="3542" t="str">
        <f>A35</f>
        <v>成交单价（元/平方米）</v>
      </c>
      <c r="Q35" s="3542"/>
      <c r="R35" s="3660">
        <f>E35</f>
        <v>0</v>
      </c>
      <c r="S35" s="3660"/>
      <c r="T35" s="3660">
        <f>G35</f>
        <v>0</v>
      </c>
      <c r="U35" s="3660"/>
      <c r="V35" s="3660">
        <f>I35</f>
        <v>0</v>
      </c>
      <c r="W35" s="3660"/>
      <c r="X35" s="1544"/>
      <c r="Y35" s="1566"/>
      <c r="Z35" s="1544"/>
      <c r="AA35" s="1544"/>
      <c r="AB35" s="1544"/>
      <c r="AC35" s="1544"/>
    </row>
    <row r="36" spans="1:29" ht="15.75" thickBot="1">
      <c r="A36" s="614" t="s">
        <v>2758</v>
      </c>
      <c r="B36" s="886"/>
      <c r="C36" s="2596" t="e">
        <f>R37</f>
        <v>#DIV/0!</v>
      </c>
      <c r="D36" s="2597"/>
      <c r="E36" s="2598" t="e">
        <f>R36</f>
        <v>#DIV/0!</v>
      </c>
      <c r="F36" s="2598"/>
      <c r="G36" s="2596" t="e">
        <f>T36</f>
        <v>#DIV/0!</v>
      </c>
      <c r="H36" s="2597"/>
      <c r="I36" s="2598" t="e">
        <f>V36</f>
        <v>#DIV/0!</v>
      </c>
      <c r="J36" s="2597"/>
      <c r="K36" s="1596"/>
      <c r="L36" s="2128"/>
      <c r="M36" s="2129"/>
      <c r="N36" s="2118"/>
      <c r="O36" s="2129"/>
      <c r="P36" s="3542" t="str">
        <f>A36</f>
        <v>比较价格（元/平方米）</v>
      </c>
      <c r="Q36" s="3542"/>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544"/>
      <c r="Y36" s="1544"/>
      <c r="Z36" s="1544"/>
      <c r="AA36" s="1544"/>
      <c r="AB36" s="1544"/>
      <c r="AC36" s="1544"/>
    </row>
    <row r="37" spans="1:29" ht="15.75" thickBot="1">
      <c r="A37" s="620" t="s">
        <v>2934</v>
      </c>
      <c r="B37" s="621"/>
      <c r="C37" s="2599" t="e">
        <f>R37</f>
        <v>#DIV/0!</v>
      </c>
      <c r="D37" s="2599"/>
      <c r="E37" s="2599"/>
      <c r="F37" s="2599"/>
      <c r="G37" s="2599"/>
      <c r="H37" s="2599"/>
      <c r="I37" s="2599"/>
      <c r="J37" s="2599"/>
      <c r="K37" s="1597"/>
      <c r="L37" s="2128"/>
      <c r="M37" s="2129"/>
      <c r="N37" s="2129"/>
      <c r="O37" s="2129"/>
      <c r="P37" s="3539" t="str">
        <f>A37</f>
        <v>估价对象XX用房的比较价格（楼面单价，元/平方米）</v>
      </c>
      <c r="Q37" s="3540"/>
      <c r="R37" s="3659" t="e">
        <f>IF(F1="售价",ROUND(AVERAGE(R36:V36),0),ROUND(AVERAGE(R36:V36),1))</f>
        <v>#DIV/0!</v>
      </c>
      <c r="S37" s="3659"/>
      <c r="T37" s="3659"/>
      <c r="U37" s="3659"/>
      <c r="V37" s="3659"/>
      <c r="W37" s="365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529</v>
      </c>
      <c r="B46" s="645"/>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827</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2303</v>
      </c>
      <c r="C1" s="3675" t="s">
        <v>2304</v>
      </c>
      <c r="D1" s="3676"/>
      <c r="E1" s="3676"/>
      <c r="F1" s="3676"/>
      <c r="G1" s="3676"/>
      <c r="H1" s="3676"/>
      <c r="I1" s="3676"/>
      <c r="J1" s="3676"/>
      <c r="K1" s="3676"/>
      <c r="L1" s="3676"/>
      <c r="M1" s="3676"/>
      <c r="N1" s="3676"/>
      <c r="O1" s="3676"/>
      <c r="P1" s="3676"/>
      <c r="Q1" s="3676"/>
      <c r="R1" s="3676"/>
      <c r="S1" s="3677"/>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672" t="s">
        <v>20</v>
      </c>
      <c r="D22" s="3673"/>
      <c r="E22" s="3673"/>
      <c r="F22" s="3673"/>
      <c r="G22" s="3673"/>
      <c r="H22" s="3673"/>
      <c r="I22" s="3673"/>
      <c r="J22" s="3673"/>
      <c r="K22" s="3673"/>
      <c r="L22" s="3673"/>
      <c r="M22" s="3673"/>
      <c r="N22" s="3673"/>
      <c r="O22" s="3673"/>
      <c r="P22" s="3673"/>
      <c r="Q22" s="3674"/>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43698</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6" sqref="C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6" t="s">
        <v>3042</v>
      </c>
      <c r="E1" s="2350" t="s">
        <v>870</v>
      </c>
      <c r="F1" s="2351">
        <f ca="1">J53</f>
        <v>48</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7715</v>
      </c>
      <c r="C2" s="2041"/>
      <c r="D2" s="2039"/>
      <c r="E2" s="2040"/>
      <c r="F2" s="2040"/>
      <c r="G2" s="1575"/>
      <c r="H2" s="2041"/>
      <c r="I2" s="2041"/>
      <c r="J2" s="2041"/>
      <c r="K2" s="2042"/>
      <c r="L2" s="2041"/>
      <c r="M2" s="2041"/>
    </row>
    <row r="3" spans="1:33" ht="18" customHeight="1" thickBot="1">
      <c r="A3" s="832" t="s">
        <v>519</v>
      </c>
      <c r="B3" s="833">
        <f ca="1">IF(ISERROR(B2*10000/F43),0,ROUND(B2*10000/F43,0))</f>
        <v>1656</v>
      </c>
      <c r="C3" s="2041"/>
      <c r="D3" s="2039"/>
      <c r="E3" s="2040"/>
      <c r="F3" s="2040"/>
      <c r="G3" s="1575"/>
      <c r="H3" s="775" t="s">
        <v>695</v>
      </c>
      <c r="I3" s="1357"/>
      <c r="J3" s="1357"/>
      <c r="K3" s="1576"/>
      <c r="L3" s="1357"/>
      <c r="M3" s="1357"/>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629</v>
      </c>
      <c r="D5" s="2459" t="s">
        <v>2460</v>
      </c>
      <c r="E5" s="2453"/>
      <c r="F5" s="2454"/>
      <c r="G5" s="1577"/>
      <c r="H5" s="780">
        <v>1</v>
      </c>
      <c r="I5" s="781" t="s">
        <v>2457</v>
      </c>
      <c r="J5" s="55">
        <f ca="1">J6+J10+J12</f>
        <v>0</v>
      </c>
      <c r="K5" s="2459" t="s">
        <v>2460</v>
      </c>
      <c r="L5" s="2453"/>
      <c r="M5" s="2454"/>
    </row>
    <row r="6" spans="1:33" ht="18" customHeight="1">
      <c r="A6" s="1814" t="s">
        <v>1824</v>
      </c>
      <c r="B6" s="3632" t="s">
        <v>2462</v>
      </c>
      <c r="C6" s="782">
        <f ca="1">ROUND(F6*F8*F7*(1-F9)/10000,0)</f>
        <v>629</v>
      </c>
      <c r="D6" s="2460" t="s">
        <v>2461</v>
      </c>
      <c r="E6" s="783" t="s">
        <v>637</v>
      </c>
      <c r="F6" s="784">
        <f ca="1">INDIRECT("'数据-取费表'!u"&amp;$G$1)</f>
        <v>400</v>
      </c>
      <c r="G6" s="1577"/>
      <c r="H6" s="2467" t="s">
        <v>1824</v>
      </c>
      <c r="I6" s="3632" t="s">
        <v>2462</v>
      </c>
      <c r="J6" s="782">
        <f ca="1">ROUND(M6*M8*M7*(1-M9)/10000,0)</f>
        <v>0</v>
      </c>
      <c r="K6" s="340" t="s">
        <v>636</v>
      </c>
      <c r="L6" s="783" t="s">
        <v>637</v>
      </c>
      <c r="M6" s="784">
        <f ca="1">INDIRECT("'数据-取费表'!z"&amp;$G$1)</f>
        <v>0</v>
      </c>
    </row>
    <row r="7" spans="1:33" ht="18" customHeight="1">
      <c r="A7" s="2463"/>
      <c r="B7" s="3633"/>
      <c r="C7" s="787"/>
      <c r="D7" s="788"/>
      <c r="E7" s="783" t="s">
        <v>638</v>
      </c>
      <c r="F7" s="784">
        <f ca="1">IF(INDIRECT("'数据-取费表'!ah"&amp;$G$1)="",INDIRECT("'数据-取费表'!k"&amp;$G$1),INDIRECT("'数据-取费表'!ah"&amp;$G$1))</f>
        <v>1456</v>
      </c>
      <c r="G7" s="1577"/>
      <c r="H7" s="2452"/>
      <c r="I7" s="3633"/>
      <c r="J7" s="787"/>
      <c r="K7" s="788"/>
      <c r="L7" s="783" t="s">
        <v>638</v>
      </c>
      <c r="M7" s="784">
        <f ca="1">F7</f>
        <v>1456</v>
      </c>
    </row>
    <row r="8" spans="1:33" ht="18" customHeight="1">
      <c r="A8" s="2456"/>
      <c r="B8" s="3634"/>
      <c r="C8" s="787"/>
      <c r="D8" s="788"/>
      <c r="E8" s="783" t="s">
        <v>639</v>
      </c>
      <c r="F8" s="784">
        <f ca="1">INDIRECT("'数据-取费表'!ai"&amp;$G$1)</f>
        <v>12</v>
      </c>
      <c r="G8" s="1577"/>
      <c r="H8" s="2452"/>
      <c r="I8" s="3634"/>
      <c r="J8" s="787"/>
      <c r="K8" s="788"/>
      <c r="L8" s="783" t="s">
        <v>639</v>
      </c>
      <c r="M8" s="784">
        <f ca="1">INDIRECT("'数据-取费表'!ai"&amp;$G$1)</f>
        <v>12</v>
      </c>
    </row>
    <row r="9" spans="1:33" ht="18" customHeight="1">
      <c r="A9" s="785"/>
      <c r="B9" s="3635"/>
      <c r="C9" s="787"/>
      <c r="D9" s="788"/>
      <c r="E9" s="783" t="s">
        <v>640</v>
      </c>
      <c r="F9" s="793">
        <f ca="1">INDIRECT("'数据-取费表'!w"&amp;$G$1)</f>
        <v>0.1</v>
      </c>
      <c r="G9" s="1577"/>
      <c r="H9" s="2468"/>
      <c r="I9" s="3634"/>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2972</v>
      </c>
      <c r="E10" s="2461" t="s">
        <v>2463</v>
      </c>
      <c r="F10" s="2584"/>
      <c r="G10" s="1577"/>
      <c r="H10" s="2524" t="s">
        <v>1825</v>
      </c>
      <c r="I10" s="2529" t="s">
        <v>2458</v>
      </c>
      <c r="J10" s="782">
        <f ca="1">ROUND(IF(M10="押一",J6/12*M11,IF(M10="押二",J6/12*2*M11,IF(M10="押三",J6/12*3*M11,J11*M11))),0)</f>
        <v>0</v>
      </c>
      <c r="K10" s="2464" t="s">
        <v>2972</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15855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11898</v>
      </c>
      <c r="D14" s="3182" t="s">
        <v>646</v>
      </c>
      <c r="E14" s="3183"/>
      <c r="F14" s="804"/>
      <c r="G14" s="1577"/>
      <c r="H14" s="1633" t="s">
        <v>1824</v>
      </c>
      <c r="I14" s="2215" t="s">
        <v>2823</v>
      </c>
      <c r="J14" s="53">
        <f ca="1">C29</f>
        <v>15855</v>
      </c>
      <c r="K14" s="26"/>
      <c r="L14" s="800"/>
      <c r="M14" s="801"/>
    </row>
    <row r="15" spans="1:33" s="2048" customFormat="1" ht="18" customHeight="1" thickBot="1">
      <c r="A15" s="1632" t="s">
        <v>1832</v>
      </c>
      <c r="B15" s="783" t="s">
        <v>647</v>
      </c>
      <c r="C15" s="53">
        <f ca="1">ROUND(C14*F15,0)</f>
        <v>357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7</v>
      </c>
      <c r="I16" s="1811" t="s">
        <v>651</v>
      </c>
      <c r="J16" s="791">
        <f ca="1">ROUND(J17+J22+J23+J24,0)</f>
        <v>1570</v>
      </c>
      <c r="K16" s="1805" t="s">
        <v>652</v>
      </c>
      <c r="L16" s="3184"/>
      <c r="M16" s="2454"/>
    </row>
    <row r="17" spans="1:33" s="2048" customFormat="1" ht="18" customHeight="1">
      <c r="A17" s="1632" t="s">
        <v>1887</v>
      </c>
      <c r="B17" s="783" t="s">
        <v>653</v>
      </c>
      <c r="C17" s="53">
        <f ca="1">ROUND(F17*(F43+INDIRECT("'数据-取费表'!S"&amp;$G$1))/10000,0)</f>
        <v>991</v>
      </c>
      <c r="D17" s="783" t="s">
        <v>654</v>
      </c>
      <c r="E17" s="783" t="s">
        <v>655</v>
      </c>
      <c r="F17" s="56">
        <f>'数据-取费表'!B35</f>
        <v>200</v>
      </c>
      <c r="G17" s="1578"/>
      <c r="H17" s="1633" t="s">
        <v>1824</v>
      </c>
      <c r="I17" s="783" t="s">
        <v>656</v>
      </c>
      <c r="J17" s="53">
        <f ca="1">ROUND(IF(项目基本情况!B11="自然人",J6*M17/(1+'数据-取费表'!C42),J18+J19+J20),0)</f>
        <v>1332</v>
      </c>
      <c r="K17" s="3182" t="s">
        <v>657</v>
      </c>
      <c r="L17" s="3181"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178</v>
      </c>
      <c r="D18" s="783" t="s">
        <v>648</v>
      </c>
      <c r="E18" s="783" t="s">
        <v>649</v>
      </c>
      <c r="F18" s="808">
        <f>'数据-取费表'!B36</f>
        <v>1.4999999999999999E-2</v>
      </c>
      <c r="G18" s="1578"/>
      <c r="H18" s="1632" t="s">
        <v>1831</v>
      </c>
      <c r="I18" s="783" t="s">
        <v>660</v>
      </c>
      <c r="J18" s="53">
        <f ca="1">ROUND(J6*M18/(1+'数据-取费表'!C42),1)</f>
        <v>0</v>
      </c>
      <c r="K18" s="3181" t="s">
        <v>661</v>
      </c>
      <c r="L18" s="783" t="s">
        <v>649</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13424</v>
      </c>
      <c r="D19" s="260" t="s">
        <v>663</v>
      </c>
      <c r="E19" s="3186"/>
      <c r="F19" s="56"/>
      <c r="G19" s="1577"/>
      <c r="H19" s="1632" t="s">
        <v>1832</v>
      </c>
      <c r="I19" s="783" t="s">
        <v>664</v>
      </c>
      <c r="J19" s="53">
        <f ca="1">IF(K19="按租金收入计税",ROUND(J6*M19/(1+'数据-取费表'!C42),1),ROUND(C29*F33*0.7,1))</f>
        <v>1331.8</v>
      </c>
      <c r="K19" s="810" t="s">
        <v>665</v>
      </c>
      <c r="L19" s="783" t="s">
        <v>649</v>
      </c>
      <c r="M19" s="808">
        <f>IF(K19="按租金收入计税",'数据-取费表'!B51,'数据-取费表'!B50)</f>
        <v>1.2E-2</v>
      </c>
    </row>
    <row r="20" spans="1:33" s="2048" customFormat="1" ht="18" customHeight="1">
      <c r="A20" s="1633" t="s">
        <v>1889</v>
      </c>
      <c r="B20" s="783" t="s">
        <v>666</v>
      </c>
      <c r="C20" s="53">
        <f ca="1">ROUND(C19*F20,0)</f>
        <v>268</v>
      </c>
      <c r="D20" s="811" t="s">
        <v>667</v>
      </c>
      <c r="E20" s="783" t="s">
        <v>649</v>
      </c>
      <c r="F20" s="808">
        <f>'数据-取费表'!B37</f>
        <v>0.02</v>
      </c>
      <c r="G20" s="1578"/>
      <c r="H20" s="1635" t="s">
        <v>1833</v>
      </c>
      <c r="I20" s="340" t="s">
        <v>668</v>
      </c>
      <c r="J20" s="54">
        <f ca="1">ROUND(M20*M21/10000,0)</f>
        <v>0</v>
      </c>
      <c r="K20" s="813" t="s">
        <v>669</v>
      </c>
      <c r="L20" s="783" t="s">
        <v>670</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v>
      </c>
      <c r="D21" s="811" t="s">
        <v>2298</v>
      </c>
      <c r="E21" s="783" t="s">
        <v>673</v>
      </c>
      <c r="F21" s="808">
        <f>'数据-取费表'!B38</f>
        <v>1.4999999999999999E-2</v>
      </c>
      <c r="G21" s="1578"/>
      <c r="H21" s="2469"/>
      <c r="I21" s="792"/>
      <c r="J21" s="69"/>
      <c r="K21" s="815"/>
      <c r="L21" s="783" t="s">
        <v>674</v>
      </c>
      <c r="M21" s="784">
        <f ca="1">INDIRECT("'数据-取费表'!r"&amp;$G$1)</f>
        <v>19114.66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6"/>
      <c r="F22" s="56"/>
      <c r="G22" s="1577"/>
      <c r="H22" s="1633" t="s">
        <v>1889</v>
      </c>
      <c r="I22" s="783" t="s">
        <v>676</v>
      </c>
      <c r="J22" s="53">
        <f ca="1">ROUND(J14*M22,0)</f>
        <v>238</v>
      </c>
      <c r="K22" s="3181" t="s">
        <v>677</v>
      </c>
      <c r="L22" s="783" t="s">
        <v>649</v>
      </c>
      <c r="M22" s="816">
        <f ca="1">INDIRECT("'数据-取费表'!Ak"&amp;$G$1)</f>
        <v>1.4999999999999999E-2</v>
      </c>
    </row>
    <row r="23" spans="1:33" s="2048" customFormat="1" ht="18" customHeight="1">
      <c r="A23" s="1632" t="s">
        <v>1831</v>
      </c>
      <c r="B23" s="783" t="s">
        <v>2436</v>
      </c>
      <c r="C23" s="53">
        <f ca="1">ROUND(IF('数据-取费表'!B22&lt;=1,(C19+C20)*F24*F23/2,(C19+C20)*(POWER((1+F24),F23/2)-1)),0)</f>
        <v>650</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81"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6"/>
      <c r="F25" s="56"/>
      <c r="G25" s="1577"/>
      <c r="H25" s="1813" t="s">
        <v>1776</v>
      </c>
      <c r="I25" s="2961" t="s">
        <v>2820</v>
      </c>
      <c r="J25" s="791">
        <f ca="1">J5-J16</f>
        <v>-1570</v>
      </c>
      <c r="K25" s="2511" t="s">
        <v>700</v>
      </c>
      <c r="L25" s="2512"/>
      <c r="M25" s="2513"/>
    </row>
    <row r="26" spans="1:33" ht="18" customHeight="1">
      <c r="A26" s="1632" t="s">
        <v>1831</v>
      </c>
      <c r="B26" s="783" t="s">
        <v>2437</v>
      </c>
      <c r="C26" s="53">
        <f ca="1">ROUND((C19+C20)*F26,0)</f>
        <v>411</v>
      </c>
      <c r="D26" s="811" t="s">
        <v>701</v>
      </c>
      <c r="E26" s="794" t="s">
        <v>702</v>
      </c>
      <c r="F26" s="793">
        <f ca="1">INDIRECT("'数据-取费表'!q"&amp;$G$1)</f>
        <v>0.03</v>
      </c>
      <c r="G26" s="1577"/>
      <c r="H26" s="2465" t="s">
        <v>1780</v>
      </c>
      <c r="I26" s="2216" t="s">
        <v>2825</v>
      </c>
      <c r="J26" s="782">
        <f ca="1">IF(J5&lt;&gt;0,ROUND(J25*(1-((1+M28)/(1+M26))^M27)/(M26-M28),0),0)</f>
        <v>0</v>
      </c>
      <c r="K26" s="813" t="s">
        <v>704</v>
      </c>
      <c r="L26" s="783" t="s">
        <v>2418</v>
      </c>
      <c r="M26" s="793">
        <f ca="1">INDIRECT("'数据-取费表'!I"&amp;$G$1)</f>
        <v>0.05</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5.33E-2</v>
      </c>
      <c r="D28" s="811" t="s">
        <v>2299</v>
      </c>
      <c r="E28" s="783" t="s">
        <v>649</v>
      </c>
      <c r="F28" s="808">
        <f>'数据-取费表'!B41</f>
        <v>5.6000000000000001E-2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15855</v>
      </c>
      <c r="D29" s="2508"/>
      <c r="E29" s="2509"/>
      <c r="F29" s="2510"/>
      <c r="G29" s="1578"/>
      <c r="H29" s="822" t="s">
        <v>1787</v>
      </c>
      <c r="I29" s="823" t="s">
        <v>1788</v>
      </c>
      <c r="J29" s="824">
        <f ca="1">ROUND(J26/(1+F40)^F41,0)</f>
        <v>0</v>
      </c>
      <c r="K29" s="825" t="s">
        <v>688</v>
      </c>
      <c r="L29" s="826"/>
      <c r="M29" s="827">
        <f ca="1">INDIRECT("'数据-取费表'!k"&amp;$G$1)</f>
        <v>46598.59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7</v>
      </c>
      <c r="B30" s="1811" t="s">
        <v>651</v>
      </c>
      <c r="C30" s="791">
        <f ca="1">ROUND(C31+C36+C37+C38,0)</f>
        <v>373</v>
      </c>
      <c r="D30" s="1805" t="s">
        <v>652</v>
      </c>
      <c r="E30" s="3184"/>
      <c r="F30" s="2454"/>
      <c r="G30" s="2046"/>
      <c r="H30" s="2049"/>
      <c r="I30" s="2050"/>
      <c r="J30" s="2051"/>
      <c r="K30" s="2052"/>
      <c r="L30" s="2053"/>
      <c r="M30" s="2054"/>
    </row>
    <row r="31" spans="1:33" ht="18" customHeight="1">
      <c r="A31" s="1633" t="s">
        <v>1824</v>
      </c>
      <c r="B31" s="783" t="s">
        <v>656</v>
      </c>
      <c r="C31" s="53">
        <f ca="1">ROUND(IF(项目基本情况!B11="自然人",C6*F31/(1+'数据-取费表'!C42),C32+C33+C34),1)</f>
        <v>105.4</v>
      </c>
      <c r="D31" s="3182" t="s">
        <v>657</v>
      </c>
      <c r="E31" s="3181"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ROUND(C6*F32/(1+'数据-取费表'!C42),1)</f>
        <v>33.5</v>
      </c>
      <c r="D32" s="3181" t="s">
        <v>661</v>
      </c>
      <c r="E32" s="783" t="s">
        <v>649</v>
      </c>
      <c r="F32" s="808">
        <f>'数据-取费表'!B41</f>
        <v>5.6000000000000001E-2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71.900000000000006</v>
      </c>
      <c r="D33" s="810" t="s">
        <v>3043</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0</v>
      </c>
      <c r="D34" s="813" t="s">
        <v>669</v>
      </c>
      <c r="E34" s="783" t="s">
        <v>670</v>
      </c>
      <c r="F34" s="639">
        <f>'数据-取费表'!B52</f>
        <v>0</v>
      </c>
      <c r="G34" s="2046"/>
      <c r="H34" s="2049"/>
      <c r="I34" s="834" t="s">
        <v>1813</v>
      </c>
      <c r="J34" s="835"/>
      <c r="K34" s="2064"/>
      <c r="L34" s="2063"/>
      <c r="M34" s="2063"/>
    </row>
    <row r="35" spans="1:18" ht="18" customHeight="1">
      <c r="A35" s="814"/>
      <c r="B35" s="792"/>
      <c r="C35" s="69"/>
      <c r="D35" s="815"/>
      <c r="E35" s="783" t="s">
        <v>674</v>
      </c>
      <c r="F35" s="784">
        <f ca="1">INDIRECT("'数据-取费表'!r"&amp;$G$1)</f>
        <v>19114.66</v>
      </c>
      <c r="G35" s="2046"/>
      <c r="H35" s="2049"/>
      <c r="I35" s="836" t="s">
        <v>1814</v>
      </c>
      <c r="J35" s="837">
        <f ca="1">ROUND(C13*J36,0)</f>
        <v>0</v>
      </c>
      <c r="K35" s="2062"/>
      <c r="L35" s="2061"/>
      <c r="M35" s="2061"/>
    </row>
    <row r="36" spans="1:18" ht="18" customHeight="1">
      <c r="A36" s="1633" t="s">
        <v>1889</v>
      </c>
      <c r="B36" s="783" t="s">
        <v>676</v>
      </c>
      <c r="C36" s="53">
        <f ca="1">ROUND(C29*F36,1)</f>
        <v>237.8</v>
      </c>
      <c r="D36" s="3181" t="s">
        <v>691</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23.8</v>
      </c>
      <c r="D37" s="3181"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6.3</v>
      </c>
      <c r="D38" s="2508" t="s">
        <v>683</v>
      </c>
      <c r="E38" s="2509" t="s">
        <v>649</v>
      </c>
      <c r="F38" s="2505">
        <f ca="1">INDIRECT("'数据-取费表'!Am"&amp;$G$1)</f>
        <v>0.01</v>
      </c>
      <c r="G38" s="2046"/>
      <c r="H38" s="2061"/>
      <c r="I38" s="842" t="s">
        <v>1817</v>
      </c>
      <c r="J38" s="843"/>
      <c r="K38" s="2067"/>
      <c r="L38" s="2061"/>
      <c r="M38" s="2061"/>
    </row>
    <row r="39" spans="1:18" ht="24.6" customHeight="1" thickTop="1">
      <c r="A39" s="1813" t="s">
        <v>1776</v>
      </c>
      <c r="B39" s="2961" t="s">
        <v>2820</v>
      </c>
      <c r="C39" s="791">
        <f ca="1">C5-C30</f>
        <v>256</v>
      </c>
      <c r="D39" s="2511" t="s">
        <v>700</v>
      </c>
      <c r="E39" s="2512"/>
      <c r="F39" s="2513"/>
      <c r="G39" s="2046"/>
      <c r="H39" s="2061"/>
      <c r="I39" s="836" t="s">
        <v>1818</v>
      </c>
      <c r="J39" s="844">
        <f ca="1">ROUND(J35/C39,3)</f>
        <v>0</v>
      </c>
      <c r="K39" s="2067"/>
      <c r="L39" s="2061"/>
      <c r="M39" s="2061"/>
    </row>
    <row r="40" spans="1:18" ht="18" customHeight="1">
      <c r="A40" s="780" t="s">
        <v>1780</v>
      </c>
      <c r="B40" s="2216" t="s">
        <v>2301</v>
      </c>
      <c r="C40" s="782">
        <f ca="1">ROUND(C39*(1-((1+F42)/(1+F40))^F41)/(F40-F42),0)</f>
        <v>7715</v>
      </c>
      <c r="D40" s="813" t="s">
        <v>704</v>
      </c>
      <c r="E40" s="783" t="s">
        <v>2418</v>
      </c>
      <c r="F40" s="793">
        <f ca="1">INDIRECT("'数据-取费表'!I"&amp;$G$1)</f>
        <v>0.05</v>
      </c>
      <c r="G40" s="2046"/>
      <c r="H40" s="2046"/>
      <c r="I40" s="836" t="s">
        <v>1819</v>
      </c>
      <c r="J40" s="844">
        <f ca="1">1-J39</f>
        <v>1</v>
      </c>
      <c r="K40" s="2067"/>
      <c r="L40" s="2046"/>
      <c r="M40" s="2046"/>
    </row>
    <row r="41" spans="1:18" ht="18" customHeight="1">
      <c r="A41" s="785"/>
      <c r="B41" s="786"/>
      <c r="C41" s="787"/>
      <c r="D41" s="820" t="s">
        <v>1808</v>
      </c>
      <c r="E41" s="783" t="s">
        <v>708</v>
      </c>
      <c r="F41" s="821">
        <f ca="1">IF(INDIRECT("'数据-取费表'!af"&amp;$G$1)=0,INDIRECT("'数据-取费表'!ae"&amp;$G$1),INDIRECT("'数据-取费表'!af"&amp;$G$1))</f>
        <v>48</v>
      </c>
      <c r="G41" s="2046"/>
      <c r="H41" s="1972"/>
      <c r="I41" s="842" t="s">
        <v>1820</v>
      </c>
      <c r="J41" s="845"/>
      <c r="K41" s="2066"/>
      <c r="L41" s="1972"/>
      <c r="M41" s="1972"/>
    </row>
    <row r="42" spans="1:18" ht="18" customHeight="1">
      <c r="A42" s="789"/>
      <c r="B42" s="790"/>
      <c r="C42" s="791"/>
      <c r="D42" s="815"/>
      <c r="E42" s="783" t="s">
        <v>710</v>
      </c>
      <c r="F42" s="793">
        <f ca="1">INDIRECT("'数据-取费表'!v"&amp;$G$1)</f>
        <v>0.03</v>
      </c>
      <c r="G42" s="2046"/>
      <c r="H42" s="1972"/>
      <c r="I42" s="846" t="s">
        <v>1821</v>
      </c>
      <c r="J42" s="844">
        <f ca="1">ROUND(C13/C40,3)</f>
        <v>2.0550000000000002</v>
      </c>
      <c r="K42" s="2066"/>
      <c r="L42" s="1972"/>
      <c r="M42" s="1972"/>
    </row>
    <row r="43" spans="1:18" ht="18" customHeight="1" thickBot="1">
      <c r="A43" s="822" t="s">
        <v>1787</v>
      </c>
      <c r="B43" s="823" t="s">
        <v>1810</v>
      </c>
      <c r="C43" s="824">
        <f ca="1">ROUND(C40*10000/F43,0)</f>
        <v>1656</v>
      </c>
      <c r="D43" s="825" t="s">
        <v>1811</v>
      </c>
      <c r="E43" s="826" t="s">
        <v>1812</v>
      </c>
      <c r="F43" s="827">
        <f ca="1">INDIRECT("'数据-取费表'!k"&amp;$G$1)</f>
        <v>46598.59</v>
      </c>
      <c r="G43" s="2046"/>
      <c r="H43" s="1972"/>
      <c r="I43" s="846" t="s">
        <v>1822</v>
      </c>
      <c r="J43" s="847">
        <f ca="1">1-J42</f>
        <v>-1.0550000000000002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-12451</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635</v>
      </c>
      <c r="C47" s="2537">
        <f ca="1">C48+C52+C54</f>
        <v>0</v>
      </c>
      <c r="D47" s="2069"/>
      <c r="E47" s="2069"/>
      <c r="F47" s="2069"/>
      <c r="I47" s="3098" t="s">
        <v>2343</v>
      </c>
      <c r="J47" s="2344" t="s">
        <v>3044</v>
      </c>
      <c r="K47" s="3104" t="s">
        <v>2348</v>
      </c>
      <c r="L47" s="3108">
        <f ca="1">INDIRECT("'数据-取费表'!d"&amp;$G$1)</f>
        <v>50</v>
      </c>
      <c r="M47" s="1588" t="str">
        <f>IF(ISNUMBER(FIND("住宅",C1)),"住宅","非住宅")</f>
        <v>非住宅</v>
      </c>
      <c r="O47" s="2358" t="s">
        <v>2374</v>
      </c>
      <c r="P47" s="2359" t="s">
        <v>2375</v>
      </c>
      <c r="Q47" s="2360" t="s">
        <v>2376</v>
      </c>
      <c r="R47" s="2359" t="s">
        <v>2377</v>
      </c>
    </row>
    <row r="48" spans="1:18" s="2043" customFormat="1" ht="18" customHeight="1" thickBot="1">
      <c r="A48" s="2605" t="s">
        <v>1870</v>
      </c>
      <c r="B48" s="2606" t="s">
        <v>2537</v>
      </c>
      <c r="C48" s="2337">
        <f ca="1">ROUND(F48*F50*F49*(1-F51)/10000,0)</f>
        <v>0</v>
      </c>
      <c r="D48" s="2338" t="s">
        <v>636</v>
      </c>
      <c r="E48" s="2339" t="s">
        <v>2296</v>
      </c>
      <c r="F48" s="2340"/>
      <c r="G48" s="2074"/>
      <c r="I48" s="3077" t="s">
        <v>2344</v>
      </c>
      <c r="J48" s="2345" t="s">
        <v>2349</v>
      </c>
      <c r="K48" s="3105" t="s">
        <v>2350</v>
      </c>
      <c r="L48" s="1892">
        <f ca="1">INDIRECT("'数据-取费表'!f"&amp;$G$1)</f>
        <v>50</v>
      </c>
      <c r="O48" s="2361" t="s">
        <v>2378</v>
      </c>
      <c r="P48" s="2362" t="s">
        <v>2404</v>
      </c>
      <c r="Q48" s="2363">
        <f ca="1">C40+J29</f>
        <v>7715</v>
      </c>
      <c r="R48" s="2362" t="s">
        <v>2379</v>
      </c>
    </row>
    <row r="49" spans="1:18" s="2043" customFormat="1" ht="18" customHeight="1" thickBot="1">
      <c r="A49" s="785"/>
      <c r="B49" s="786"/>
      <c r="C49" s="787"/>
      <c r="D49" s="788"/>
      <c r="E49" s="783" t="s">
        <v>638</v>
      </c>
      <c r="F49" s="784">
        <f ca="1">F7</f>
        <v>1456</v>
      </c>
      <c r="G49" s="2074"/>
      <c r="H49" s="2077"/>
      <c r="I49" s="3077" t="s">
        <v>2345</v>
      </c>
      <c r="J49" s="2346"/>
      <c r="K49" s="3106" t="s">
        <v>2351</v>
      </c>
      <c r="L49" s="2347"/>
      <c r="O49" s="2361" t="s">
        <v>2380</v>
      </c>
      <c r="P49" s="2362" t="s">
        <v>2405</v>
      </c>
      <c r="Q49" s="2363" t="str">
        <f ca="1">J60</f>
        <v>0</v>
      </c>
      <c r="R49" s="2362" t="s">
        <v>2381</v>
      </c>
    </row>
    <row r="50" spans="1:18" s="2043" customFormat="1" ht="18" customHeight="1" thickBot="1">
      <c r="A50" s="785"/>
      <c r="B50" s="786"/>
      <c r="C50" s="787"/>
      <c r="D50" s="788"/>
      <c r="E50" s="783" t="s">
        <v>639</v>
      </c>
      <c r="F50" s="784">
        <f ca="1">F8</f>
        <v>12</v>
      </c>
      <c r="G50" s="2079"/>
      <c r="H50" s="2077"/>
      <c r="I50" s="3077" t="s">
        <v>2346</v>
      </c>
      <c r="J50" s="3102">
        <f>SUMPRODUCT((I63:I65=J47)*(J62:L62=J48)*(J63:L65))</f>
        <v>60</v>
      </c>
      <c r="K50" s="3106" t="s">
        <v>2352</v>
      </c>
      <c r="L50" s="2347"/>
      <c r="O50" s="2364" t="s">
        <v>2382</v>
      </c>
      <c r="P50" s="2362" t="s">
        <v>2406</v>
      </c>
      <c r="Q50" s="2363">
        <f ca="1">C29</f>
        <v>15855</v>
      </c>
      <c r="R50" s="2362" t="s">
        <v>2379</v>
      </c>
    </row>
    <row r="51" spans="1:18" s="2043" customFormat="1" ht="18" customHeight="1" thickBot="1">
      <c r="A51" s="785"/>
      <c r="B51" s="786"/>
      <c r="C51" s="787"/>
      <c r="D51" s="788"/>
      <c r="E51" s="783" t="s">
        <v>640</v>
      </c>
      <c r="F51" s="2334"/>
      <c r="H51" s="2077"/>
      <c r="I51" s="3099" t="s">
        <v>2347</v>
      </c>
      <c r="J51" s="3103">
        <f>IF(J49="",J50,J49+J50-YEAR('数据-取费表'!B2))</f>
        <v>60</v>
      </c>
      <c r="K51" s="3077" t="s">
        <v>2353</v>
      </c>
      <c r="L51" s="3109">
        <f ca="1">ROUND(-PV(INDIRECT("'数据-取费表'!h"&amp;$G$1),L48,(C39-C13*J36),0),0)</f>
        <v>5059</v>
      </c>
      <c r="O51" s="2364" t="s">
        <v>2383</v>
      </c>
      <c r="P51" s="2362" t="s">
        <v>2384</v>
      </c>
      <c r="Q51" s="2365" t="e">
        <f ca="1">J58</f>
        <v>#VALUE!</v>
      </c>
      <c r="R51" s="2366"/>
    </row>
    <row r="52" spans="1:18" s="2043" customFormat="1" ht="18" customHeight="1" thickBot="1">
      <c r="A52" s="780" t="s">
        <v>2535</v>
      </c>
      <c r="B52" s="2457" t="s">
        <v>2458</v>
      </c>
      <c r="C52" s="798">
        <f ca="1">ROUND(IF(F52="押一",C48/12*F11,IF(F52="押二",C48/12*2*F11,IF(F52="押三",C48/12*3*F11,C53*F11))),0)</f>
        <v>0</v>
      </c>
      <c r="D52" s="2464" t="s">
        <v>2972</v>
      </c>
      <c r="E52" s="2461" t="s">
        <v>2463</v>
      </c>
      <c r="F52" s="2584"/>
      <c r="I52" s="3100" t="s">
        <v>2420</v>
      </c>
      <c r="J52" s="2348"/>
      <c r="K52" s="3100"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101" t="s">
        <v>2976</v>
      </c>
      <c r="J53" s="3180">
        <f ca="1">IF(M47="住宅",IF(D1="——",MAX(J51,L48),MAX(J51,L48-'数据-取费表'!B20)),IF(D1="——",MIN(J51,L48),MIN(J51,L48-'数据-取费表'!B20)))</f>
        <v>48</v>
      </c>
      <c r="K53" s="3666" t="s">
        <v>2964</v>
      </c>
      <c r="L53" s="3667"/>
      <c r="O53" s="2364" t="s">
        <v>2387</v>
      </c>
      <c r="P53" s="2362" t="s">
        <v>2388</v>
      </c>
      <c r="Q53" s="2363">
        <f ca="1">J53</f>
        <v>48</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7715</v>
      </c>
      <c r="R54" s="2366" t="s">
        <v>2391</v>
      </c>
    </row>
    <row r="55" spans="1:18" s="2043" customFormat="1" ht="18" customHeight="1" thickTop="1" thickBot="1">
      <c r="A55" s="796">
        <v>2</v>
      </c>
      <c r="B55" s="797" t="s">
        <v>644</v>
      </c>
      <c r="C55" s="798">
        <f ca="1">C13</f>
        <v>15855</v>
      </c>
      <c r="D55" s="794"/>
      <c r="E55" s="794"/>
      <c r="F55" s="799"/>
      <c r="I55" s="3112" t="s">
        <v>2354</v>
      </c>
      <c r="J55" s="3052" t="e">
        <f ca="1">ROUND(IF(J47="钢混",J57/J50,1-(1-2%)*(J50-J57)/J50),3)</f>
        <v>#VALUE!</v>
      </c>
      <c r="K55" s="3113" t="s">
        <v>2355</v>
      </c>
      <c r="L55" s="2349"/>
      <c r="O55" s="2367" t="s">
        <v>2410</v>
      </c>
      <c r="P55" s="1577"/>
      <c r="Q55" s="1588"/>
      <c r="R55" s="1577"/>
    </row>
    <row r="56" spans="1:18" s="2043" customFormat="1" ht="42.75" customHeight="1" thickBot="1">
      <c r="A56" s="1634"/>
      <c r="B56" s="2215" t="s">
        <v>2300</v>
      </c>
      <c r="C56" s="53">
        <f ca="1">C29</f>
        <v>15855</v>
      </c>
      <c r="D56" s="3181"/>
      <c r="E56" s="783"/>
      <c r="F56" s="808"/>
      <c r="I56" s="3114" t="s">
        <v>2356</v>
      </c>
      <c r="J56" s="3124" t="s">
        <v>1678</v>
      </c>
      <c r="K56" s="3077" t="s">
        <v>2361</v>
      </c>
      <c r="L56" s="1892" t="str">
        <f ca="1">IF(L48&lt;J51,"——",L48-J51)</f>
        <v>——</v>
      </c>
      <c r="O56" s="2358" t="s">
        <v>2374</v>
      </c>
      <c r="P56" s="2359" t="s">
        <v>2375</v>
      </c>
      <c r="Q56" s="2360" t="s">
        <v>2376</v>
      </c>
      <c r="R56" s="2359" t="s">
        <v>2377</v>
      </c>
    </row>
    <row r="57" spans="1:18" s="2043" customFormat="1" ht="28.5" customHeight="1" thickBot="1">
      <c r="A57" s="796" t="s">
        <v>7</v>
      </c>
      <c r="B57" s="797" t="s">
        <v>651</v>
      </c>
      <c r="C57" s="798">
        <f ca="1">ROUND(C58+C63+C64+C65,0)</f>
        <v>262</v>
      </c>
      <c r="D57" s="26" t="s">
        <v>652</v>
      </c>
      <c r="E57" s="3186"/>
      <c r="F57" s="56"/>
      <c r="I57" s="3115" t="s">
        <v>2357</v>
      </c>
      <c r="J57" s="3116" t="str">
        <f ca="1">IF(OR(M47="住宅",J51&lt;L48,J56="是"),"——",J51-L48)</f>
        <v>——</v>
      </c>
      <c r="K57" s="3077" t="s">
        <v>2362</v>
      </c>
      <c r="L57" s="1892" t="str">
        <f ca="1">IF(L48&lt;J51,"——",IF(L55="比较法",L49,IF(L55="基准地价",L50,L51)))</f>
        <v>——</v>
      </c>
      <c r="O57" s="2361" t="s">
        <v>2378</v>
      </c>
      <c r="P57" s="2362" t="s">
        <v>2404</v>
      </c>
      <c r="Q57" s="2363">
        <f ca="1">C40+J29</f>
        <v>7715</v>
      </c>
      <c r="R57" s="2362" t="s">
        <v>2379</v>
      </c>
    </row>
    <row r="58" spans="1:18" s="2043" customFormat="1" ht="28.5" customHeight="1" thickBot="1">
      <c r="A58" s="1633" t="s">
        <v>1824</v>
      </c>
      <c r="B58" s="783" t="s">
        <v>656</v>
      </c>
      <c r="C58" s="53">
        <f ca="1">ROUND(IF(项目基本情况!B11="自然人",C47*F58,C59+C60+C61),1)</f>
        <v>0</v>
      </c>
      <c r="D58" s="3182" t="s">
        <v>657</v>
      </c>
      <c r="E58" s="3181" t="s">
        <v>690</v>
      </c>
      <c r="F58" s="809" t="str">
        <f ca="1">IF(项目基本情况!B11="企业","",IF(INDIRECT("'数据-取费表'!c"&amp;$G$1)="住宅",5%,IF(F48*F49*F50/12/(1+'数据-取费表'!C42)&gt;20000,12%,7%)))</f>
        <v/>
      </c>
      <c r="I58" s="3115"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1831</v>
      </c>
      <c r="B59" s="783" t="s">
        <v>660</v>
      </c>
      <c r="C59" s="53">
        <f ca="1">ROUND(C47*F59/1.05,1)</f>
        <v>0</v>
      </c>
      <c r="D59" s="3181" t="s">
        <v>661</v>
      </c>
      <c r="E59" s="783" t="s">
        <v>649</v>
      </c>
      <c r="F59" s="808">
        <f t="shared" ref="F59:F65" si="0">F32</f>
        <v>5.6000000000000001E-2</v>
      </c>
      <c r="I59" s="3115" t="s">
        <v>2359</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1832</v>
      </c>
      <c r="B60" s="783" t="s">
        <v>664</v>
      </c>
      <c r="C60" s="53">
        <f ca="1">IF(D60="按租金收入计税",ROUND(C47*F60,1),IF(D60="按房产原值计税",ROUND(C56*F60*0.7,1),INDIRECT("'数据-取费表'!Aj"&amp;$G$1)))</f>
        <v>0</v>
      </c>
      <c r="D60" s="3181" t="str">
        <f>D33</f>
        <v>按租金收入计税</v>
      </c>
      <c r="E60" s="783" t="s">
        <v>649</v>
      </c>
      <c r="F60" s="808">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1833</v>
      </c>
      <c r="B61" s="340" t="s">
        <v>668</v>
      </c>
      <c r="C61" s="54">
        <f ca="1">ROUND(F61*F62/10000,1)</f>
        <v>0</v>
      </c>
      <c r="D61" s="813" t="s">
        <v>669</v>
      </c>
      <c r="E61" s="783" t="s">
        <v>670</v>
      </c>
      <c r="F61" s="639">
        <f t="shared" si="0"/>
        <v>0</v>
      </c>
      <c r="K61" s="2070"/>
      <c r="O61" s="2364" t="s">
        <v>2385</v>
      </c>
      <c r="P61" s="2362" t="s">
        <v>2393</v>
      </c>
      <c r="Q61" s="2363" t="e">
        <f ca="1">L58</f>
        <v>#DIV/0!</v>
      </c>
      <c r="R61" s="2366" t="s">
        <v>2394</v>
      </c>
    </row>
    <row r="62" spans="1:18" s="2043" customFormat="1" ht="15.75" thickBot="1">
      <c r="A62" s="814"/>
      <c r="B62" s="792"/>
      <c r="C62" s="69"/>
      <c r="D62" s="815"/>
      <c r="E62" s="783" t="s">
        <v>674</v>
      </c>
      <c r="F62" s="784">
        <f t="shared" ca="1" si="0"/>
        <v>19114.66</v>
      </c>
      <c r="I62" s="3120" t="s">
        <v>2366</v>
      </c>
      <c r="J62" s="3121" t="s">
        <v>2367</v>
      </c>
      <c r="K62" s="3121" t="s">
        <v>2368</v>
      </c>
      <c r="L62" s="3121" t="s">
        <v>2349</v>
      </c>
      <c r="M62" s="3122" t="s">
        <v>2941</v>
      </c>
      <c r="O62" s="2364" t="s">
        <v>2387</v>
      </c>
      <c r="P62" s="2362" t="str">
        <f>K59</f>
        <v>建设期及建筑物耐用年限下的土地年期修正系数Kn</v>
      </c>
      <c r="Q62" s="2363" t="e">
        <f ca="1">L59</f>
        <v>#DIV/0!</v>
      </c>
      <c r="R62" s="2366" t="s">
        <v>2396</v>
      </c>
    </row>
    <row r="63" spans="1:18" s="2043" customFormat="1" ht="15.75" thickBot="1">
      <c r="A63" s="1633" t="s">
        <v>1889</v>
      </c>
      <c r="B63" s="783" t="s">
        <v>676</v>
      </c>
      <c r="C63" s="53">
        <f ca="1">ROUND(C56*F63,1)</f>
        <v>237.8</v>
      </c>
      <c r="D63" s="3181" t="s">
        <v>691</v>
      </c>
      <c r="E63" s="783" t="s">
        <v>649</v>
      </c>
      <c r="F63" s="816">
        <f t="shared" ca="1" si="0"/>
        <v>1.4999999999999999E-2</v>
      </c>
      <c r="I63" s="3120" t="s">
        <v>2369</v>
      </c>
      <c r="J63" s="3121">
        <v>70</v>
      </c>
      <c r="K63" s="3121">
        <v>50</v>
      </c>
      <c r="L63" s="3121">
        <v>80</v>
      </c>
      <c r="M63" s="3123">
        <v>0.02</v>
      </c>
      <c r="O63" s="2361" t="s">
        <v>2390</v>
      </c>
      <c r="P63" s="2362" t="s">
        <v>2407</v>
      </c>
      <c r="Q63" s="2363">
        <f ca="1">Q57+Q58</f>
        <v>7715</v>
      </c>
      <c r="R63" s="2366" t="s">
        <v>2391</v>
      </c>
    </row>
    <row r="64" spans="1:18" s="2043" customFormat="1" ht="16.5" thickBot="1">
      <c r="A64" s="1633" t="s">
        <v>1890</v>
      </c>
      <c r="B64" s="783" t="s">
        <v>679</v>
      </c>
      <c r="C64" s="53">
        <f ca="1">ROUND(C55*F64,1)</f>
        <v>23.8</v>
      </c>
      <c r="D64" s="3181" t="s">
        <v>680</v>
      </c>
      <c r="E64" s="783" t="s">
        <v>649</v>
      </c>
      <c r="F64" s="817">
        <f t="shared" ca="1" si="0"/>
        <v>1.5E-3</v>
      </c>
      <c r="I64" s="3120" t="s">
        <v>2370</v>
      </c>
      <c r="J64" s="3121">
        <v>50</v>
      </c>
      <c r="K64" s="3121">
        <v>35</v>
      </c>
      <c r="L64" s="3121">
        <v>60</v>
      </c>
      <c r="M64" s="845">
        <v>0</v>
      </c>
      <c r="O64" s="2367" t="s">
        <v>2414</v>
      </c>
      <c r="P64" s="1577"/>
      <c r="Q64" s="1588"/>
      <c r="R64" s="1577"/>
    </row>
    <row r="65" spans="1:18" s="2043" customFormat="1" ht="15.75" thickBot="1">
      <c r="A65" s="1633" t="s">
        <v>1891</v>
      </c>
      <c r="B65" s="783" t="s">
        <v>666</v>
      </c>
      <c r="C65" s="53">
        <f ca="1">ROUND(C47*F65,1)</f>
        <v>0</v>
      </c>
      <c r="D65" s="3181" t="s">
        <v>683</v>
      </c>
      <c r="E65" s="783" t="s">
        <v>649</v>
      </c>
      <c r="F65" s="793">
        <f t="shared" ca="1" si="0"/>
        <v>0.01</v>
      </c>
      <c r="I65" s="3120" t="s">
        <v>2371</v>
      </c>
      <c r="J65" s="3121">
        <v>40</v>
      </c>
      <c r="K65" s="3121">
        <v>30</v>
      </c>
      <c r="L65" s="3121">
        <v>50</v>
      </c>
      <c r="M65" s="3123">
        <v>0.02</v>
      </c>
      <c r="O65" s="2358" t="s">
        <v>2374</v>
      </c>
      <c r="P65" s="2359" t="s">
        <v>2375</v>
      </c>
      <c r="Q65" s="2360" t="s">
        <v>2376</v>
      </c>
      <c r="R65" s="2359" t="s">
        <v>2377</v>
      </c>
    </row>
    <row r="66" spans="1:18" s="2043" customFormat="1" ht="24.75" thickBot="1">
      <c r="A66" s="796" t="s">
        <v>1776</v>
      </c>
      <c r="B66" s="2962" t="s">
        <v>2820</v>
      </c>
      <c r="C66" s="798">
        <f ca="1">C47-C57</f>
        <v>-262</v>
      </c>
      <c r="D66" s="3182" t="s">
        <v>700</v>
      </c>
      <c r="E66" s="3185"/>
      <c r="F66" s="819"/>
      <c r="K66" s="2070"/>
      <c r="O66" s="2361" t="s">
        <v>2378</v>
      </c>
      <c r="P66" s="2362" t="s">
        <v>2404</v>
      </c>
      <c r="Q66" s="2363">
        <f ca="1">C40+J29</f>
        <v>7715</v>
      </c>
      <c r="R66" s="2362" t="s">
        <v>2379</v>
      </c>
    </row>
    <row r="67" spans="1:18" s="2043" customFormat="1" ht="20.25" thickBot="1">
      <c r="A67" s="780" t="s">
        <v>1780</v>
      </c>
      <c r="B67" s="2216" t="s">
        <v>2301</v>
      </c>
      <c r="C67" s="782">
        <f ca="1">ROUND(C66*(1-((1+F69)/(1+F67))^F68)/(F67-F69),0)</f>
        <v>-4736</v>
      </c>
      <c r="D67" s="813" t="s">
        <v>704</v>
      </c>
      <c r="E67" s="783" t="s">
        <v>705</v>
      </c>
      <c r="F67" s="793">
        <f ca="1">F40</f>
        <v>0.05</v>
      </c>
      <c r="K67" s="2070"/>
      <c r="O67" s="2361" t="s">
        <v>2380</v>
      </c>
      <c r="P67" s="2362" t="s">
        <v>2411</v>
      </c>
      <c r="Q67" s="2363">
        <f ca="1">L60</f>
        <v>0</v>
      </c>
      <c r="R67" s="2366" t="s">
        <v>2413</v>
      </c>
    </row>
    <row r="68" spans="1:18" ht="21.75" thickBot="1">
      <c r="A68" s="785"/>
      <c r="B68" s="786"/>
      <c r="C68" s="787"/>
      <c r="D68" s="820" t="s">
        <v>1808</v>
      </c>
      <c r="E68" s="783" t="s">
        <v>708</v>
      </c>
      <c r="F68" s="821">
        <f ca="1">F41</f>
        <v>48</v>
      </c>
      <c r="O68" s="2364" t="s">
        <v>2382</v>
      </c>
      <c r="P68" s="2362" t="s">
        <v>2412</v>
      </c>
      <c r="Q68" s="2368">
        <f ca="1">L51</f>
        <v>5059</v>
      </c>
      <c r="R68" s="2369" t="s">
        <v>2415</v>
      </c>
    </row>
    <row r="69" spans="1:18" ht="20.25" thickBot="1">
      <c r="A69" s="789"/>
      <c r="B69" s="790"/>
      <c r="C69" s="791"/>
      <c r="D69" s="815"/>
      <c r="E69" s="783" t="s">
        <v>710</v>
      </c>
      <c r="F69" s="2334"/>
      <c r="O69" s="2364" t="s">
        <v>2383</v>
      </c>
      <c r="P69" s="2370" t="s">
        <v>2397</v>
      </c>
      <c r="Q69" s="2363">
        <f ca="1">ROUND(Q70-Q71*Q72,0)</f>
        <v>256</v>
      </c>
      <c r="R69" s="2366"/>
    </row>
    <row r="70" spans="1:18" ht="15.75" thickBot="1">
      <c r="A70" s="822" t="s">
        <v>1787</v>
      </c>
      <c r="B70" s="823" t="s">
        <v>1810</v>
      </c>
      <c r="C70" s="824">
        <f ca="1">ROUND(C67*10000/F70,0)</f>
        <v>-1016</v>
      </c>
      <c r="D70" s="825" t="s">
        <v>1811</v>
      </c>
      <c r="E70" s="826" t="s">
        <v>1812</v>
      </c>
      <c r="F70" s="827">
        <f ca="1">F43</f>
        <v>46598.59</v>
      </c>
      <c r="O70" s="2364" t="s">
        <v>2398</v>
      </c>
      <c r="P70" s="2370" t="s">
        <v>2399</v>
      </c>
      <c r="Q70" s="2363">
        <f ca="1">C39</f>
        <v>256</v>
      </c>
      <c r="R70" s="2362" t="s">
        <v>2379</v>
      </c>
    </row>
    <row r="71" spans="1:18" ht="15.75" thickBot="1">
      <c r="O71" s="2364" t="s">
        <v>2400</v>
      </c>
      <c r="P71" s="2370" t="s">
        <v>2401</v>
      </c>
      <c r="Q71" s="2363">
        <f ca="1">C13</f>
        <v>15855</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7715</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C7" sqref="A1:C7"/>
    </sheetView>
  </sheetViews>
  <sheetFormatPr defaultRowHeight="13.5"/>
  <cols>
    <col min="1" max="2" width="9" style="1777"/>
    <col min="3" max="3" width="11.25" style="1777" customWidth="1"/>
  </cols>
  <sheetData>
    <row r="1" ht="21.75" customHeight="1"/>
    <row r="2" ht="21.75" customHeight="1"/>
    <row r="3" ht="21.75" customHeight="1"/>
    <row r="4" ht="21.75" customHeight="1"/>
    <row r="5" ht="21.75" customHeight="1"/>
    <row r="6" ht="21.75" customHeight="1"/>
    <row r="7" ht="21.75" customHeight="1"/>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2" t="s">
        <v>2038</v>
      </c>
      <c r="B1" s="3342"/>
      <c r="C1" s="3342"/>
      <c r="D1" s="3342"/>
      <c r="E1" s="3342"/>
      <c r="F1" s="3342"/>
      <c r="G1" s="3342"/>
      <c r="H1" s="3342"/>
      <c r="I1" s="3342"/>
      <c r="J1" s="3342"/>
      <c r="K1" s="3342"/>
      <c r="L1" s="3342"/>
      <c r="M1" s="3342"/>
      <c r="N1" s="3342"/>
      <c r="O1" s="3342"/>
      <c r="P1" s="3342"/>
      <c r="Q1" s="3342"/>
      <c r="R1" s="3342"/>
    </row>
    <row r="2" spans="1:18">
      <c r="A2" s="1791" t="s">
        <v>2040</v>
      </c>
      <c r="B2" s="1791"/>
      <c r="C2" s="1791"/>
      <c r="D2" s="1791"/>
      <c r="E2" s="1791"/>
      <c r="F2" s="1791"/>
      <c r="G2" s="1791"/>
      <c r="H2" s="1791"/>
      <c r="I2" s="1792"/>
      <c r="J2" s="1792"/>
      <c r="K2" s="1793" t="str">
        <f>"估价期日："&amp;TEXT(项目基本情况!D3,"yyyy年m月d日;;")</f>
        <v>估价期日：2019年8月21日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343" t="s">
        <v>2029</v>
      </c>
      <c r="B3" s="3343" t="s">
        <v>2729</v>
      </c>
      <c r="C3" s="3344" t="s">
        <v>2030</v>
      </c>
      <c r="D3" s="3343" t="s">
        <v>2733</v>
      </c>
      <c r="E3" s="3346" t="s">
        <v>2031</v>
      </c>
      <c r="F3" s="3346"/>
      <c r="G3" s="3346"/>
      <c r="H3" s="3346" t="s">
        <v>2032</v>
      </c>
      <c r="I3" s="3346"/>
      <c r="J3" s="3346"/>
      <c r="K3" s="3344" t="s">
        <v>2033</v>
      </c>
      <c r="L3" s="3344" t="s">
        <v>2034</v>
      </c>
      <c r="M3" s="3343" t="s">
        <v>2730</v>
      </c>
      <c r="N3" s="3345" t="str">
        <f>"（分摊）"&amp;项目基本情况!B16&amp;"国有建设用地使用权面积/㎡"</f>
        <v>（分摊）出让国有建设用地使用权面积/㎡</v>
      </c>
      <c r="O3" s="3343" t="s">
        <v>2063</v>
      </c>
      <c r="P3" s="3344" t="s">
        <v>2043</v>
      </c>
      <c r="Q3" s="3344" t="s">
        <v>2064</v>
      </c>
      <c r="R3" s="3344" t="s">
        <v>2035</v>
      </c>
    </row>
    <row r="4" spans="1:18" ht="36.75" customHeight="1">
      <c r="A4" s="3343"/>
      <c r="B4" s="3343"/>
      <c r="C4" s="3344"/>
      <c r="D4" s="3343"/>
      <c r="E4" s="2612" t="s">
        <v>2042</v>
      </c>
      <c r="F4" s="2612" t="s">
        <v>2742</v>
      </c>
      <c r="G4" s="2612" t="s">
        <v>2036</v>
      </c>
      <c r="H4" s="2612" t="s">
        <v>2037</v>
      </c>
      <c r="I4" s="2612" t="s">
        <v>2743</v>
      </c>
      <c r="J4" s="2612" t="s">
        <v>2036</v>
      </c>
      <c r="K4" s="3344"/>
      <c r="L4" s="3344"/>
      <c r="M4" s="3343"/>
      <c r="N4" s="3345"/>
      <c r="O4" s="3343"/>
      <c r="P4" s="3344"/>
      <c r="Q4" s="3344"/>
      <c r="R4" s="3344"/>
    </row>
    <row r="5" spans="1:18" ht="135" customHeight="1">
      <c r="A5" s="1927" t="s">
        <v>2653</v>
      </c>
      <c r="B5" s="2821" t="s">
        <v>2651</v>
      </c>
      <c r="C5" s="2611">
        <v>22</v>
      </c>
      <c r="D5" s="2610" t="s">
        <v>2652</v>
      </c>
      <c r="E5" s="1794" t="str">
        <f>项目基本情况!B12</f>
        <v>城镇住宅、商服用地</v>
      </c>
      <c r="F5" s="2610">
        <v>258</v>
      </c>
      <c r="G5" s="1794" t="str">
        <f>项目基本情况!B13</f>
        <v>城镇住宅、商服用地</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72391.8</v>
      </c>
      <c r="O5" s="1794">
        <f>项目基本情况!C21</f>
        <v>187743.54</v>
      </c>
      <c r="P5" s="1794">
        <f ca="1">结果表!E42</f>
        <v>7772</v>
      </c>
      <c r="Q5" s="1794">
        <f ca="1">结果表!D42</f>
        <v>2997</v>
      </c>
      <c r="R5" s="1795">
        <f ca="1">结果表!C42</f>
        <v>56265</v>
      </c>
    </row>
    <row r="6" spans="1:18">
      <c r="A6" s="3339" t="str">
        <f>IF(项目基本情况!B9="市场价格","——","抵押价格")</f>
        <v>抵押价格</v>
      </c>
      <c r="B6" s="3340"/>
      <c r="C6" s="3340"/>
      <c r="D6" s="3340"/>
      <c r="E6" s="3340"/>
      <c r="F6" s="3340"/>
      <c r="G6" s="3340"/>
      <c r="H6" s="3340"/>
      <c r="I6" s="3340"/>
      <c r="J6" s="3340"/>
      <c r="K6" s="3340"/>
      <c r="L6" s="3340"/>
      <c r="M6" s="3340"/>
      <c r="N6" s="3340"/>
      <c r="O6" s="3340"/>
      <c r="P6" s="3340"/>
      <c r="Q6" s="3341"/>
      <c r="R6" s="1796">
        <f ca="1">结果表!O39</f>
        <v>56265</v>
      </c>
    </row>
    <row r="7" spans="1:18">
      <c r="A7" s="3339" t="str">
        <f>IF(项目基本情况!B9="市场价格","——",IF(项目基本情况!E8="已注销及未注销","抵押担保权已注销时的抵押价格","——"))</f>
        <v>——</v>
      </c>
      <c r="B7" s="3340"/>
      <c r="C7" s="3340"/>
      <c r="D7" s="3340"/>
      <c r="E7" s="3340"/>
      <c r="F7" s="3340"/>
      <c r="G7" s="3340"/>
      <c r="H7" s="3340"/>
      <c r="I7" s="3340"/>
      <c r="J7" s="3340"/>
      <c r="K7" s="3340"/>
      <c r="L7" s="3340"/>
      <c r="M7" s="3340"/>
      <c r="N7" s="3340"/>
      <c r="O7" s="3340"/>
      <c r="P7" s="3340"/>
      <c r="Q7" s="3341"/>
      <c r="R7" s="1796" t="str">
        <f>结果表!O40</f>
        <v>——</v>
      </c>
    </row>
    <row r="8" spans="1:18">
      <c r="A8" s="3339">
        <f>IF(项目基本情况!B9="市场价格","——",项目基本情况!E9)</f>
        <v>0</v>
      </c>
      <c r="B8" s="3340"/>
      <c r="C8" s="3340"/>
      <c r="D8" s="3340"/>
      <c r="E8" s="3340"/>
      <c r="F8" s="3340"/>
      <c r="G8" s="3340"/>
      <c r="H8" s="3340"/>
      <c r="I8" s="3340"/>
      <c r="J8" s="3340"/>
      <c r="K8" s="3340"/>
      <c r="L8" s="3340"/>
      <c r="M8" s="3340"/>
      <c r="N8" s="3340"/>
      <c r="O8" s="3340"/>
      <c r="P8" s="3340"/>
      <c r="Q8" s="3341"/>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348" t="s">
        <v>2065</v>
      </c>
      <c r="B1" s="3348"/>
      <c r="C1" s="3348"/>
      <c r="D1" s="3348"/>
    </row>
    <row r="2" spans="1:4" ht="47.25" customHeight="1">
      <c r="A2" s="3349" t="str">
        <f>"1.权利限制："&amp;项目基本情况!L24&amp;"未设定租赁等其他他项权利。"</f>
        <v>1.权利限制：根据估价对象《不动产权证书》原件、《国有土地使用权》复印件，截至估价期日，估价对象抵押权未见登记。未设定租赁等其他他项权利。</v>
      </c>
      <c r="B2" s="3349"/>
      <c r="C2" s="3349"/>
      <c r="D2" s="3349"/>
    </row>
    <row r="3" spans="1:4" ht="48" customHeight="1">
      <c r="A3" s="334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348"/>
      <c r="C3" s="3348"/>
      <c r="D3" s="3348"/>
    </row>
    <row r="4" spans="1:4" ht="36.75" customHeight="1">
      <c r="A4" s="3348" t="str">
        <f>"3.估价规划限制条件：详见"&amp;项目基本情况!E21&amp;"。"</f>
        <v>3.估价规划限制条件：详见《建设工程规划许可证》[]、《出让合同》[]。</v>
      </c>
      <c r="B4" s="3348"/>
      <c r="C4" s="3348"/>
      <c r="D4" s="3348"/>
    </row>
    <row r="5" spans="1:4">
      <c r="A5" s="3347" t="s">
        <v>2066</v>
      </c>
      <c r="B5" s="3347"/>
      <c r="C5" s="3347"/>
      <c r="D5" s="3347"/>
    </row>
    <row r="6" spans="1:4">
      <c r="A6" s="3348" t="s">
        <v>2044</v>
      </c>
      <c r="B6" s="3348"/>
      <c r="C6" s="3348"/>
      <c r="D6" s="3348"/>
    </row>
    <row r="7" spans="1:4" ht="33" customHeight="1">
      <c r="A7" s="3348" t="s">
        <v>2574</v>
      </c>
      <c r="B7" s="3348"/>
      <c r="C7" s="3348"/>
      <c r="D7" s="3348"/>
    </row>
    <row r="8" spans="1:4" ht="32.25" customHeight="1">
      <c r="A8" s="33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8"/>
      <c r="C8" s="3348"/>
      <c r="D8" s="3348"/>
    </row>
    <row r="9" spans="1:4" ht="33.75" customHeight="1">
      <c r="A9" s="33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8"/>
      <c r="C9" s="3348"/>
      <c r="D9" s="3348"/>
    </row>
    <row r="10" spans="1:4">
      <c r="A10" s="3348" t="str">
        <f>IF(项目基本情况!B8="抵押","4.估价师所知悉的法定优先受偿款情况为：","——")</f>
        <v>4.估价师所知悉的法定优先受偿款情况为：</v>
      </c>
      <c r="B10" s="3348"/>
      <c r="C10" s="3348"/>
      <c r="D10" s="3348"/>
    </row>
    <row r="11" spans="1:4" ht="37.5" customHeight="1">
      <c r="A11" s="33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0"/>
      <c r="C11" s="3350"/>
      <c r="D11" s="3350"/>
    </row>
    <row r="12" spans="1:4" ht="168" customHeight="1">
      <c r="A12" s="3347" t="s">
        <v>2068</v>
      </c>
      <c r="B12" s="3347"/>
      <c r="C12" s="3347"/>
      <c r="D12" s="3347"/>
    </row>
    <row r="13" spans="1:4">
      <c r="A13" s="3351" t="s">
        <v>2744</v>
      </c>
      <c r="B13" s="3351"/>
      <c r="C13" s="3351"/>
      <c r="D13" s="3351"/>
    </row>
    <row r="14" spans="1:4">
      <c r="A14" s="3350" t="str">
        <f>IF(项目基本情况!B8="抵押","综上，"&amp;结果表!K47,"——")</f>
        <v>综上，本次评估不存在估价师知悉的法定优先受偿款</v>
      </c>
      <c r="B14" s="3350"/>
      <c r="C14" s="3350"/>
      <c r="D14" s="3350"/>
    </row>
    <row r="15" spans="1:4" ht="58.5" customHeight="1">
      <c r="A15" s="33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8"/>
      <c r="C15" s="3348"/>
      <c r="D15" s="3348"/>
    </row>
    <row r="16" spans="1:4" ht="70.5" customHeight="1">
      <c r="A16" s="33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8"/>
      <c r="C16" s="3348"/>
      <c r="D16" s="3348"/>
    </row>
    <row r="17" spans="1:4">
      <c r="A17" s="3348" t="s">
        <v>2700</v>
      </c>
      <c r="B17" s="3348"/>
      <c r="C17" s="3348"/>
      <c r="D17" s="3348"/>
    </row>
    <row r="18" spans="1:4">
      <c r="A18" s="3348" t="s">
        <v>2692</v>
      </c>
      <c r="B18" s="3348"/>
      <c r="C18" s="3348"/>
      <c r="D18" s="3348"/>
    </row>
    <row r="19" spans="1:4">
      <c r="A19" s="2822" t="s">
        <v>2693</v>
      </c>
      <c r="B19" s="2822" t="s">
        <v>2694</v>
      </c>
      <c r="C19" s="2822" t="s">
        <v>2695</v>
      </c>
      <c r="D19" s="2822" t="s">
        <v>2696</v>
      </c>
    </row>
    <row r="20" spans="1:4">
      <c r="A20" s="2822" t="str">
        <f>项目基本情况!B4</f>
        <v>王鹏</v>
      </c>
      <c r="B20" s="2822">
        <f ca="1">项目基本情况!C4</f>
        <v>2002110030</v>
      </c>
      <c r="C20" s="2824"/>
      <c r="D20" s="1784" t="s">
        <v>2701</v>
      </c>
    </row>
    <row r="21" spans="1:4">
      <c r="A21" s="2822" t="str">
        <f>项目基本情况!D4</f>
        <v>郑燚</v>
      </c>
      <c r="B21" s="2822">
        <f ca="1">项目基本情况!E4</f>
        <v>2014110011</v>
      </c>
      <c r="C21" s="2824"/>
      <c r="D21" s="1784" t="s">
        <v>2702</v>
      </c>
    </row>
    <row r="23" spans="1:4">
      <c r="A23" s="3348" t="s">
        <v>2697</v>
      </c>
      <c r="B23" s="3348"/>
      <c r="C23" s="3348"/>
      <c r="D23" s="3348"/>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A28:F33"/>
      <selection pane="bottomLeft" activeCell="F33" sqref="A28: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359" t="s">
        <v>53</v>
      </c>
      <c r="B15" s="3360" t="s">
        <v>846</v>
      </c>
      <c r="C15" s="3356"/>
    </row>
    <row r="16" spans="1:7" ht="14.25">
      <c r="A16" s="3359"/>
      <c r="B16" s="3357" t="s">
        <v>54</v>
      </c>
      <c r="C16" s="1166" t="s">
        <v>53</v>
      </c>
    </row>
    <row r="17" spans="1:3" ht="14.25">
      <c r="A17" s="3359"/>
      <c r="B17" s="3357"/>
      <c r="C17" s="1166" t="s">
        <v>55</v>
      </c>
    </row>
    <row r="18" spans="1:3" ht="14.25">
      <c r="A18" s="3359"/>
      <c r="B18" s="3357"/>
      <c r="C18" s="1166" t="s">
        <v>56</v>
      </c>
    </row>
    <row r="19" spans="1:3" ht="14.25">
      <c r="A19" s="3359"/>
      <c r="B19" s="3355" t="s">
        <v>57</v>
      </c>
      <c r="C19" s="3356"/>
    </row>
    <row r="20" spans="1:3" ht="14.25">
      <c r="A20" s="1167" t="s">
        <v>58</v>
      </c>
      <c r="B20" s="1168"/>
      <c r="C20" s="1169"/>
    </row>
    <row r="21" spans="1:3" ht="14.25">
      <c r="A21" s="3358" t="s">
        <v>59</v>
      </c>
      <c r="B21" s="3355" t="s">
        <v>60</v>
      </c>
      <c r="C21" s="3356"/>
    </row>
    <row r="22" spans="1:3" ht="14.25">
      <c r="A22" s="3358"/>
      <c r="B22" s="3355" t="s">
        <v>61</v>
      </c>
      <c r="C22" s="3356"/>
    </row>
    <row r="23" spans="1:3" ht="14.25">
      <c r="A23" s="3358"/>
      <c r="B23" s="3355" t="s">
        <v>62</v>
      </c>
      <c r="C23" s="3356"/>
    </row>
    <row r="24" spans="1:3" ht="14.25">
      <c r="A24" s="3358"/>
      <c r="B24" s="3361" t="s">
        <v>63</v>
      </c>
      <c r="C24" s="1170" t="s">
        <v>837</v>
      </c>
    </row>
    <row r="25" spans="1:3" ht="14.25">
      <c r="A25" s="3358"/>
      <c r="B25" s="3362"/>
      <c r="C25" s="1170" t="s">
        <v>838</v>
      </c>
    </row>
    <row r="26" spans="1:3" ht="14.25">
      <c r="A26" s="3358"/>
      <c r="B26" s="3362"/>
      <c r="C26" s="1170" t="s">
        <v>839</v>
      </c>
    </row>
    <row r="27" spans="1:3" ht="14.25">
      <c r="A27" s="3358"/>
      <c r="B27" s="3362"/>
      <c r="C27" s="1170" t="s">
        <v>840</v>
      </c>
    </row>
    <row r="28" spans="1:3" ht="14.25">
      <c r="A28" s="3358"/>
      <c r="B28" s="3362"/>
      <c r="C28" s="1170" t="s">
        <v>841</v>
      </c>
    </row>
    <row r="29" spans="1:3" ht="14.25">
      <c r="A29" s="3358"/>
      <c r="B29" s="3362"/>
      <c r="C29" s="1170" t="s">
        <v>842</v>
      </c>
    </row>
    <row r="30" spans="1:3" ht="14.25">
      <c r="A30" s="3358"/>
      <c r="B30" s="3362"/>
      <c r="C30" s="1170" t="s">
        <v>843</v>
      </c>
    </row>
    <row r="31" spans="1:3" ht="14.25">
      <c r="A31" s="3358"/>
      <c r="B31" s="3362"/>
      <c r="C31" s="1170" t="s">
        <v>844</v>
      </c>
    </row>
    <row r="32" spans="1:3" ht="14.25">
      <c r="A32" s="3358"/>
      <c r="B32" s="3362"/>
      <c r="C32" s="1170" t="s">
        <v>1646</v>
      </c>
    </row>
    <row r="33" spans="1:3" ht="14.25">
      <c r="A33" s="3358"/>
      <c r="B33" s="3352" t="s">
        <v>1652</v>
      </c>
      <c r="C33" s="1170" t="s">
        <v>1647</v>
      </c>
    </row>
    <row r="34" spans="1:3" ht="14.25">
      <c r="A34" s="3358"/>
      <c r="B34" s="3353"/>
      <c r="C34" s="1175" t="s">
        <v>1648</v>
      </c>
    </row>
    <row r="35" spans="1:3" ht="14.25">
      <c r="A35" s="3358"/>
      <c r="B35" s="3353"/>
      <c r="C35" s="1176" t="s">
        <v>1649</v>
      </c>
    </row>
    <row r="36" spans="1:3" ht="14.25">
      <c r="A36" s="3358"/>
      <c r="B36" s="3353"/>
      <c r="C36" s="1176" t="s">
        <v>1650</v>
      </c>
    </row>
    <row r="37" spans="1:3" ht="14.25">
      <c r="A37" s="3358"/>
      <c r="B37" s="3354"/>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A28: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43700</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2573</v>
      </c>
      <c r="B15" s="3130">
        <f ca="1">IF(C15&lt;B2,"已过期",1120070085)</f>
        <v>1120070085</v>
      </c>
      <c r="C15" s="3134">
        <v>43814</v>
      </c>
      <c r="D15" s="3130" t="s">
        <v>2981</v>
      </c>
      <c r="E15" s="3130">
        <f ca="1">IF(F15&lt;B2,"已过期",2004110128)</f>
        <v>2004110128</v>
      </c>
      <c r="F15" s="3136">
        <v>47118</v>
      </c>
    </row>
    <row r="16" spans="1:6" ht="20.25" customHeight="1">
      <c r="A16" s="3130" t="s">
        <v>1923</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363" t="s">
        <v>1926</v>
      </c>
      <c r="B25" s="3363"/>
      <c r="C25" s="3363"/>
      <c r="D25" s="3363"/>
      <c r="E25" s="3363"/>
      <c r="F25" s="3363"/>
      <c r="G25" s="3363"/>
    </row>
    <row r="26" spans="1:7" ht="20.25" customHeight="1">
      <c r="A26" s="3364" t="s">
        <v>1927</v>
      </c>
      <c r="B26" s="3364"/>
      <c r="C26" s="3364"/>
      <c r="D26" s="3364" t="s">
        <v>1928</v>
      </c>
      <c r="E26" s="3364"/>
      <c r="F26" s="3364"/>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activeCellId="1" sqref="B21 B24"/>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2953</v>
      </c>
      <c r="C18" s="1539"/>
    </row>
    <row r="19" spans="1:3">
      <c r="A19" s="8" t="s">
        <v>120</v>
      </c>
      <c r="B19" s="3063" t="s">
        <v>2961</v>
      </c>
      <c r="C19" s="1539"/>
    </row>
    <row r="20" spans="1:3">
      <c r="A20" s="8" t="s">
        <v>121</v>
      </c>
      <c r="B20" s="8" t="s">
        <v>1641</v>
      </c>
      <c r="C20" s="1539"/>
    </row>
    <row r="21" spans="1:3">
      <c r="A21" s="8" t="s">
        <v>122</v>
      </c>
      <c r="B21" s="3063" t="s">
        <v>3046</v>
      </c>
      <c r="C21" s="1539"/>
    </row>
    <row r="22" spans="1:3">
      <c r="A22" s="8" t="s">
        <v>123</v>
      </c>
      <c r="B22" s="3063" t="s">
        <v>3045</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国能生活服务有限责任公司拟使用天津市滨海高新区滨海科技园（宗地编号：津滨高（挂）2019-1号）一宗城镇住宅、商服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365"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21日，在规划利用条件下、设定土地开发程度为红线外“七通”、宗地内场地平整，设定用途为城镇住宅、商服用地，剩余土地使用年限为的出让国有建设用地使用权价格。</v>
      </c>
      <c r="D53" s="1751"/>
      <c r="E53" s="1751"/>
    </row>
    <row r="54" spans="1:5">
      <c r="A54" s="3365"/>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65"/>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65"/>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65"/>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总投成本</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Sheet5</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2019-08-23T03:23:00Z</dcterms:modified>
</cp:coreProperties>
</file>