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比较法-办公租金" sheetId="83" state="hidden" r:id="rId25"/>
    <sheet name="比较法-办公" sheetId="34"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Sheet1" sheetId="80" r:id="rId47"/>
    <sheet name="公寓" sheetId="84" r:id="rId48"/>
    <sheet name="办公" sheetId="85" r:id="rId49"/>
    <sheet name="仓储" sheetId="86" r:id="rId50"/>
  </sheets>
  <externalReferences>
    <externalReference r:id="rId51"/>
  </externalReferences>
  <definedNames>
    <definedName name="_xlnm._FilterDatabase" localSheetId="25"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Q17" i="84" l="1"/>
  <c r="Q16" i="84"/>
  <c r="Q15" i="84"/>
  <c r="Q14" i="84"/>
  <c r="Q13" i="84"/>
  <c r="Q12" i="84"/>
  <c r="Q9" i="84"/>
  <c r="Q10" i="84"/>
  <c r="Q11" i="84"/>
  <c r="Q8" i="84"/>
  <c r="Q7" i="84"/>
  <c r="AH6" i="1"/>
  <c r="V25" i="1"/>
  <c r="V24" i="1"/>
  <c r="T26" i="1"/>
  <c r="T25" i="1"/>
  <c r="T24" i="1"/>
  <c r="L52" i="15"/>
  <c r="L50" i="15"/>
  <c r="U19" i="1"/>
  <c r="C6" i="68"/>
  <c r="N6" i="1"/>
  <c r="N22" i="1"/>
  <c r="N20" i="1"/>
  <c r="J49" i="15"/>
  <c r="G44" i="43"/>
  <c r="D40" i="43"/>
  <c r="D33" i="43"/>
  <c r="V26" i="1" l="1"/>
  <c r="U26" i="1" s="1"/>
  <c r="G19" i="6" l="1"/>
  <c r="F19" i="6"/>
  <c r="B131" i="83" l="1"/>
  <c r="B129" i="83"/>
  <c r="B127" i="83"/>
  <c r="E126" i="83"/>
  <c r="F126" i="83" s="1"/>
  <c r="G126" i="83" s="1"/>
  <c r="D126" i="83"/>
  <c r="D124" i="83"/>
  <c r="E124" i="83" s="1"/>
  <c r="E120" i="83"/>
  <c r="F120" i="83" s="1"/>
  <c r="G120" i="83" s="1"/>
  <c r="H120" i="83" s="1"/>
  <c r="I120" i="83" s="1"/>
  <c r="J120" i="83" s="1"/>
  <c r="K120" i="83" s="1"/>
  <c r="L120" i="83" s="1"/>
  <c r="M120" i="83" s="1"/>
  <c r="D120" i="83"/>
  <c r="E118" i="83"/>
  <c r="F118" i="83" s="1"/>
  <c r="G118" i="83" s="1"/>
  <c r="D118" i="83"/>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E67" i="83"/>
  <c r="F67" i="83" s="1"/>
  <c r="G67" i="83" s="1"/>
  <c r="D67"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AC33" i="83"/>
  <c r="U33" i="83"/>
  <c r="Q33" i="83"/>
  <c r="Z33" i="83" s="1"/>
  <c r="J33" i="83"/>
  <c r="W33" i="83" s="1"/>
  <c r="H33" i="83"/>
  <c r="AB33" i="83" s="1"/>
  <c r="F33" i="83"/>
  <c r="AA33" i="83" s="1"/>
  <c r="AB32" i="83"/>
  <c r="Q32" i="83"/>
  <c r="Z32" i="83" s="1"/>
  <c r="J32" i="83"/>
  <c r="W32" i="83" s="1"/>
  <c r="H32" i="83"/>
  <c r="U32" i="83" s="1"/>
  <c r="F32" i="83"/>
  <c r="S32" i="83" s="1"/>
  <c r="AA31" i="83"/>
  <c r="Q31" i="83"/>
  <c r="Z31" i="83" s="1"/>
  <c r="J31" i="83"/>
  <c r="AC31" i="83" s="1"/>
  <c r="H31" i="83"/>
  <c r="U31" i="83" s="1"/>
  <c r="F31" i="83"/>
  <c r="S31" i="83" s="1"/>
  <c r="AC30" i="83"/>
  <c r="Z30" i="83"/>
  <c r="Q30" i="83"/>
  <c r="J30" i="83"/>
  <c r="W30" i="83" s="1"/>
  <c r="H30" i="83"/>
  <c r="AB30" i="83" s="1"/>
  <c r="F30" i="83"/>
  <c r="S30" i="83" s="1"/>
  <c r="W29" i="83"/>
  <c r="Q29" i="83"/>
  <c r="Z29" i="83" s="1"/>
  <c r="J29" i="83"/>
  <c r="AC29" i="83" s="1"/>
  <c r="H29" i="83"/>
  <c r="AB29" i="83" s="1"/>
  <c r="F29" i="83"/>
  <c r="AA29" i="83" s="1"/>
  <c r="AC28" i="83"/>
  <c r="AA28" i="83"/>
  <c r="Q28" i="83"/>
  <c r="Z28" i="83" s="1"/>
  <c r="J28" i="83"/>
  <c r="W28" i="83" s="1"/>
  <c r="H28" i="83"/>
  <c r="U28" i="83" s="1"/>
  <c r="F28" i="83"/>
  <c r="S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F10" i="83"/>
  <c r="H10" i="83"/>
  <c r="Q9" i="83"/>
  <c r="Z9" i="83" s="1"/>
  <c r="J9" i="83"/>
  <c r="AC9" i="83" s="1"/>
  <c r="H9" i="83"/>
  <c r="AB9" i="83" s="1"/>
  <c r="F9" i="83"/>
  <c r="AA9" i="83" s="1"/>
  <c r="AC8" i="83"/>
  <c r="W8" i="83"/>
  <c r="J8" i="83"/>
  <c r="H8" i="83"/>
  <c r="U8" i="83" s="1"/>
  <c r="F8" i="83"/>
  <c r="S8" i="83" s="1"/>
  <c r="D2" i="83"/>
  <c r="AC10" i="83" l="1"/>
  <c r="W10" i="83"/>
  <c r="AB10" i="83"/>
  <c r="U10" i="83"/>
  <c r="AA10" i="83"/>
  <c r="S10" i="83"/>
  <c r="AA8" i="83"/>
  <c r="U9" i="83"/>
  <c r="S12" i="83"/>
  <c r="U13" i="83"/>
  <c r="W14" i="83"/>
  <c r="W15" i="83"/>
  <c r="W17" i="83"/>
  <c r="W19" i="83"/>
  <c r="W21" i="83"/>
  <c r="W23" i="83"/>
  <c r="S27" i="83"/>
  <c r="U29" i="83"/>
  <c r="AA30" i="83"/>
  <c r="AC32" i="83"/>
  <c r="AB8" i="83"/>
  <c r="W9" i="83"/>
  <c r="S11" i="83"/>
  <c r="U12" i="83"/>
  <c r="W13" i="83"/>
  <c r="S25" i="83"/>
  <c r="U27" i="83"/>
  <c r="S35" i="83"/>
  <c r="U11" i="83"/>
  <c r="W12" i="83"/>
  <c r="S14" i="83"/>
  <c r="S15" i="83"/>
  <c r="S17" i="83"/>
  <c r="S19" i="83"/>
  <c r="S21" i="83"/>
  <c r="S23" i="83"/>
  <c r="U25" i="83"/>
  <c r="W27" i="83"/>
  <c r="AB28" i="83"/>
  <c r="AB31" i="83"/>
  <c r="AA32" i="83"/>
  <c r="H43" i="83"/>
  <c r="F43" i="83"/>
  <c r="F124" i="83"/>
  <c r="G124" i="83" s="1"/>
  <c r="H124" i="83" s="1"/>
  <c r="I124" i="83" s="1"/>
  <c r="J124" i="83" s="1"/>
  <c r="K124" i="83" s="1"/>
  <c r="L124" i="83" s="1"/>
  <c r="M124" i="83" s="1"/>
  <c r="J43" i="83"/>
  <c r="S9" i="83"/>
  <c r="W11" i="83"/>
  <c r="S13" i="83"/>
  <c r="U14" i="83"/>
  <c r="U15" i="83"/>
  <c r="U17" i="83"/>
  <c r="U19" i="83"/>
  <c r="U21" i="83"/>
  <c r="U23" i="83"/>
  <c r="W25" i="83"/>
  <c r="S29" i="83"/>
  <c r="U30" i="83"/>
  <c r="W31" i="83"/>
  <c r="S33" i="83"/>
  <c r="S36" i="83"/>
  <c r="U38" i="83"/>
  <c r="W39" i="83"/>
  <c r="S41" i="83"/>
  <c r="U42" i="83"/>
  <c r="S45" i="83"/>
  <c r="U46" i="83"/>
  <c r="W47" i="83"/>
  <c r="U36" i="83"/>
  <c r="W38" i="83"/>
  <c r="S40" i="83"/>
  <c r="U41" i="83"/>
  <c r="W42" i="83"/>
  <c r="S44" i="83"/>
  <c r="U45" i="83"/>
  <c r="W46" i="83"/>
  <c r="U35" i="83"/>
  <c r="W36" i="83"/>
  <c r="S39" i="83"/>
  <c r="U40" i="83"/>
  <c r="W41" i="83"/>
  <c r="U44" i="83"/>
  <c r="W45" i="83"/>
  <c r="S47" i="83"/>
  <c r="W35" i="83"/>
  <c r="S38" i="83"/>
  <c r="U39" i="83"/>
  <c r="W40" i="83"/>
  <c r="S42" i="83"/>
  <c r="W44" i="83"/>
  <c r="S46" i="83"/>
  <c r="U47" i="83"/>
  <c r="AB43" i="83" l="1"/>
  <c r="U43" i="83"/>
  <c r="AC43" i="83"/>
  <c r="W43" i="83"/>
  <c r="AA43" i="83"/>
  <c r="S43" i="83"/>
  <c r="I10" i="34" l="1"/>
  <c r="G10" i="34"/>
  <c r="E10" i="34"/>
  <c r="C10" i="34"/>
  <c r="E67" i="34"/>
  <c r="F67" i="34"/>
  <c r="G67" i="34"/>
  <c r="D67" i="34"/>
  <c r="J49" i="67"/>
  <c r="D3" i="4" l="1"/>
  <c r="C37" i="83" l="1"/>
  <c r="C37" i="34"/>
  <c r="Y6" i="1"/>
  <c r="I12" i="79"/>
  <c r="J37" i="83" l="1"/>
  <c r="F37" i="83"/>
  <c r="H37"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7" i="83" l="1"/>
  <c r="U37" i="83"/>
  <c r="AA37" i="83"/>
  <c r="S37" i="83"/>
  <c r="AC37" i="83"/>
  <c r="W37" i="8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AA31" i="79"/>
  <c r="AD31" i="79" s="1"/>
  <c r="T40" i="79"/>
  <c r="U46" i="79"/>
  <c r="AI46" i="79" s="1"/>
  <c r="AD47" i="79"/>
  <c r="S48" i="79"/>
  <c r="AG48" i="79" s="1"/>
  <c r="U50" i="79"/>
  <c r="AI50" i="79" s="1"/>
  <c r="AD51" i="79"/>
  <c r="AD36" i="79"/>
  <c r="AR40" i="79"/>
  <c r="AR41" i="79" s="1"/>
  <c r="AR42" i="79" s="1"/>
  <c r="AR43" i="79" s="1"/>
  <c r="AR44" i="79" s="1"/>
  <c r="AR45" i="79" s="1"/>
  <c r="AR46" i="79" s="1"/>
  <c r="AR47" i="79" s="1"/>
  <c r="AR48" i="79" s="1"/>
  <c r="AR49" i="79" s="1"/>
  <c r="AR50" i="79" s="1"/>
  <c r="AR51" i="79" s="1"/>
  <c r="AR52" i="79" s="1"/>
  <c r="AD38" i="79"/>
  <c r="AD37" i="79"/>
  <c r="Z3"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H9" i="34" s="1"/>
  <c r="U9" i="34" s="1"/>
  <c r="P50" i="34"/>
  <c r="P49" i="34"/>
  <c r="V48" i="34"/>
  <c r="T48" i="34"/>
  <c r="R48" i="34"/>
  <c r="P48" i="34"/>
  <c r="Q47" i="34"/>
  <c r="Z47" i="34"/>
  <c r="Q46" i="34"/>
  <c r="Z46" i="34"/>
  <c r="Q45" i="34"/>
  <c r="Z45" i="34"/>
  <c r="Q44" i="34"/>
  <c r="Z44" i="34"/>
  <c r="Q43" i="34"/>
  <c r="Z43" i="34"/>
  <c r="Q42" i="34"/>
  <c r="Z42" i="34" s="1"/>
  <c r="Q41" i="34"/>
  <c r="Z41" i="34"/>
  <c r="Q40" i="34"/>
  <c r="Z40" i="34" s="1"/>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U34" i="35"/>
  <c r="F36" i="34"/>
  <c r="AA36" i="34" s="1"/>
  <c r="J35" i="34"/>
  <c r="H39" i="33"/>
  <c r="AB39" i="33" s="1"/>
  <c r="U33" i="33"/>
  <c r="U35" i="33"/>
  <c r="W33" i="33"/>
  <c r="W39" i="33"/>
  <c r="H39" i="37"/>
  <c r="AB39" i="37" s="1"/>
  <c r="S27" i="35"/>
  <c r="F11" i="40"/>
  <c r="AA11" i="40" s="1"/>
  <c r="H11" i="40"/>
  <c r="AB11" i="40"/>
  <c r="W8" i="40"/>
  <c r="AB39" i="40"/>
  <c r="U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s="1"/>
  <c r="H36" i="34"/>
  <c r="U36" i="34" s="1"/>
  <c r="F37" i="34"/>
  <c r="AA37" i="34" s="1"/>
  <c r="F28" i="34"/>
  <c r="AA28" i="34" s="1"/>
  <c r="F25" i="34"/>
  <c r="S25" i="34" s="1"/>
  <c r="H17" i="34"/>
  <c r="U17" i="34" s="1"/>
  <c r="W8" i="34"/>
  <c r="J28" i="34"/>
  <c r="W28" i="34" s="1"/>
  <c r="F41" i="33"/>
  <c r="AA41" i="33" s="1"/>
  <c r="S38" i="33"/>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AB42" i="34"/>
  <c r="J40" i="34"/>
  <c r="AC40" i="34" s="1"/>
  <c r="H38" i="34"/>
  <c r="AB38" i="34" s="1"/>
  <c r="J36" i="34"/>
  <c r="W36" i="34" s="1"/>
  <c r="H37" i="34"/>
  <c r="U37" i="34" s="1"/>
  <c r="H25" i="34"/>
  <c r="AB25" i="34" s="1"/>
  <c r="J25" i="34"/>
  <c r="AC25"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F38" i="37"/>
  <c r="S38" i="37"/>
  <c r="F43" i="39"/>
  <c r="AA43" i="39" s="1"/>
  <c r="J14" i="39"/>
  <c r="AC14" i="39" s="1"/>
  <c r="F14" i="39"/>
  <c r="H14" i="39"/>
  <c r="AB14" i="39" s="1"/>
  <c r="F12" i="40"/>
  <c r="S12" i="40"/>
  <c r="H12" i="40"/>
  <c r="AB12" i="40" s="1"/>
  <c r="H30" i="40"/>
  <c r="AB30" i="40" s="1"/>
  <c r="F33" i="40"/>
  <c r="AA33" i="40" s="1"/>
  <c r="H33" i="40"/>
  <c r="U33" i="40"/>
  <c r="J35" i="40"/>
  <c r="AC35" i="40" s="1"/>
  <c r="J37" i="40"/>
  <c r="AC37" i="40" s="1"/>
  <c r="H13" i="40"/>
  <c r="U13" i="40" s="1"/>
  <c r="J13" i="40"/>
  <c r="W13" i="40"/>
  <c r="F13" i="40"/>
  <c r="AA13" i="40" s="1"/>
  <c r="F14" i="37"/>
  <c r="S14" i="37" s="1"/>
  <c r="F27" i="37"/>
  <c r="AA27" i="37" s="1"/>
  <c r="F13" i="39"/>
  <c r="J13" i="39"/>
  <c r="W13" i="39" s="1"/>
  <c r="H13" i="39"/>
  <c r="AB14" i="40"/>
  <c r="J14" i="40"/>
  <c r="W14" i="40" s="1"/>
  <c r="F14" i="40"/>
  <c r="AA14" i="40" s="1"/>
  <c r="J14" i="37"/>
  <c r="J27" i="37"/>
  <c r="AC27" i="37"/>
  <c r="AA44" i="33"/>
  <c r="U46" i="33"/>
  <c r="AA14" i="33"/>
  <c r="J36" i="37"/>
  <c r="AC36" i="37" s="1"/>
  <c r="J10" i="36"/>
  <c r="AC10" i="36" s="1"/>
  <c r="AB30" i="21"/>
  <c r="W31" i="34"/>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W47" i="34"/>
  <c r="AA13" i="33"/>
  <c r="AC31" i="33"/>
  <c r="AC45" i="33"/>
  <c r="W44" i="33"/>
  <c r="U11" i="33"/>
  <c r="U19" i="21"/>
  <c r="W44"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64" i="43" s="1"/>
  <c r="M64" i="43" s="1"/>
  <c r="N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AZ380" i="3"/>
  <c r="G509" i="3"/>
  <c r="BL493" i="3"/>
  <c r="AZ493" i="3" s="1"/>
  <c r="U36" i="40"/>
  <c r="F83" i="43"/>
  <c r="H85" i="43" s="1"/>
  <c r="F50" i="43"/>
  <c r="H54" i="43" s="1"/>
  <c r="F72" i="43"/>
  <c r="H75" i="43" s="1"/>
  <c r="U17" i="39"/>
  <c r="S14" i="35"/>
  <c r="U43" i="21"/>
  <c r="U35" i="21"/>
  <c r="AC35" i="21"/>
  <c r="AZ563"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H44" i="34"/>
  <c r="U44" i="34" s="1"/>
  <c r="AC38" i="39"/>
  <c r="F39" i="39"/>
  <c r="J39" i="39"/>
  <c r="AC39" i="39" s="1"/>
  <c r="E96" i="39"/>
  <c r="F96" i="39" s="1"/>
  <c r="G96" i="39" s="1"/>
  <c r="AZ386" i="3"/>
  <c r="C40" i="11"/>
  <c r="AZ227" i="3"/>
  <c r="AZ235" i="3"/>
  <c r="AZ251" i="3"/>
  <c r="AZ133" i="3"/>
  <c r="AZ82" i="3"/>
  <c r="F23" i="39"/>
  <c r="AA23" i="39"/>
  <c r="H27" i="36"/>
  <c r="U27" i="36" s="1"/>
  <c r="F27" i="36"/>
  <c r="AA27" i="36" s="1"/>
  <c r="H33" i="34"/>
  <c r="U33" i="34" s="1"/>
  <c r="F32" i="37"/>
  <c r="AA32" i="37"/>
  <c r="G96" i="37"/>
  <c r="H96" i="37"/>
  <c r="I96" i="37" s="1"/>
  <c r="J96" i="37" s="1"/>
  <c r="K96" i="37" s="1"/>
  <c r="L96" i="37" s="1"/>
  <c r="M96" i="37" s="1"/>
  <c r="F20" i="36"/>
  <c r="AA20" i="36" s="1"/>
  <c r="J33" i="34"/>
  <c r="H23" i="39"/>
  <c r="U23" i="39" s="1"/>
  <c r="K9" i="1"/>
  <c r="M9" i="1" s="1"/>
  <c r="K6" i="1"/>
  <c r="AP6" i="1" s="1"/>
  <c r="G29" i="6"/>
  <c r="AC26" i="33"/>
  <c r="W26" i="33"/>
  <c r="AB34" i="36"/>
  <c r="U34" i="36"/>
  <c r="AC12" i="39"/>
  <c r="W12" i="39"/>
  <c r="AC39" i="40"/>
  <c r="W39" i="40"/>
  <c r="W12" i="33"/>
  <c r="AC12" i="33"/>
  <c r="AA32" i="36"/>
  <c r="S32" i="36"/>
  <c r="AZ473" i="3"/>
  <c r="BL14" i="3"/>
  <c r="U30" i="33"/>
  <c r="AC13" i="34"/>
  <c r="AA47" i="34"/>
  <c r="W28" i="37"/>
  <c r="S19" i="39"/>
  <c r="F12" i="33"/>
  <c r="H12" i="39"/>
  <c r="AB12" i="39" s="1"/>
  <c r="F39" i="40"/>
  <c r="S39" i="40" s="1"/>
  <c r="BA14" i="3"/>
  <c r="AZ367" i="3"/>
  <c r="AZ286" i="3"/>
  <c r="AZ297"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C42" i="34"/>
  <c r="U39" i="34"/>
  <c r="AA45" i="34"/>
  <c r="AA25" i="34"/>
  <c r="U28" i="34"/>
  <c r="AA29"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G1" i="68"/>
  <c r="K1" i="12"/>
  <c r="E19" i="69"/>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6" i="67"/>
  <c r="B9" i="76"/>
  <c r="F6" i="73"/>
  <c r="L48" i="67"/>
  <c r="F40" i="15"/>
  <c r="M24" i="15"/>
  <c r="F40" i="67"/>
  <c r="B10" i="76"/>
  <c r="F42" i="67"/>
  <c r="F4" i="73"/>
  <c r="E12" i="76"/>
  <c r="F8" i="67"/>
  <c r="F7" i="73"/>
  <c r="F7" i="67"/>
  <c r="B13" i="76"/>
  <c r="M24" i="67"/>
  <c r="M23" i="67"/>
  <c r="F3" i="73"/>
  <c r="F38" i="15"/>
  <c r="M29" i="15"/>
  <c r="B8" i="76"/>
  <c r="M8" i="67"/>
  <c r="M23" i="15"/>
  <c r="E8" i="76"/>
  <c r="L47" i="67"/>
  <c r="M9" i="67"/>
  <c r="M28" i="67"/>
  <c r="J15" i="67"/>
  <c r="M28" i="15"/>
  <c r="F36" i="67"/>
  <c r="F43" i="15"/>
  <c r="F37" i="67"/>
  <c r="L47" i="15"/>
  <c r="M26" i="67"/>
  <c r="D6" i="73"/>
  <c r="F9" i="67"/>
  <c r="F42" i="15"/>
  <c r="E9" i="76"/>
  <c r="E2" i="68"/>
  <c r="E13" i="76"/>
  <c r="B11" i="76"/>
  <c r="F20" i="31"/>
  <c r="E10" i="76"/>
  <c r="E7" i="76"/>
  <c r="M9" i="15"/>
  <c r="F43" i="67"/>
  <c r="F5" i="73"/>
  <c r="F16" i="67"/>
  <c r="AO13" i="1"/>
  <c r="J15" i="15"/>
  <c r="F26" i="67"/>
  <c r="M8" i="15"/>
  <c r="F16" i="15"/>
  <c r="M29" i="67"/>
  <c r="B7" i="76"/>
  <c r="F37" i="15"/>
  <c r="F13" i="67"/>
  <c r="F26" i="15"/>
  <c r="F38" i="67"/>
  <c r="F8" i="15"/>
  <c r="E2" i="69"/>
  <c r="M26" i="15"/>
  <c r="F36" i="15"/>
  <c r="C76" i="15"/>
  <c r="F7" i="15"/>
  <c r="L48" i="15"/>
  <c r="B12" i="76"/>
  <c r="F13" i="15"/>
  <c r="E11" i="76"/>
  <c r="K64" i="43" l="1"/>
  <c r="J64" i="43" s="1"/>
  <c r="C7" i="21"/>
  <c r="C7" i="83"/>
  <c r="F86" i="34"/>
  <c r="G86" i="34" s="1"/>
  <c r="J23" i="34"/>
  <c r="F23" i="34"/>
  <c r="S23" i="34" s="1"/>
  <c r="H23" i="34"/>
  <c r="U23" i="34" s="1"/>
  <c r="F82" i="34"/>
  <c r="G82" i="34" s="1"/>
  <c r="H19" i="34"/>
  <c r="F19" i="34"/>
  <c r="J19" i="34"/>
  <c r="AC17" i="34"/>
  <c r="F78" i="34"/>
  <c r="G78" i="34" s="1"/>
  <c r="H15" i="34"/>
  <c r="AB15" i="34" s="1"/>
  <c r="J15" i="34"/>
  <c r="F15" i="34"/>
  <c r="AA15" i="34" s="1"/>
  <c r="AC44" i="34"/>
  <c r="F124" i="34"/>
  <c r="G124" i="34" s="1"/>
  <c r="H124" i="34" s="1"/>
  <c r="I124" i="34" s="1"/>
  <c r="J124" i="34" s="1"/>
  <c r="K124" i="34" s="1"/>
  <c r="L124" i="34" s="1"/>
  <c r="M124" i="34" s="1"/>
  <c r="H43" i="34"/>
  <c r="F43" i="34"/>
  <c r="AA43" i="34" s="1"/>
  <c r="S37" i="34"/>
  <c r="AA44" i="34"/>
  <c r="AB35" i="34"/>
  <c r="S35" i="34"/>
  <c r="W27" i="34"/>
  <c r="AB23" i="34"/>
  <c r="U21" i="34"/>
  <c r="AB17" i="34"/>
  <c r="S17" i="34"/>
  <c r="AB41" i="34"/>
  <c r="W41" i="34"/>
  <c r="W40" i="34"/>
  <c r="AC39" i="34"/>
  <c r="S36" i="34"/>
  <c r="AB36" i="34"/>
  <c r="AC36" i="34"/>
  <c r="AB33" i="34"/>
  <c r="AA33" i="34"/>
  <c r="U27" i="34"/>
  <c r="B41" i="1"/>
  <c r="F48" i="9" s="1"/>
  <c r="O52" i="9" s="1"/>
  <c r="D93" i="9"/>
  <c r="C21" i="68"/>
  <c r="E19" i="11"/>
  <c r="D23" i="15"/>
  <c r="D22" i="15"/>
  <c r="F30" i="69"/>
  <c r="F48" i="69" s="1"/>
  <c r="F31" i="12"/>
  <c r="D68" i="9"/>
  <c r="F28" i="15"/>
  <c r="F28" i="67"/>
  <c r="C28" i="67" s="1"/>
  <c r="M18" i="15"/>
  <c r="M18" i="67"/>
  <c r="F32" i="15"/>
  <c r="F60" i="15" s="1"/>
  <c r="F52" i="9"/>
  <c r="F30" i="68"/>
  <c r="F48" i="68" s="1"/>
  <c r="M47" i="9"/>
  <c r="C7" i="35"/>
  <c r="C48" i="35" s="1"/>
  <c r="D48" i="35" s="1"/>
  <c r="C7" i="34"/>
  <c r="C7" i="37"/>
  <c r="C52" i="37" s="1"/>
  <c r="D52" i="37" s="1"/>
  <c r="C7" i="40"/>
  <c r="C63" i="40" s="1"/>
  <c r="C7" i="39"/>
  <c r="C67" i="39" s="1"/>
  <c r="U36" i="33"/>
  <c r="AB36" i="33"/>
  <c r="AC15" i="21"/>
  <c r="W15" i="21"/>
  <c r="S19" i="33"/>
  <c r="AA19" i="33"/>
  <c r="S23" i="37"/>
  <c r="AA23" i="37"/>
  <c r="AC33" i="34"/>
  <c r="W33" i="34"/>
  <c r="AB19" i="33"/>
  <c r="AC32" i="39"/>
  <c r="AA23" i="21"/>
  <c r="S23" i="21"/>
  <c r="AA36" i="33"/>
  <c r="S36" i="33"/>
  <c r="AA30" i="40"/>
  <c r="S30" i="40"/>
  <c r="W25" i="33"/>
  <c r="AB9" i="21"/>
  <c r="D121" i="9"/>
  <c r="D7" i="52" s="1"/>
  <c r="D6" i="52"/>
  <c r="S39" i="39"/>
  <c r="AA39" i="39"/>
  <c r="S40" i="34"/>
  <c r="AA40" i="34"/>
  <c r="AB26" i="37"/>
  <c r="U26" i="37"/>
  <c r="W27" i="40"/>
  <c r="U32" i="37"/>
  <c r="AZ14" i="3"/>
  <c r="AZ345" i="3"/>
  <c r="AZ372" i="3"/>
  <c r="AZ347" i="3"/>
  <c r="AZ337" i="3"/>
  <c r="AZ376" i="3"/>
  <c r="AZ309" i="3"/>
  <c r="AA11" i="39"/>
  <c r="AZ523" i="3"/>
  <c r="AZ547" i="3"/>
  <c r="AZ571" i="3"/>
  <c r="AZ579" i="3"/>
  <c r="J27" i="21"/>
  <c r="F27" i="21"/>
  <c r="J12" i="34"/>
  <c r="H12" i="34"/>
  <c r="F12" i="34"/>
  <c r="S12" i="34" s="1"/>
  <c r="H25" i="37"/>
  <c r="F25" i="37"/>
  <c r="U8" i="39"/>
  <c r="AB8" i="39"/>
  <c r="AZ374" i="3"/>
  <c r="AZ366" i="3"/>
  <c r="AZ187" i="3"/>
  <c r="AZ539" i="3"/>
  <c r="AZ529" i="3"/>
  <c r="AZ537" i="3"/>
  <c r="AZ518" i="3"/>
  <c r="AZ546" i="3"/>
  <c r="AZ585" i="3"/>
  <c r="AC11" i="35"/>
  <c r="BL585" i="3"/>
  <c r="B72" i="43"/>
  <c r="C15" i="39"/>
  <c r="B75" i="43"/>
  <c r="H33" i="36"/>
  <c r="J33" i="36"/>
  <c r="AC33" i="36" s="1"/>
  <c r="AB31" i="36"/>
  <c r="U31" i="36"/>
  <c r="S9" i="40"/>
  <c r="AA9" i="40"/>
  <c r="AC20" i="36"/>
  <c r="AC11" i="39"/>
  <c r="F29" i="6"/>
  <c r="AZ391" i="3"/>
  <c r="AZ318" i="3"/>
  <c r="AZ364" i="3"/>
  <c r="AZ329" i="3"/>
  <c r="AZ306" i="3"/>
  <c r="AZ513" i="3"/>
  <c r="AZ502" i="3"/>
  <c r="F26" i="33"/>
  <c r="H26" i="33"/>
  <c r="J43" i="39"/>
  <c r="H43" i="39"/>
  <c r="AA25" i="21"/>
  <c r="AZ519" i="3"/>
  <c r="AZ531" i="3"/>
  <c r="AZ573" i="3"/>
  <c r="AZ583" i="3"/>
  <c r="AZ568" i="3"/>
  <c r="AZ576" i="3"/>
  <c r="AA14" i="34"/>
  <c r="AA14" i="37"/>
  <c r="F9" i="34"/>
  <c r="AA9" i="34" s="1"/>
  <c r="J9" i="34"/>
  <c r="AB34" i="40"/>
  <c r="U34" i="40"/>
  <c r="AZ419"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BA436" i="3"/>
  <c r="BA438" i="3"/>
  <c r="G441" i="3"/>
  <c r="BL441" i="3"/>
  <c r="BL442" i="3"/>
  <c r="BA445" i="3"/>
  <c r="BA447" i="3"/>
  <c r="AZ447" i="3" s="1"/>
  <c r="G448" i="3"/>
  <c r="BL448" i="3"/>
  <c r="AZ448" i="3" s="1"/>
  <c r="G450" i="3"/>
  <c r="AZ451" i="3"/>
  <c r="BA452" i="3"/>
  <c r="BA458" i="3"/>
  <c r="AZ458" i="3" s="1"/>
  <c r="G466"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BA441" i="3"/>
  <c r="BA456" i="3"/>
  <c r="BA462" i="3"/>
  <c r="AZ462" i="3" s="1"/>
  <c r="BL465" i="3"/>
  <c r="G585" i="3"/>
  <c r="BL587" i="3"/>
  <c r="AZ587" i="3" s="1"/>
  <c r="BL586" i="3"/>
  <c r="AZ586" i="3" s="1"/>
  <c r="G574" i="3"/>
  <c r="BL16" i="3"/>
  <c r="AZ16" i="3" s="1"/>
  <c r="BA401" i="3"/>
  <c r="BA403" i="3"/>
  <c r="BA404" i="3"/>
  <c r="BA405" i="3"/>
  <c r="AZ405" i="3" s="1"/>
  <c r="BL410" i="3"/>
  <c r="G412" i="3"/>
  <c r="G418" i="3"/>
  <c r="AZ422" i="3"/>
  <c r="AZ217" i="3"/>
  <c r="W31" i="40"/>
  <c r="S31" i="35"/>
  <c r="F39" i="37"/>
  <c r="S39" i="37" s="1"/>
  <c r="J44" i="39"/>
  <c r="G587" i="3"/>
  <c r="J12" i="35"/>
  <c r="BA551" i="3"/>
  <c r="AZ551" i="3" s="1"/>
  <c r="BA550" i="3"/>
  <c r="BL548" i="3"/>
  <c r="AZ548" i="3" s="1"/>
  <c r="G423" i="3"/>
  <c r="BL424" i="3"/>
  <c r="G427" i="3"/>
  <c r="BL428" i="3"/>
  <c r="BL429" i="3"/>
  <c r="BL432" i="3"/>
  <c r="BL435" i="3"/>
  <c r="BL436" i="3"/>
  <c r="BA439" i="3"/>
  <c r="BA440" i="3"/>
  <c r="AZ440" i="3" s="1"/>
  <c r="AZ443" i="3"/>
  <c r="BL445" i="3"/>
  <c r="BL446" i="3"/>
  <c r="AZ464" i="3"/>
  <c r="G442" i="3"/>
  <c r="G443" i="3"/>
  <c r="BA446" i="3"/>
  <c r="BA450" i="3"/>
  <c r="BA453" i="3"/>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AZ277" i="3" s="1"/>
  <c r="BL277" i="3"/>
  <c r="BA280" i="3"/>
  <c r="AZ280" i="3" s="1"/>
  <c r="BA283" i="3"/>
  <c r="AZ283" i="3" s="1"/>
  <c r="BA284" i="3"/>
  <c r="AZ284" i="3" s="1"/>
  <c r="BL290" i="3"/>
  <c r="BL291" i="3"/>
  <c r="AZ291" i="3" s="1"/>
  <c r="AZ302" i="3"/>
  <c r="AZ125" i="3"/>
  <c r="BA454" i="3"/>
  <c r="BA457" i="3"/>
  <c r="BA459" i="3"/>
  <c r="AZ459" i="3" s="1"/>
  <c r="BA460" i="3"/>
  <c r="AZ460" i="3" s="1"/>
  <c r="BA461" i="3"/>
  <c r="AZ461" i="3" s="1"/>
  <c r="BL464" i="3"/>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A276" i="3"/>
  <c r="BA296" i="3"/>
  <c r="BA298" i="3"/>
  <c r="AZ298" i="3" s="1"/>
  <c r="AZ476" i="3"/>
  <c r="AZ480" i="3"/>
  <c r="BA274" i="3"/>
  <c r="BL274" i="3"/>
  <c r="BA281" i="3"/>
  <c r="BL283" i="3"/>
  <c r="BL284" i="3"/>
  <c r="G288" i="3"/>
  <c r="BL292" i="3"/>
  <c r="BA294" i="3"/>
  <c r="AZ294" i="3" s="1"/>
  <c r="BL295" i="3"/>
  <c r="G299" i="3"/>
  <c r="BL300" i="3"/>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AZ271" i="3" s="1"/>
  <c r="BL271" i="3"/>
  <c r="BA273" i="3"/>
  <c r="AZ273" i="3" s="1"/>
  <c r="BA279" i="3"/>
  <c r="G116" i="3"/>
  <c r="BL270" i="3"/>
  <c r="AZ270" i="3" s="1"/>
  <c r="BA272" i="3"/>
  <c r="BL275" i="3"/>
  <c r="AZ275" i="3" s="1"/>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AZ38" i="3" s="1"/>
  <c r="BA41" i="3"/>
  <c r="BA42" i="3"/>
  <c r="G46" i="3"/>
  <c r="G47" i="3"/>
  <c r="BL48" i="3"/>
  <c r="BL54" i="3"/>
  <c r="BL55" i="3"/>
  <c r="AZ55" i="3" s="1"/>
  <c r="G57" i="3"/>
  <c r="G58" i="3"/>
  <c r="BA59" i="3"/>
  <c r="G61" i="3"/>
  <c r="BL61" i="3"/>
  <c r="G64" i="3"/>
  <c r="BA64" i="3"/>
  <c r="AZ64" i="3" s="1"/>
  <c r="BA68" i="3"/>
  <c r="BL70" i="3"/>
  <c r="BL71" i="3"/>
  <c r="C44" i="71"/>
  <c r="D43" i="71"/>
  <c r="C52" i="71"/>
  <c r="D51" i="7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BL45" i="3"/>
  <c r="BA48" i="3"/>
  <c r="BA49" i="3"/>
  <c r="BA51" i="3"/>
  <c r="AZ51" i="3" s="1"/>
  <c r="BL56" i="3"/>
  <c r="BA58" i="3"/>
  <c r="BL59" i="3"/>
  <c r="BL60" i="3"/>
  <c r="BA61" i="3"/>
  <c r="BL69" i="3"/>
  <c r="BA72" i="3"/>
  <c r="AZ72" i="3" s="1"/>
  <c r="BA73" i="3"/>
  <c r="BA80" i="3"/>
  <c r="BL84" i="3"/>
  <c r="BA90" i="3"/>
  <c r="BL94" i="3"/>
  <c r="AZ94" i="3" s="1"/>
  <c r="C47" i="71"/>
  <c r="D47" i="71" s="1"/>
  <c r="D46" i="71"/>
  <c r="V24" i="71"/>
  <c r="E23" i="71"/>
  <c r="E22" i="71" s="1"/>
  <c r="E21" i="71" s="1"/>
  <c r="E20" i="71" s="1"/>
  <c r="G29" i="3"/>
  <c r="BL29" i="3"/>
  <c r="AZ29" i="3" s="1"/>
  <c r="BA37" i="3"/>
  <c r="G39" i="3"/>
  <c r="BL39" i="3"/>
  <c r="AZ39" i="3" s="1"/>
  <c r="G43" i="3"/>
  <c r="G44" i="3"/>
  <c r="BA45" i="3"/>
  <c r="AZ45" i="3" s="1"/>
  <c r="BA46" i="3"/>
  <c r="BL49" i="3"/>
  <c r="BL50" i="3"/>
  <c r="AZ50" i="3" s="1"/>
  <c r="BL51" i="3"/>
  <c r="G53" i="3"/>
  <c r="AZ70" i="3"/>
  <c r="D31" i="71"/>
  <c r="C32" i="71"/>
  <c r="C55" i="71"/>
  <c r="D54" i="71"/>
  <c r="N67" i="71"/>
  <c r="B66" i="71"/>
  <c r="F66" i="71"/>
  <c r="Q67" i="71"/>
  <c r="BL301" i="3"/>
  <c r="AZ301" i="3" s="1"/>
  <c r="BL302" i="3"/>
  <c r="BA114" i="3"/>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AZ25" i="3"/>
  <c r="AZ52" i="3"/>
  <c r="G67" i="3"/>
  <c r="BL68" i="3"/>
  <c r="BA9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D61" i="43"/>
  <c r="P61" i="15"/>
  <c r="C94" i="9"/>
  <c r="C92" i="9"/>
  <c r="C48" i="69"/>
  <c r="C31" i="12"/>
  <c r="C48" i="68"/>
  <c r="C30" i="68"/>
  <c r="C77" i="9"/>
  <c r="C74" i="9" s="1"/>
  <c r="C21" i="69"/>
  <c r="J84" i="43"/>
  <c r="J85" i="43"/>
  <c r="J86" i="43"/>
  <c r="J87" i="43"/>
  <c r="J88" i="43"/>
  <c r="J89" i="43"/>
  <c r="J90" i="43"/>
  <c r="D83" i="43"/>
  <c r="E83" i="43" s="1"/>
  <c r="B81" i="43" s="1"/>
  <c r="D64" i="43"/>
  <c r="D62" i="43"/>
  <c r="D67"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F66" i="67"/>
  <c r="L59" i="15"/>
  <c r="N59" i="15"/>
  <c r="L58" i="15"/>
  <c r="M59" i="15"/>
  <c r="F66" i="15"/>
  <c r="Q71" i="67"/>
  <c r="F64" i="15"/>
  <c r="C27" i="67"/>
  <c r="F71" i="67"/>
  <c r="C27" i="15"/>
  <c r="F65" i="15"/>
  <c r="N59" i="67"/>
  <c r="L59" i="67"/>
  <c r="L58" i="67"/>
  <c r="M59" i="67"/>
  <c r="B13" i="70"/>
  <c r="M7" i="67"/>
  <c r="F50" i="67"/>
  <c r="F68" i="67"/>
  <c r="F64" i="67"/>
  <c r="F68" i="15"/>
  <c r="C36" i="68"/>
  <c r="D9" i="69"/>
  <c r="C36" i="69"/>
  <c r="D9" i="68"/>
  <c r="M22" i="15"/>
  <c r="D4" i="73"/>
  <c r="M6" i="67"/>
  <c r="M22" i="67"/>
  <c r="C16" i="67"/>
  <c r="C16" i="15"/>
  <c r="D5" i="73"/>
  <c r="F9" i="15"/>
  <c r="D3" i="73"/>
  <c r="M6" i="15"/>
  <c r="D7" i="73"/>
  <c r="N370" i="46" l="1"/>
  <c r="J26" i="43"/>
  <c r="N94" i="46"/>
  <c r="H26" i="43"/>
  <c r="F26" i="43"/>
  <c r="D26" i="43" s="1"/>
  <c r="C25" i="43" s="1"/>
  <c r="M68" i="43"/>
  <c r="N68" i="43" s="1"/>
  <c r="K68" i="43"/>
  <c r="J68" i="43" s="1"/>
  <c r="D68" i="43" s="1"/>
  <c r="K61" i="43"/>
  <c r="J61" i="43" s="1"/>
  <c r="M61" i="43"/>
  <c r="N61" i="43" s="1"/>
  <c r="K65" i="43"/>
  <c r="J65" i="43" s="1"/>
  <c r="M65" i="43"/>
  <c r="M62" i="43"/>
  <c r="N62" i="43" s="1"/>
  <c r="K62" i="43"/>
  <c r="J62" i="43" s="1"/>
  <c r="M66" i="43"/>
  <c r="N66" i="43" s="1"/>
  <c r="K66" i="43"/>
  <c r="K63" i="43"/>
  <c r="M63" i="43"/>
  <c r="N63" i="43" s="1"/>
  <c r="K67" i="43"/>
  <c r="J67" i="43" s="1"/>
  <c r="M67" i="43"/>
  <c r="N67" i="43" s="1"/>
  <c r="K69" i="43"/>
  <c r="J69" i="43" s="1"/>
  <c r="M69" i="43"/>
  <c r="N69" i="43" s="1"/>
  <c r="C59" i="83"/>
  <c r="D59" i="83" s="1"/>
  <c r="E59" i="83" s="1"/>
  <c r="F59" i="83" s="1"/>
  <c r="G59" i="83" s="1"/>
  <c r="H59" i="83" s="1"/>
  <c r="I59" i="83" s="1"/>
  <c r="J59" i="83" s="1"/>
  <c r="K59" i="83" s="1"/>
  <c r="L59" i="83" s="1"/>
  <c r="M59" i="83" s="1"/>
  <c r="N59" i="83" s="1"/>
  <c r="O59" i="83" s="1"/>
  <c r="I7" i="83"/>
  <c r="J7" i="83" s="1"/>
  <c r="G7" i="83"/>
  <c r="H7" i="83" s="1"/>
  <c r="E7" i="83"/>
  <c r="F7" i="83" s="1"/>
  <c r="E7" i="34"/>
  <c r="I7" i="34"/>
  <c r="G7" i="34"/>
  <c r="J43" i="34"/>
  <c r="AC43" i="34" s="1"/>
  <c r="AA23" i="34"/>
  <c r="W23" i="34"/>
  <c r="AC23" i="34"/>
  <c r="AC19" i="34"/>
  <c r="W19" i="34"/>
  <c r="AA19" i="34"/>
  <c r="S19" i="34"/>
  <c r="AB19" i="34"/>
  <c r="U19" i="34"/>
  <c r="U15" i="34"/>
  <c r="W15" i="34"/>
  <c r="AC15" i="34"/>
  <c r="AB43" i="34"/>
  <c r="U43" i="34"/>
  <c r="S43" i="34"/>
  <c r="F30" i="11"/>
  <c r="F32" i="67"/>
  <c r="F60" i="67" s="1"/>
  <c r="F54" i="9"/>
  <c r="Q16" i="1"/>
  <c r="F27" i="69" s="1"/>
  <c r="C47" i="69" s="1"/>
  <c r="D45" i="69" s="1"/>
  <c r="H16" i="1"/>
  <c r="K16" i="1"/>
  <c r="G16" i="1"/>
  <c r="F10" i="39" s="1"/>
  <c r="AA10" i="39" s="1"/>
  <c r="J6" i="67"/>
  <c r="J18" i="67" s="1"/>
  <c r="AZ84" i="3"/>
  <c r="T28" i="71"/>
  <c r="D28" i="71"/>
  <c r="U28" i="71" s="1"/>
  <c r="C27" i="71"/>
  <c r="D79" i="71"/>
  <c r="C78" i="71"/>
  <c r="D78" i="71" s="1"/>
  <c r="N65" i="71"/>
  <c r="N66" i="71"/>
  <c r="T32" i="71"/>
  <c r="D32" i="71"/>
  <c r="AZ61" i="3"/>
  <c r="AZ137" i="3"/>
  <c r="D44" i="71"/>
  <c r="T44" i="71"/>
  <c r="AZ59" i="3"/>
  <c r="AZ272" i="3"/>
  <c r="AZ256" i="3"/>
  <c r="AZ491" i="3"/>
  <c r="AZ457" i="3"/>
  <c r="AZ471" i="3"/>
  <c r="AZ550" i="3"/>
  <c r="AC44" i="39"/>
  <c r="W44" i="39"/>
  <c r="AZ403" i="3"/>
  <c r="AZ441" i="3"/>
  <c r="AZ415" i="3"/>
  <c r="AZ398" i="3"/>
  <c r="AZ432" i="3"/>
  <c r="U43" i="39"/>
  <c r="AB43" i="39"/>
  <c r="AB33" i="36"/>
  <c r="U33" i="36"/>
  <c r="AB12" i="34"/>
  <c r="U12" i="34"/>
  <c r="G5" i="3"/>
  <c r="B3" i="3" s="1"/>
  <c r="E510" i="3" s="1"/>
  <c r="D83" i="71"/>
  <c r="C82" i="71"/>
  <c r="D82" i="71" s="1"/>
  <c r="O65" i="71"/>
  <c r="D66" i="71"/>
  <c r="O66" i="71"/>
  <c r="C36" i="71"/>
  <c r="D35" i="71"/>
  <c r="AZ19" i="3"/>
  <c r="AZ41" i="3"/>
  <c r="AZ31" i="3"/>
  <c r="AZ20" i="3"/>
  <c r="AZ483" i="3"/>
  <c r="AZ454" i="3"/>
  <c r="AZ401" i="3"/>
  <c r="AZ414" i="3"/>
  <c r="AC9" i="34"/>
  <c r="W9" i="34"/>
  <c r="AC43" i="39"/>
  <c r="W43" i="39"/>
  <c r="AA25" i="37"/>
  <c r="S25" i="37"/>
  <c r="W12" i="34"/>
  <c r="AC12" i="34"/>
  <c r="C40" i="71"/>
  <c r="D39" i="71"/>
  <c r="AZ49" i="3"/>
  <c r="T52" i="71"/>
  <c r="D52" i="71"/>
  <c r="W12" i="35"/>
  <c r="AC12" i="35"/>
  <c r="AZ429" i="3"/>
  <c r="AB26" i="33"/>
  <c r="U26" i="33"/>
  <c r="U25" i="37"/>
  <c r="AB25" i="37"/>
  <c r="AA27" i="21"/>
  <c r="S27" i="21"/>
  <c r="J6" i="15"/>
  <c r="J18" i="15" s="1"/>
  <c r="C70" i="71"/>
  <c r="D70" i="71" s="1"/>
  <c r="D71" i="71"/>
  <c r="C56" i="71"/>
  <c r="D55" i="71"/>
  <c r="AZ58" i="3"/>
  <c r="AZ182" i="3"/>
  <c r="AZ27" i="3"/>
  <c r="AZ178" i="3"/>
  <c r="AZ118" i="3"/>
  <c r="AZ241" i="3"/>
  <c r="AZ210" i="3"/>
  <c r="AZ274" i="3"/>
  <c r="AZ453" i="3"/>
  <c r="AZ404" i="3"/>
  <c r="AZ425" i="3"/>
  <c r="AZ428" i="3"/>
  <c r="S26" i="33"/>
  <c r="AA26" i="33"/>
  <c r="W27" i="21"/>
  <c r="AC27" i="21"/>
  <c r="J7" i="37"/>
  <c r="K1" i="73"/>
  <c r="E536" i="3"/>
  <c r="E212" i="3"/>
  <c r="E499" i="3"/>
  <c r="R6" i="3"/>
  <c r="E442" i="3"/>
  <c r="E541" i="3"/>
  <c r="E449" i="3"/>
  <c r="E255" i="3"/>
  <c r="E554" i="3"/>
  <c r="E517" i="3"/>
  <c r="E435" i="3"/>
  <c r="E479" i="3"/>
  <c r="E56" i="3"/>
  <c r="E95" i="3"/>
  <c r="E192" i="3"/>
  <c r="E241" i="3"/>
  <c r="E292" i="3"/>
  <c r="E389" i="3"/>
  <c r="E544" i="3"/>
  <c r="E76" i="3"/>
  <c r="E484" i="3"/>
  <c r="E425" i="3"/>
  <c r="E64" i="3"/>
  <c r="E103" i="3"/>
  <c r="E267" i="3"/>
  <c r="E249" i="3"/>
  <c r="E310" i="3"/>
  <c r="E492" i="3"/>
  <c r="E23" i="3"/>
  <c r="E33" i="3"/>
  <c r="E144" i="3"/>
  <c r="E233" i="3"/>
  <c r="E381" i="3"/>
  <c r="E63" i="3"/>
  <c r="E81" i="3"/>
  <c r="E309" i="3"/>
  <c r="E513" i="3"/>
  <c r="E21" i="3"/>
  <c r="E281" i="3"/>
  <c r="E332" i="3"/>
  <c r="AL6" i="3"/>
  <c r="E75" i="3"/>
  <c r="E18" i="3"/>
  <c r="E96" i="3"/>
  <c r="E235"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H10" i="39"/>
  <c r="U10" i="39"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Q60" i="67"/>
  <c r="Q73" i="67"/>
  <c r="M11" i="67"/>
  <c r="J10" i="67" s="1"/>
  <c r="F11" i="15"/>
  <c r="M11" i="15"/>
  <c r="J10" i="15" s="1"/>
  <c r="F11" i="67"/>
  <c r="F1" i="15"/>
  <c r="Q52" i="15"/>
  <c r="F1" i="67"/>
  <c r="Q52" i="67"/>
  <c r="Q60" i="15"/>
  <c r="Q73" i="15"/>
  <c r="Q61" i="67"/>
  <c r="Q74" i="67"/>
  <c r="Q74" i="15"/>
  <c r="Q61" i="15"/>
  <c r="AE11" i="1"/>
  <c r="AE9" i="1"/>
  <c r="AE7" i="1"/>
  <c r="AE8" i="1"/>
  <c r="AE12" i="1"/>
  <c r="AE10" i="1"/>
  <c r="AE6" i="1"/>
  <c r="G1" i="73"/>
  <c r="F27" i="68" l="1"/>
  <c r="C47" i="68" s="1"/>
  <c r="D45" i="68" s="1"/>
  <c r="F28" i="12"/>
  <c r="C29" i="12" s="1"/>
  <c r="D28" i="12" s="1"/>
  <c r="J10" i="39"/>
  <c r="W10" i="39" s="1"/>
  <c r="F27" i="11"/>
  <c r="C29" i="11" s="1"/>
  <c r="D27" i="11" s="1"/>
  <c r="F10" i="40"/>
  <c r="S10" i="40" s="1"/>
  <c r="E25" i="3"/>
  <c r="E419" i="3"/>
  <c r="E376" i="3"/>
  <c r="E507" i="3"/>
  <c r="E564" i="3"/>
  <c r="E116" i="3"/>
  <c r="E329" i="3"/>
  <c r="E80" i="3"/>
  <c r="E35" i="3"/>
  <c r="E190" i="3"/>
  <c r="E356" i="3"/>
  <c r="E41" i="3"/>
  <c r="E470" i="3"/>
  <c r="E556" i="3"/>
  <c r="E512" i="3"/>
  <c r="T6" i="3"/>
  <c r="E197" i="3"/>
  <c r="E308" i="3"/>
  <c r="AF6" i="3"/>
  <c r="E86" i="3"/>
  <c r="E129" i="3"/>
  <c r="E42" i="3"/>
  <c r="E198" i="3"/>
  <c r="E264" i="3"/>
  <c r="E355" i="3"/>
  <c r="E67" i="3"/>
  <c r="E300" i="3"/>
  <c r="E46" i="3"/>
  <c r="E409" i="3"/>
  <c r="E363" i="3"/>
  <c r="E152" i="3"/>
  <c r="E417" i="3"/>
  <c r="I3" i="6"/>
  <c r="E466" i="3"/>
  <c r="E575" i="3"/>
  <c r="J63" i="43"/>
  <c r="D63" i="43"/>
  <c r="J66" i="43"/>
  <c r="D66" i="43"/>
  <c r="N65" i="43"/>
  <c r="D65" i="43"/>
  <c r="S7" i="83"/>
  <c r="AA7" i="83"/>
  <c r="AB7" i="83"/>
  <c r="U7" i="83"/>
  <c r="W7" i="83"/>
  <c r="AC7" i="83"/>
  <c r="W43" i="34"/>
  <c r="C48" i="11"/>
  <c r="C30" i="11"/>
  <c r="F45" i="69"/>
  <c r="C29" i="69"/>
  <c r="D27" i="69" s="1"/>
  <c r="J5" i="67"/>
  <c r="J24" i="67" s="1"/>
  <c r="E3" i="6"/>
  <c r="H10" i="40"/>
  <c r="AB10" i="40" s="1"/>
  <c r="J10" i="40"/>
  <c r="AC10" i="40" s="1"/>
  <c r="J5" i="15"/>
  <c r="J24" i="15" s="1"/>
  <c r="E174" i="3"/>
  <c r="E482" i="3"/>
  <c r="E391" i="3"/>
  <c r="E494" i="3"/>
  <c r="E283" i="3"/>
  <c r="E68" i="3"/>
  <c r="E184" i="3"/>
  <c r="E84" i="3"/>
  <c r="E371" i="3"/>
  <c r="E160" i="3"/>
  <c r="E467" i="3"/>
  <c r="E59" i="3"/>
  <c r="E349" i="3"/>
  <c r="E258" i="3"/>
  <c r="E37" i="3"/>
  <c r="E491" i="3"/>
  <c r="AP6" i="3"/>
  <c r="E430" i="3"/>
  <c r="E502" i="3"/>
  <c r="E286" i="3"/>
  <c r="E539" i="3"/>
  <c r="D36" i="71"/>
  <c r="T36" i="71"/>
  <c r="E199" i="3"/>
  <c r="D56" i="71"/>
  <c r="T5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53" i="15"/>
  <c r="C48" i="15" s="1"/>
  <c r="C66" i="15" s="1"/>
  <c r="F41" i="67"/>
  <c r="F41" i="15"/>
  <c r="M27" i="67"/>
  <c r="M27" i="15"/>
  <c r="F45" i="68" l="1"/>
  <c r="C29" i="68"/>
  <c r="D27" i="68" s="1"/>
  <c r="AC6" i="3"/>
  <c r="E6" i="3" s="1"/>
  <c r="B14" i="74"/>
  <c r="B1" i="74" s="1"/>
  <c r="C34" i="83"/>
  <c r="C34" i="34"/>
  <c r="E61" i="43"/>
  <c r="B59" i="43" s="1"/>
  <c r="C28" i="43" s="1"/>
  <c r="F69" i="67"/>
  <c r="F25" i="12"/>
  <c r="C26" i="12" s="1"/>
  <c r="D25" i="12" s="1"/>
  <c r="U10" i="40"/>
  <c r="F22" i="68"/>
  <c r="D116" i="43"/>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H22" i="6" l="1"/>
  <c r="H25" i="6"/>
  <c r="R25" i="6" s="1"/>
  <c r="R12" i="1" s="1"/>
  <c r="D30" i="6"/>
  <c r="H21" i="6"/>
  <c r="H34" i="34"/>
  <c r="F34" i="34"/>
  <c r="J34" i="34"/>
  <c r="F34" i="83"/>
  <c r="H34" i="83"/>
  <c r="J34" i="83"/>
  <c r="T15" i="43"/>
  <c r="V15" i="43" s="1"/>
  <c r="T7" i="43"/>
  <c r="V7" i="43" s="1"/>
  <c r="T10" i="43"/>
  <c r="V10" i="43" s="1"/>
  <c r="T2" i="43"/>
  <c r="V2" i="43" s="1"/>
  <c r="C40" i="43"/>
  <c r="C42" i="43"/>
  <c r="C38" i="43"/>
  <c r="T13" i="43"/>
  <c r="V13" i="43" s="1"/>
  <c r="T16" i="43"/>
  <c r="V16" i="43" s="1"/>
  <c r="T8" i="43"/>
  <c r="V8" i="43" s="1"/>
  <c r="T6" i="43"/>
  <c r="V6" i="43" s="1"/>
  <c r="C37" i="43"/>
  <c r="T11" i="43"/>
  <c r="V11" i="43" s="1"/>
  <c r="T14" i="43"/>
  <c r="V14" i="43" s="1"/>
  <c r="T4" i="43"/>
  <c r="V4" i="43" s="1"/>
  <c r="T5" i="43"/>
  <c r="V5" i="43" s="1"/>
  <c r="C41" i="43"/>
  <c r="T9" i="43"/>
  <c r="V9" i="43" s="1"/>
  <c r="T12" i="43"/>
  <c r="V12" i="43" s="1"/>
  <c r="T3" i="43"/>
  <c r="V3" i="43" s="1"/>
  <c r="C33" i="43"/>
  <c r="C39" i="43"/>
  <c r="C44" i="11"/>
  <c r="D41" i="11" s="1"/>
  <c r="C26" i="68"/>
  <c r="D22" i="68" s="1"/>
  <c r="C44" i="68"/>
  <c r="D41" i="68" s="1"/>
  <c r="F41" i="68"/>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J19" i="67"/>
  <c r="C34" i="68"/>
  <c r="C14" i="15"/>
  <c r="E2" i="70" l="1"/>
  <c r="AC34" i="34"/>
  <c r="V49" i="34" s="1"/>
  <c r="I49" i="34" s="1"/>
  <c r="W34" i="34"/>
  <c r="AC34" i="83"/>
  <c r="V49" i="83" s="1"/>
  <c r="I49" i="83" s="1"/>
  <c r="I53" i="83" s="1"/>
  <c r="J53" i="83" s="1"/>
  <c r="W34" i="83"/>
  <c r="AA34" i="34"/>
  <c r="R49" i="34" s="1"/>
  <c r="S34" i="34"/>
  <c r="U34" i="83"/>
  <c r="AB34" i="83"/>
  <c r="T49" i="83" s="1"/>
  <c r="G49" i="83" s="1"/>
  <c r="AB34" i="34"/>
  <c r="T49" i="34" s="1"/>
  <c r="G49" i="34" s="1"/>
  <c r="G53" i="34" s="1"/>
  <c r="H53" i="34" s="1"/>
  <c r="U34" i="34"/>
  <c r="AA34" i="83"/>
  <c r="R49" i="83" s="1"/>
  <c r="S34" i="83"/>
  <c r="E38" i="43"/>
  <c r="G38" i="43"/>
  <c r="I38" i="43" s="1"/>
  <c r="G39" i="43"/>
  <c r="I39" i="43" s="1"/>
  <c r="E39" i="43"/>
  <c r="E42" i="43"/>
  <c r="G42" i="43"/>
  <c r="I42" i="43" s="1"/>
  <c r="C34" i="43"/>
  <c r="E34" i="43" s="1"/>
  <c r="E33" i="43"/>
  <c r="G41" i="43"/>
  <c r="I41" i="43" s="1"/>
  <c r="E41" i="43"/>
  <c r="E40" i="43"/>
  <c r="G40" i="43"/>
  <c r="I40" i="43" s="1"/>
  <c r="E37" i="43"/>
  <c r="G37" i="43"/>
  <c r="I37" i="43" s="1"/>
  <c r="C6" i="69"/>
  <c r="C7" i="69" s="1"/>
  <c r="C8" i="69"/>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G54" i="83"/>
  <c r="H54" i="83" s="1"/>
  <c r="G53" i="83"/>
  <c r="H53" i="83" s="1"/>
  <c r="R50" i="83"/>
  <c r="E49" i="83"/>
  <c r="R50" i="34"/>
  <c r="E49" i="34"/>
  <c r="G54" i="34"/>
  <c r="H54" i="34" s="1"/>
  <c r="I53" i="34"/>
  <c r="J53" i="34" s="1"/>
  <c r="C30" i="43"/>
  <c r="C5" i="69"/>
  <c r="C23" i="69" s="1"/>
  <c r="F31"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C20" i="69" l="1"/>
  <c r="C28" i="69" s="1"/>
  <c r="C27" i="69" s="1"/>
  <c r="I54" i="83"/>
  <c r="J54" i="83" s="1"/>
  <c r="E53" i="83"/>
  <c r="F53" i="83" s="1"/>
  <c r="E54" i="83"/>
  <c r="F54" i="83" s="1"/>
  <c r="C49" i="83"/>
  <c r="C50" i="83"/>
  <c r="E54" i="34"/>
  <c r="F54" i="34" s="1"/>
  <c r="E53" i="34"/>
  <c r="F53" i="34" s="1"/>
  <c r="I54" i="34"/>
  <c r="J54" i="34" s="1"/>
  <c r="C49" i="34"/>
  <c r="C50" i="34"/>
  <c r="E2" i="76"/>
  <c r="B2" i="43"/>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F35" i="15"/>
  <c r="M21" i="67"/>
  <c r="B6" i="76"/>
  <c r="M21" i="15"/>
  <c r="F35" i="67"/>
  <c r="C25" i="69" l="1"/>
  <c r="C22" i="69" s="1"/>
  <c r="C31" i="69" s="1"/>
  <c r="B3" i="83"/>
  <c r="B2" i="83"/>
  <c r="B2" i="76"/>
  <c r="B3" i="76" s="1"/>
  <c r="B3" i="43"/>
  <c r="C27" i="12"/>
  <c r="C25" i="12" s="1"/>
  <c r="C32" i="12" s="1"/>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F6" i="15"/>
  <c r="F6" i="67"/>
  <c r="C52" i="69" l="1"/>
  <c r="B2" i="69" s="1"/>
  <c r="B3" i="69" s="1"/>
  <c r="C6" i="15"/>
  <c r="C6" i="67"/>
  <c r="C52" i="68"/>
  <c r="B2" i="68" s="1"/>
  <c r="B3" i="68"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M69" i="39"/>
  <c r="N67" i="39"/>
  <c r="R39" i="35"/>
  <c r="E38" i="35"/>
  <c r="M63" i="40"/>
  <c r="L65" i="40"/>
  <c r="D2" i="21"/>
  <c r="C57" i="69" l="1"/>
  <c r="C56" i="69" s="1"/>
  <c r="C32" i="15"/>
  <c r="C10" i="15"/>
  <c r="C5" i="15" s="1"/>
  <c r="C38" i="15" s="1"/>
  <c r="C33" i="15"/>
  <c r="C10" i="67"/>
  <c r="C5" i="67" s="1"/>
  <c r="C38" i="67" s="1"/>
  <c r="C32" i="67"/>
  <c r="C33" i="67"/>
  <c r="C57" i="68"/>
  <c r="C56" i="68" s="1"/>
  <c r="C10" i="71"/>
  <c r="D11"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C31" i="15" l="1"/>
  <c r="C30" i="15" s="1"/>
  <c r="C39" i="15" s="1"/>
  <c r="Q69" i="15" s="1"/>
  <c r="Q68" i="15" s="1"/>
  <c r="C31" i="67"/>
  <c r="C30" i="67" s="1"/>
  <c r="C39" i="67" s="1"/>
  <c r="D10" i="71"/>
  <c r="C9" i="71"/>
  <c r="L57" i="67"/>
  <c r="L60" i="67" s="1"/>
  <c r="L46" i="67" s="1"/>
  <c r="B2" i="33"/>
  <c r="B3" i="33" s="1"/>
  <c r="H7" i="39"/>
  <c r="J7" i="39"/>
  <c r="S7" i="39"/>
  <c r="AA7" i="39"/>
  <c r="R47" i="39" s="1"/>
  <c r="O63" i="40"/>
  <c r="O65" i="40" s="1"/>
  <c r="N65" i="40"/>
  <c r="D2" i="37"/>
  <c r="L51" i="67"/>
  <c r="D2" i="36"/>
  <c r="L51" i="15"/>
  <c r="D2" i="34"/>
  <c r="D2" i="35"/>
  <c r="C40" i="15" l="1"/>
  <c r="C46" i="15" s="1"/>
  <c r="C80" i="15"/>
  <c r="C79" i="15" s="1"/>
  <c r="Q67" i="67"/>
  <c r="Q69" i="67"/>
  <c r="Q68" i="67" s="1"/>
  <c r="C80" i="67"/>
  <c r="C79" i="67" s="1"/>
  <c r="C40" i="67"/>
  <c r="D2" i="67" s="1"/>
  <c r="C8" i="71"/>
  <c r="D9" i="71"/>
  <c r="Q57" i="67"/>
  <c r="Q66" i="67"/>
  <c r="L57" i="15"/>
  <c r="L60" i="15" s="1"/>
  <c r="Q57" i="15" s="1"/>
  <c r="Q67" i="15"/>
  <c r="B2" i="36"/>
  <c r="B3" i="36" s="1"/>
  <c r="B2" i="35"/>
  <c r="B3" i="35" s="1"/>
  <c r="M3" i="35"/>
  <c r="B2" i="37"/>
  <c r="B3" i="37" s="1"/>
  <c r="B2" i="34"/>
  <c r="C43" i="15"/>
  <c r="Q56" i="15"/>
  <c r="W7" i="39"/>
  <c r="AC7" i="39"/>
  <c r="V47" i="39" s="1"/>
  <c r="I47" i="39" s="1"/>
  <c r="E47" i="39"/>
  <c r="R48" i="39"/>
  <c r="U7" i="39"/>
  <c r="AB7" i="39"/>
  <c r="T47" i="39" s="1"/>
  <c r="G47" i="39" s="1"/>
  <c r="J7" i="40"/>
  <c r="F7" i="40"/>
  <c r="H7" i="40"/>
  <c r="AO11" i="1"/>
  <c r="AO8" i="1"/>
  <c r="AO9" i="1"/>
  <c r="AO10" i="1"/>
  <c r="AO12" i="1"/>
  <c r="AO7" i="1"/>
  <c r="C19" i="9"/>
  <c r="C83" i="15" l="1"/>
  <c r="C82" i="15" s="1"/>
  <c r="Q47" i="15"/>
  <c r="Q53" i="15" s="1"/>
  <c r="Q65" i="15"/>
  <c r="B2" i="67"/>
  <c r="B3" i="67"/>
  <c r="C45" i="67"/>
  <c r="C46" i="67" s="1"/>
  <c r="Q47" i="67"/>
  <c r="Q53" i="67" s="1"/>
  <c r="Q65" i="67"/>
  <c r="Q75" i="67" s="1"/>
  <c r="Q56" i="67"/>
  <c r="Q62" i="67" s="1"/>
  <c r="C83" i="67"/>
  <c r="C82" i="67" s="1"/>
  <c r="C43" i="67"/>
  <c r="C102" i="9"/>
  <c r="C21" i="9"/>
  <c r="B3" i="34"/>
  <c r="C7" i="71"/>
  <c r="D8" i="71"/>
  <c r="L46" i="15"/>
  <c r="B2" i="15" s="1"/>
  <c r="B3" i="15" s="1"/>
  <c r="Q66" i="15"/>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AO6" i="1"/>
  <c r="D35" i="9"/>
  <c r="D19" i="9"/>
  <c r="D20" i="9"/>
  <c r="C20" i="9"/>
  <c r="Q75" i="15" l="1"/>
  <c r="D103" i="9"/>
  <c r="D102" i="9"/>
  <c r="D21" i="9"/>
  <c r="D22" i="9"/>
  <c r="G19" i="9"/>
  <c r="B6" i="70"/>
  <c r="B2" i="70" s="1"/>
  <c r="B3" i="70" s="1"/>
  <c r="C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4" i="74" l="1"/>
  <c r="G14" i="74" s="1"/>
  <c r="K23" i="9"/>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H118" i="9" l="1"/>
  <c r="I4" i="52"/>
  <c r="E118" i="9"/>
  <c r="H102" i="9"/>
  <c r="F118" i="9"/>
  <c r="F119" i="9" l="1"/>
  <c r="F5" i="52" s="1"/>
  <c r="B53" i="72" s="1"/>
  <c r="F4" i="52"/>
  <c r="B51" i="72" s="1"/>
  <c r="C5" i="74"/>
  <c r="D7" i="53"/>
  <c r="B21" i="72" s="1"/>
  <c r="E4" i="52"/>
  <c r="B48" i="72" s="1"/>
  <c r="D118" i="9"/>
  <c r="H119" i="9"/>
  <c r="H5" i="52" s="1"/>
  <c r="H101" i="9"/>
  <c r="C104" i="9"/>
  <c r="H4" i="52"/>
  <c r="H107" i="9" l="1"/>
  <c r="D5" i="53"/>
  <c r="M48" i="9"/>
  <c r="D45" i="9"/>
  <c r="D4" i="52"/>
  <c r="B47" i="72" s="1"/>
  <c r="D119" i="9"/>
  <c r="D5" i="52" s="1"/>
  <c r="B49" i="72" s="1"/>
  <c r="D55" i="9" l="1"/>
  <c r="M53" i="9" s="1"/>
  <c r="D52" i="9"/>
  <c r="D53" i="9"/>
  <c r="C93" i="9"/>
  <c r="C86" i="9" s="1"/>
  <c r="C72" i="9"/>
  <c r="C78" i="9"/>
  <c r="C73" i="9" s="1"/>
  <c r="C64" i="9"/>
  <c r="C63" i="9" s="1"/>
  <c r="C67" i="9" s="1"/>
  <c r="C85" i="9"/>
  <c r="D6" i="53"/>
  <c r="B22" i="72" s="1"/>
  <c r="B20" i="72"/>
  <c r="D122" i="9"/>
  <c r="H108" i="9"/>
  <c r="M49" i="9"/>
  <c r="D13" i="53"/>
  <c r="C95" i="9" l="1"/>
  <c r="C96" i="9" s="1"/>
  <c r="E96" i="9" s="1"/>
  <c r="E97" i="9" s="1"/>
  <c r="C79" i="9"/>
  <c r="C80" i="9" s="1"/>
  <c r="E80" i="9" s="1"/>
  <c r="E81" i="9" s="1"/>
  <c r="C6" i="74"/>
  <c r="D15" i="53"/>
  <c r="B31" i="72" s="1"/>
  <c r="D123" i="9"/>
  <c r="D9" i="52" s="1"/>
  <c r="D8" i="52"/>
  <c r="C68" i="9"/>
  <c r="D54" i="9" s="1"/>
  <c r="D48" i="9" s="1"/>
  <c r="M52" i="9" s="1"/>
  <c r="D59" i="9"/>
  <c r="M55" i="9" s="1"/>
  <c r="L65" i="9"/>
  <c r="M65" i="9" s="1"/>
  <c r="L66" i="9"/>
  <c r="M66" i="9" s="1"/>
  <c r="L67" i="9"/>
  <c r="M67" i="9" s="1"/>
  <c r="L68" i="9"/>
  <c r="M68" i="9" s="1"/>
  <c r="L64" i="9"/>
  <c r="M64" i="9" s="1"/>
  <c r="L63" i="9"/>
  <c r="M63" i="9" s="1"/>
  <c r="B30" i="72"/>
  <c r="D14" i="53"/>
  <c r="B32" i="72" s="1"/>
  <c r="C97" i="9" l="1"/>
  <c r="C81" i="9"/>
  <c r="M69" i="9"/>
  <c r="N69" i="9" s="1"/>
  <c r="D58" i="9" l="1"/>
  <c r="D56" i="9" s="1"/>
  <c r="M54" i="9" s="1"/>
  <c r="N57" i="9" s="1"/>
  <c r="N59" i="9" s="1"/>
  <c r="N60" i="9" l="1"/>
  <c r="I14" i="74"/>
  <c r="B8" i="74" s="1"/>
  <c r="N61" i="9"/>
  <c r="N58" i="9"/>
  <c r="P57"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<sst xmlns="http://schemas.openxmlformats.org/spreadsheetml/2006/main" count="8332" uniqueCount="3523">
  <si>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</si>
  <si>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</si>
  <si>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</si>
  <si>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</si>
  <si>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</si>
  <si>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</si>
  <si>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</si>
  <si>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</si>
  <si>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</si>
  <si>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</si>
  <si>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</si>
  <si>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</si>
  <si>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</si>
  <si>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</si>
  <si>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</si>
  <si>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</si>
  <si>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</si>
  <si>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</si>
  <si>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</si>
  <si>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</si>
  <si>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</si>
  <si>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</si>
  <si>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</si>
  <si>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</si>
  <si>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</si>
  <si>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</si>
  <si>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</si>
  <si>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</si>
  <si>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</si>
  <si>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</si>
  <si>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</si>
  <si>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</si>
  <si>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</si>
  <si>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</si>
  <si>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</si>
  <si>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</si>
  <si>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</si>
  <si>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</si>
  <si>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</si>
  <si>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</si>
  <si>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</si>
  <si>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</si>
  <si>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</si>
  <si>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</si>
  <si>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</si>
  <si>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</si>
  <si>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</si>
  <si>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</si>
  <si>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</si>
  <si>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</si>
  <si>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</si>
  <si>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</si>
  <si>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</si>
  <si>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</si>
  <si>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</si>
  <si>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</si>
  <si>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</si>
  <si>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</si>
  <si>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</si>
  <si>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</si>
  <si>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</si>
  <si>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</si>
  <si>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</si>
  <si>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</si>
  <si>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</si>
  <si>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</si>
  <si>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</si>
  <si>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</si>
  <si>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</si>
  <si>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</si>
  <si>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</si>
  <si>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</si>
  <si>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</si>
  <si>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</si>
  <si>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</si>
  <si>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</si>
  <si>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</si>
  <si>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</si>
  <si>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</si>
  <si>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</si>
  <si>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</si>
  <si>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</si>
  <si>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</si>
  <si>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</si>
  <si>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</si>
  <si>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</si>
  <si>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</si>
  <si>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</si>
  <si>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</si>
  <si>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</si>
  <si>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</si>
  <si>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</si>
  <si>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</si>
  <si>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</si>
  <si>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</si>
  <si>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</si>
  <si>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</si>
  <si>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</si>
  <si>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</si>
  <si>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</si>
  <si>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</si>
  <si>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</si>
  <si>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</si>
  <si>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</si>
  <si>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</si>
  <si>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</si>
  <si>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</si>
  <si>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</si>
  <si>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</si>
  <si>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</si>
  <si>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</si>
  <si>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</si>
  <si>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</si>
  <si>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</si>
  <si>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</si>
  <si>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</si>
  <si>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</si>
  <si>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</si>
  <si>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</si>
  <si>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</si>
  <si>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</si>
  <si>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</si>
  <si>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</si>
  <si>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</si>
  <si>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</si>
  <si>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</si>
  <si>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</si>
  <si>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</si>
  <si>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</si>
  <si>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</si>
  <si>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</si>
  <si>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</si>
  <si>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</si>
  <si>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</si>
  <si>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</si>
  <si>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</si>
  <si>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</si>
  <si>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</si>
  <si>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</si>
  <si>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</si>
  <si>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</si>
  <si>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</si>
  <si>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</si>
  <si>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</si>
  <si>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</si>
  <si>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</si>
  <si>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</si>
  <si>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</si>
  <si>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</si>
  <si>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</si>
  <si>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</si>
  <si>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</si>
  <si>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</si>
  <si>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</si>
  <si>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</si>
  <si>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</si>
  <si>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</si>
  <si>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</si>
  <si>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</si>
  <si>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</si>
  <si>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</si>
  <si>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</si>
  <si>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</si>
  <si>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</si>
  <si>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</si>
  <si>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</si>
  <si>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</si>
  <si>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</si>
  <si>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</si>
  <si>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</si>
  <si>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</si>
  <si>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</si>
  <si>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</si>
  <si>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</si>
  <si>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</si>
  <si>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</si>
  <si>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</si>
  <si>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</si>
  <si>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</si>
  <si>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</si>
  <si>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</si>
  <si>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</si>
  <si>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</si>
  <si>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</si>
  <si>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</si>
  <si>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</si>
  <si>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</si>
  <si>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</si>
  <si>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</si>
  <si>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</si>
  <si>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</si>
  <si>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</si>
  <si>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</si>
  <si>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</si>
  <si>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</si>
  <si>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</si>
  <si>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</si>
  <si>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</si>
  <si>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</si>
  <si>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</si>
  <si>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</si>
  <si>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</si>
  <si>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</si>
  <si>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</si>
  <si>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</si>
  <si>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</si>
  <si>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</si>
  <si>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</si>
  <si>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</si>
  <si>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</si>
  <si>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</si>
  <si>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</si>
  <si>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</si>
  <si>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</si>
  <si>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</si>
  <si>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</si>
  <si>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</si>
  <si>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</si>
  <si>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</si>
  <si>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</si>
  <si>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</si>
  <si>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</si>
  <si>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</si>
  <si>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</si>
  <si>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</si>
  <si>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</si>
  <si>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</si>
  <si>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</si>
  <si>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</si>
  <si>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</si>
  <si>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</si>
  <si>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</si>
  <si>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</si>
  <si>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</si>
  <si>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</si>
  <si>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</si>
  <si>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</si>
  <si>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</si>
  <si>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</si>
  <si>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</si>
  <si>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</si>
  <si>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</si>
  <si>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</si>
  <si>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</si>
  <si>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</si>
  <si>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</si>
  <si>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</si>
  <si>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</si>
  <si>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</si>
  <si>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</si>
  <si>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</si>
  <si>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</si>
  <si>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</si>
  <si>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</si>
  <si>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</si>
  <si>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</si>
  <si>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</si>
  <si>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</si>
  <si>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</si>
  <si>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</si>
  <si>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</si>
  <si>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</si>
  <si>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</si>
  <si>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</si>
  <si>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</si>
  <si>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</si>
  <si>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</si>
  <si>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</si>
  <si>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</si>
  <si>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</si>
  <si>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</si>
  <si>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</si>
  <si>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</si>
  <si>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</si>
  <si>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</si>
  <si>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</si>
  <si>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</si>
  <si>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</si>
  <si>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</si>
  <si>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</si>
  <si>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</si>
  <si>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</si>
  <si>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</si>
  <si>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</si>
  <si>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</si>
  <si>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</si>
  <si>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</si>
  <si>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</si>
  <si>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</si>
  <si>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</si>
  <si>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</si>
  <si>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</si>
  <si>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</si>
  <si>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</si>
  <si>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</si>
  <si>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</si>
  <si>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</si>
  <si>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</si>
  <si>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</si>
  <si>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</si>
  <si>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</si>
  <si>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</si>
  <si>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</si>
  <si>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</si>
  <si>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</si>
  <si>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</si>
  <si>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</si>
  <si>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</si>
  <si>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</si>
  <si>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</si>
  <si>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</si>
  <si>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</si>
  <si>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</si>
  <si>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</si>
  <si>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</si>
  <si>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</si>
  <si>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</si>
  <si>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</si>
  <si>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</si>
  <si>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</si>
  <si>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</si>
  <si>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</si>
  <si>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</si>
  <si>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</si>
  <si>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</si>
  <si>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</si>
  <si>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</si>
  <si>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</si>
  <si>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</si>
  <si>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</si>
  <si>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</si>
  <si>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</si>
  <si>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</si>
  <si>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</si>
  <si>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</si>
  <si>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</si>
  <si>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</si>
  <si>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</si>
  <si>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</si>
  <si>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</si>
  <si>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</si>
  <si>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</si>
  <si>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</si>
  <si>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</si>
  <si>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</si>
  <si>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</si>
  <si>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</si>
  <si>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</si>
  <si>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</si>
  <si>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</si>
  <si>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</si>
  <si>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</si>
  <si>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</si>
  <si>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</si>
  <si>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</si>
  <si>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</si>
  <si>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</si>
  <si>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</si>
  <si>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</si>
  <si>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</si>
  <si>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</si>
  <si>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</si>
  <si>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</si>
  <si>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</si>
  <si>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</si>
  <si>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</si>
  <si>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</si>
  <si>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</si>
  <si>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</si>
  <si>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</si>
  <si>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</si>
  <si>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</si>
  <si>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</si>
  <si>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</si>
  <si>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</si>
  <si>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</si>
  <si>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</si>
  <si>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</si>
  <si>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</si>
  <si>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</si>
  <si>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</si>
  <si>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</si>
  <si>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</si>
  <si>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</si>
  <si>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</si>
  <si>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</si>
  <si>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</si>
  <si>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</si>
  <si>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</si>
  <si>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</si>
  <si>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</si>
  <si>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</si>
  <si>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</si>
  <si>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</si>
  <si>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</si>
  <si>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</si>
  <si>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</si>
  <si>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</si>
  <si>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</si>
  <si>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</si>
  <si>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</si>
  <si>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</si>
  <si>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</si>
  <si>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</si>
  <si>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</si>
  <si>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</si>
  <si>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</si>
  <si>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</si>
  <si>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</si>
  <si>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</si>
  <si>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</si>
  <si>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</si>
  <si>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</si>
  <si>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</si>
  <si>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</si>
  <si>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</si>
  <si>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</si>
  <si>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</si>
  <si>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</si>
  <si>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</si>
  <si>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</si>
  <si>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</si>
  <si>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</si>
  <si>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</si>
  <si>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</si>
  <si>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</si>
  <si>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</si>
  <si>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</si>
  <si>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</si>
  <si>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</si>
  <si>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</si>
  <si>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</si>
  <si>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</si>
  <si>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</si>
  <si>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</si>
  <si>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</si>
  <si>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</si>
  <si>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</si>
  <si>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</si>
  <si>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</si>
  <si>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</si>
  <si>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</si>
  <si>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</si>
  <si>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</si>
  <si>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</si>
  <si>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</si>
  <si>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</si>
  <si>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</si>
  <si>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</si>
  <si>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</si>
  <si>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</si>
  <si>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</si>
  <si>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</si>
  <si>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</si>
  <si>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</si>
  <si>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</si>
  <si>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</si>
  <si>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</si>
  <si>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</si>
  <si>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</si>
  <si>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</si>
  <si>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</si>
  <si>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</si>
  <si>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</si>
  <si>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</si>
  <si>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</si>
  <si>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</si>
  <si>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</si>
  <si>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</si>
  <si>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</si>
  <si>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</si>
  <si>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</si>
  <si>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</si>
  <si>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</si>
  <si>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</si>
  <si>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</si>
  <si>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</si>
  <si>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</si>
  <si>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</si>
  <si>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</si>
  <si>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</si>
  <si>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</si>
  <si>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</si>
  <si>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</si>
  <si>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</si>
  <si>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</si>
  <si>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</si>
  <si>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</si>
  <si>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</si>
  <si>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</si>
  <si>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</si>
  <si>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</si>
  <si>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</si>
  <si>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</si>
  <si>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</si>
  <si>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</si>
  <si>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</si>
  <si>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</si>
  <si>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</si>
  <si>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</si>
  <si>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</si>
  <si>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</si>
  <si>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</si>
  <si>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</si>
  <si>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</si>
  <si>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</si>
  <si>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</si>
  <si>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</si>
  <si>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</si>
  <si>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</si>
  <si>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</si>
  <si>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</si>
  <si>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</si>
  <si>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</si>
  <si>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</si>
  <si>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</si>
  <si>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</si>
  <si>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</si>
  <si>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</si>
  <si>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</si>
  <si>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</si>
  <si>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</si>
  <si>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</si>
  <si>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</si>
  <si>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</si>
  <si>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</si>
  <si>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</si>
  <si>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</si>
  <si>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</si>
  <si>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</si>
  <si>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</si>
  <si>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</si>
  <si>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</si>
  <si>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</si>
  <si>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</si>
  <si>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</si>
  <si>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</si>
  <si>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</si>
  <si>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</si>
  <si>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</si>
  <si>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</si>
  <si>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</si>
  <si>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</si>
  <si>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</si>
  <si>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</si>
  <si>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</si>
  <si>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</si>
  <si>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</si>
  <si>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</si>
  <si>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</si>
  <si>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</si>
  <si>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</si>
  <si>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</si>
  <si>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</si>
  <si>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</si>
  <si>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</si>
  <si>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</si>
  <si>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</si>
  <si>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</si>
  <si>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</si>
  <si>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</si>
  <si>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</si>
  <si>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</si>
  <si>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</si>
  <si>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</si>
  <si>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</si>
  <si>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</si>
  <si>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</si>
  <si>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</si>
  <si>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</si>
  <si>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</si>
  <si>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</si>
  <si>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</si>
  <si>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</si>
  <si>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</si>
  <si>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</si>
  <si>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</si>
  <si>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</si>
  <si>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</si>
  <si>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</si>
  <si>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</si>
  <si>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</si>
  <si>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</si>
  <si>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</si>
  <si>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</si>
  <si>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</si>
  <si>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</si>
  <si>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</si>
  <si>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</si>
  <si>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</si>
  <si>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</si>
  <si>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</si>
  <si>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</si>
  <si>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</si>
  <si>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</si>
  <si>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</si>
  <si>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</si>
  <si>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</si>
  <si>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</si>
  <si>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</si>
  <si>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</si>
  <si>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</si>
  <si>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</si>
  <si>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</si>
  <si>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</si>
  <si>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</si>
  <si>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</si>
  <si>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</si>
  <si>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</si>
  <si>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</si>
  <si>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</si>
  <si>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</si>
  <si>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</si>
  <si>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</si>
  <si>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</si>
  <si>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</si>
  <si>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</si>
  <si>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</si>
  <si>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</si>
  <si>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</si>
  <si>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</si>
  <si>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</si>
  <si>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</si>
  <si>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</si>
  <si>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</si>
  <si>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</si>
  <si>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</si>
  <si>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</si>
  <si>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</si>
  <si>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</si>
  <si>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</si>
  <si>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</si>
  <si>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</si>
  <si>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</si>
  <si>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</si>
  <si>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</si>
  <si>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</si>
  <si>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</si>
  <si>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</si>
  <si>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</si>
  <si>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</si>
  <si>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</si>
  <si>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</si>
  <si>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</si>
  <si>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</si>
  <si>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</si>
  <si>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</si>
  <si>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</si>
  <si>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</si>
  <si>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</si>
  <si>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</si>
  <si>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</si>
  <si>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</si>
  <si>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</si>
  <si>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</si>
  <si>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</si>
  <si>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</si>
  <si>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</si>
  <si>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</si>
  <si>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</si>
  <si>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</si>
  <si>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</si>
  <si>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</si>
  <si>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</si>
  <si>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</si>
  <si>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</si>
  <si>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</si>
  <si>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</si>
  <si>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</si>
  <si>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</si>
  <si>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</si>
  <si>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</si>
  <si>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</si>
  <si>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</si>
  <si>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</si>
  <si>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</si>
  <si>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</si>
  <si>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</si>
  <si>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</si>
  <si>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</si>
  <si>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</si>
  <si>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</si>
  <si>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</si>
  <si>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</si>
  <si>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</si>
  <si>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</si>
  <si>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</si>
  <si>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</si>
  <si>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</si>
  <si>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</si>
  <si>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</si>
  <si>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</si>
  <si>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</si>
  <si>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</si>
  <si>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</si>
  <si>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</si>
  <si>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</si>
  <si>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</si>
  <si>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</si>
  <si>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</si>
  <si>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</si>
  <si>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</si>
  <si>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</si>
  <si>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</si>
  <si>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</si>
  <si>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</si>
  <si>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</si>
  <si>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</si>
  <si>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</si>
  <si>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</si>
  <si>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</si>
  <si>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</si>
  <si>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</si>
  <si>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</si>
  <si>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</si>
  <si>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</si>
  <si>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</si>
  <si>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</si>
  <si>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</si>
  <si>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</si>
  <si>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</si>
  <si>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</si>
  <si>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</si>
  <si>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</si>
  <si>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</si>
  <si>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</si>
  <si>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</si>
  <si>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</si>
  <si>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</si>
  <si>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</si>
  <si>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</si>
  <si>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</si>
  <si>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</si>
  <si>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</si>
  <si>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</si>
  <si>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</si>
  <si>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</si>
  <si>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</si>
  <si>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</si>
  <si>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</si>
  <si>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</si>
  <si>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</si>
  <si>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</si>
  <si>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</si>
  <si>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</si>
  <si>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</si>
  <si>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</si>
  <si>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</si>
  <si>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</si>
  <si>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</si>
  <si>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</si>
  <si>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</si>
  <si>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</si>
  <si>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</si>
  <si>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</si>
  <si>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</si>
  <si>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</si>
  <si>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</si>
  <si>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</si>
  <si>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</si>
  <si>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</si>
  <si>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</si>
  <si>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</si>
  <si>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</si>
  <si>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</si>
  <si>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</si>
  <si>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</si>
  <si>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</si>
  <si>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</si>
  <si>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</si>
  <si>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</si>
  <si>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</si>
  <si>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</si>
  <si>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</si>
  <si>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</si>
  <si>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</si>
  <si>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</si>
  <si>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</si>
  <si>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</si>
  <si>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</si>
  <si>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</si>
  <si>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</si>
  <si>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</si>
  <si>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</si>
  <si>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</si>
  <si>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</si>
  <si>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</si>
  <si>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</si>
  <si>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</si>
  <si>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</si>
  <si>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</si>
  <si>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</si>
  <si>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</si>
  <si>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</si>
  <si>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</si>
  <si>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</si>
  <si>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</si>
  <si>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</si>
  <si>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</si>
  <si>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</si>
  <si>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</si>
  <si>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</si>
  <si>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</si>
  <si>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</si>
  <si>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</si>
  <si>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</si>
  <si>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</si>
  <si>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</si>
  <si>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</si>
  <si>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</si>
  <si>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</si>
  <si>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</si>
  <si>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</si>
  <si>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</si>
  <si>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</si>
  <si>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</si>
  <si>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</si>
  <si>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</si>
  <si>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</si>
  <si>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</si>
  <si>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</si>
  <si>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</si>
  <si>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</si>
  <si>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</si>
  <si>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</si>
  <si>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</si>
  <si>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</si>
  <si>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</si>
  <si>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</si>
  <si>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</si>
  <si>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</si>
  <si>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</si>
  <si>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</si>
  <si>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</si>
  <si>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</si>
  <si>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</si>
  <si>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</si>
  <si>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</si>
  <si>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</si>
  <si>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</si>
  <si>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</si>
  <si>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</si>
  <si>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</si>
  <si>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</si>
  <si>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</si>
  <si>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</si>
  <si>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</si>
  <si>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</si>
  <si>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</si>
  <si>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</si>
  <si>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</si>
  <si>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</si>
  <si>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</si>
  <si>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</si>
  <si>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</si>
  <si>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</si>
  <si>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</si>
  <si>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</si>
  <si>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</si>
  <si>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</si>
  <si>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</si>
  <si>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</si>
  <si>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</si>
  <si>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</si>
  <si>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</si>
  <si>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</si>
  <si>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</si>
  <si>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</si>
  <si>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</si>
  <si>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</si>
  <si>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</si>
  <si>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</si>
  <si>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</si>
  <si>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</si>
  <si>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</si>
  <si>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</si>
  <si>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</si>
  <si>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</si>
  <si>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</si>
  <si>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</si>
  <si>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</si>
  <si>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</si>
  <si>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</si>
  <si>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</si>
  <si>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</si>
  <si>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</si>
  <si>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</si>
  <si>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</si>
  <si>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</si>
  <si>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</si>
  <si>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</si>
  <si>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</si>
  <si>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</si>
  <si>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</si>
  <si>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</si>
  <si>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</si>
  <si>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</si>
  <si>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</si>
  <si>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</si>
  <si>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</si>
  <si>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</si>
  <si>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</si>
  <si>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</si>
  <si>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</si>
  <si>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</si>
  <si>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</si>
  <si>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</si>
  <si>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</si>
  <si>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</si>
  <si>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</si>
  <si>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</si>
  <si>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</si>
  <si>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</si>
  <si>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</si>
  <si>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</si>
  <si>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</si>
  <si>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</si>
  <si>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</si>
  <si>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</si>
  <si>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</si>
  <si>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</si>
  <si>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</si>
  <si>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</si>
  <si>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</si>
  <si>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</si>
  <si>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</si>
  <si>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</si>
  <si>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</si>
  <si>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</si>
  <si>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</si>
  <si>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</si>
  <si>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</si>
  <si>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</si>
  <si>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</si>
  <si>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</si>
  <si>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</si>
  <si>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</si>
  <si>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</si>
  <si>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</si>
  <si>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</si>
  <si>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</si>
  <si>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</si>
  <si>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</si>
  <si>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</si>
  <si>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</si>
  <si>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</si>
  <si>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</si>
  <si>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</si>
  <si>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</si>
  <si>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</si>
  <si>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</si>
  <si>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</si>
  <si>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</si>
  <si>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</si>
  <si>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</si>
  <si>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</si>
  <si>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</si>
  <si>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</si>
  <si>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</si>
  <si>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</si>
  <si>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</si>
  <si>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</si>
  <si>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</si>
  <si>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</si>
  <si>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</si>
  <si>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</si>
  <si>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</si>
  <si>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</si>
  <si>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</si>
  <si>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</si>
  <si>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</si>
  <si>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</si>
  <si>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</si>
  <si>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</si>
  <si>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</si>
  <si>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</si>
  <si>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</si>
  <si>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</si>
  <si>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</si>
  <si>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</si>
  <si>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</si>
  <si>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</si>
  <si>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</si>
  <si>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</si>
  <si>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</si>
  <si>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</si>
  <si>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</si>
  <si>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</si>
  <si>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</si>
  <si>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</si>
  <si>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</si>
  <si>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</si>
  <si>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</si>
  <si>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</si>
  <si>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</si>
  <si>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</si>
  <si>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</si>
  <si>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</si>
  <si>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</si>
  <si>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</si>
  <si>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</si>
  <si>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</si>
  <si>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</si>
  <si>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</si>
  <si>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</si>
  <si>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</si>
  <si>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</si>
  <si>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</si>
  <si>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</si>
  <si>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</si>
  <si>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</si>
  <si>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</si>
  <si>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</si>
  <si>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</si>
  <si>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</si>
  <si>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</si>
  <si>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</si>
  <si>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</si>
  <si>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</si>
  <si>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</si>
  <si>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</si>
  <si>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</si>
  <si>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</si>
  <si>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</si>
  <si>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</si>
  <si>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</si>
  <si>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</si>
  <si>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</si>
  <si>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</si>
  <si>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</si>
  <si>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</si>
  <si>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</si>
  <si>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</si>
  <si>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</si>
  <si>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</si>
  <si>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</si>
  <si>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</si>
  <si>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</si>
  <si>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</si>
  <si>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</si>
  <si>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</si>
  <si>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</si>
  <si>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</si>
  <si>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</si>
  <si>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</si>
  <si>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</si>
  <si>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</si>
  <si>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</si>
  <si>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</si>
  <si>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</si>
  <si>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</si>
  <si>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</si>
  <si>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</si>
  <si>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</si>
  <si>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</si>
  <si>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</si>
  <si>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</si>
  <si>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</si>
  <si>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</si>
  <si>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</si>
  <si>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</si>
  <si>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</si>
  <si>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</si>
  <si>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</si>
  <si>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</si>
  <si>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</si>
  <si>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</si>
  <si>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</si>
  <si>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</si>
  <si>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</si>
  <si>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</si>
  <si>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</si>
  <si>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</si>
  <si>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</si>
  <si>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</si>
  <si>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</si>
  <si>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</si>
  <si>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</si>
  <si>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</si>
  <si>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</si>
  <si>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</si>
  <si>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</si>
  <si>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</si>
  <si>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</si>
  <si>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</si>
  <si>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</si>
  <si>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</si>
  <si>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</si>
  <si>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</si>
  <si>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</si>
  <si>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</si>
  <si>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</si>
  <si>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</si>
  <si>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</si>
  <si>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</si>
  <si>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</si>
  <si>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</si>
  <si>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</si>
  <si>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</si>
  <si>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</si>
  <si>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</si>
  <si>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</si>
  <si>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</si>
  <si>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</si>
  <si>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</si>
  <si>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</si>
  <si>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</si>
  <si>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</si>
  <si>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</si>
  <si>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</si>
  <si>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</si>
  <si>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</si>
  <si>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</si>
  <si>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</si>
  <si>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</si>
  <si>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</si>
  <si>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</si>
  <si>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</si>
  <si>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</si>
  <si>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</si>
  <si>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</si>
  <si>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</si>
  <si>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</si>
  <si>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</si>
  <si>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</si>
  <si>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</si>
  <si>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</si>
  <si>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</si>
  <si>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</si>
  <si>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</si>
  <si>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</si>
  <si>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</si>
  <si>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</si>
  <si>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</si>
  <si>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</si>
  <si>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</si>
  <si>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</si>
  <si>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</si>
  <si>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</si>
  <si>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</si>
  <si>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</si>
  <si>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</si>
  <si>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</si>
  <si>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</si>
  <si>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</si>
  <si>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</si>
  <si>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</si>
  <si>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</si>
  <si>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</si>
  <si>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</si>
  <si>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</si>
  <si>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</si>
  <si>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</si>
  <si>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</si>
  <si>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</si>
  <si>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</si>
  <si>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</si>
  <si>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</si>
  <si>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</si>
  <si>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</si>
  <si>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</si>
  <si>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</si>
  <si>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</si>
  <si>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</si>
  <si>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</si>
  <si>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</si>
  <si>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</si>
  <si>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</si>
  <si>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</si>
  <si>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</si>
  <si>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</si>
  <si>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</si>
  <si>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</si>
  <si>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</si>
  <si>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</si>
  <si>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</si>
  <si>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</si>
  <si>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</si>
  <si>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</si>
  <si>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</si>
  <si>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</si>
  <si>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</si>
  <si>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</si>
  <si>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</si>
  <si>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</si>
  <si>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</si>
  <si>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</si>
  <si>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</si>
  <si>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</si>
  <si>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</si>
  <si>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</si>
  <si>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</si>
  <si>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</si>
  <si>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</si>
  <si>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</si>
  <si>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</si>
  <si>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</si>
  <si>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</si>
  <si>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</si>
  <si>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</si>
  <si>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</si>
  <si>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</si>
  <si>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</si>
  <si>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</si>
  <si>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</si>
  <si>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</si>
  <si>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</si>
  <si>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</si>
  <si>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</si>
  <si>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</si>
  <si>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</si>
  <si>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</si>
  <si>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</si>
  <si>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</si>
  <si>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</si>
  <si>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</si>
  <si>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</si>
  <si>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</si>
  <si>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</si>
  <si>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</si>
  <si>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</si>
  <si>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</si>
  <si>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</si>
  <si>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</si>
  <si>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</si>
  <si>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</si>
  <si>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</si>
  <si>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</si>
  <si>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</si>
  <si>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</si>
  <si>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</si>
  <si>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</si>
  <si>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</si>
  <si>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</si>
  <si>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</si>
  <si>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</si>
  <si>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</si>
  <si>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</si>
  <si>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</si>
  <si>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</si>
  <si>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</si>
  <si>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</si>
  <si>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</si>
  <si>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</si>
  <si>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</si>
  <si>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</si>
  <si>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</si>
  <si>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</si>
  <si>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</si>
  <si>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</si>
  <si>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</si>
  <si>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</si>
  <si>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</si>
  <si>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</si>
  <si>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</si>
  <si>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</si>
  <si>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</si>
  <si>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</si>
  <si>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</si>
  <si>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</si>
  <si>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</si>
  <si>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</si>
  <si>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</si>
  <si>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</si>
  <si>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</si>
  <si>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</si>
  <si>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</si>
  <si>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</si>
  <si>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</si>
  <si>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</si>
  <si>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</si>
  <si>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</si>
  <si>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</si>
  <si>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</si>
  <si>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</si>
  <si>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</si>
  <si>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</si>
  <si>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</si>
  <si>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</si>
  <si>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</si>
  <si>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</si>
  <si>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</si>
  <si>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</si>
  <si>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</si>
  <si>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</si>
  <si>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</si>
  <si>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</si>
  <si>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</si>
  <si>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</si>
  <si>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</si>
  <si>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</si>
  <si>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</si>
  <si>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</si>
  <si>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</si>
  <si>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</si>
  <si>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</si>
  <si>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</si>
  <si>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</si>
  <si>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</si>
  <si>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</si>
  <si>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</si>
  <si>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</si>
  <si>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</si>
  <si>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</si>
  <si>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</si>
  <si>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</si>
  <si>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</si>
  <si>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</si>
  <si>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</si>
  <si>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</si>
  <si>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</si>
  <si>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</si>
  <si>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</si>
  <si>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</si>
  <si>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</si>
  <si>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</si>
  <si>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</si>
  <si>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</si>
  <si>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</si>
  <si>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</si>
  <si>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</si>
  <si>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</si>
  <si>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</si>
  <si>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</si>
  <si>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</si>
  <si>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</si>
  <si>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</si>
  <si>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</si>
  <si>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</si>
  <si>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</si>
  <si>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</si>
  <si>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</si>
  <si>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</si>
  <si>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</si>
  <si>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</si>
  <si>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</si>
  <si>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</si>
  <si>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</si>
  <si>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</si>
  <si>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</si>
  <si>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</si>
  <si>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</si>
  <si>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</si>
  <si>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</si>
  <si>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</si>
  <si>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</si>
  <si>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</si>
  <si>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</si>
  <si>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</si>
  <si>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</si>
  <si>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</si>
  <si>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</si>
  <si>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</si>
  <si>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</si>
  <si>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</si>
  <si>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</si>
  <si>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</si>
  <si>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</si>
  <si>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</si>
  <si>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</si>
  <si>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</si>
  <si>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</si>
  <si>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</si>
  <si>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</si>
  <si>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</si>
  <si>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</si>
  <si>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</si>
  <si>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</si>
  <si>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</si>
  <si>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</si>
  <si>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</si>
  <si>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</si>
  <si>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</si>
  <si>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</si>
  <si>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</si>
  <si>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</si>
  <si>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</si>
  <si>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</si>
  <si>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</si>
  <si>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</si>
  <si>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</si>
  <si>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</si>
  <si>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</si>
  <si>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</si>
  <si>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</si>
  <si>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</si>
  <si>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</si>
  <si>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</si>
  <si>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</si>
  <si>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</si>
  <si>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</si>
  <si>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</si>
  <si>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</si>
  <si>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</si>
  <si>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</si>
  <si>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</si>
  <si>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</si>
  <si>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</si>
  <si>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</si>
  <si>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</si>
  <si>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</si>
  <si>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</si>
  <si>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</si>
  <si>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</si>
  <si>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</si>
  <si>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</si>
  <si>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</si>
  <si>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</si>
  <si>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</si>
  <si>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</si>
  <si>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</si>
  <si>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</si>
  <si>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</si>
  <si>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</si>
  <si>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</si>
  <si>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</si>
  <si>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</si>
  <si>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</si>
  <si>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</si>
  <si>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</si>
  <si>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</si>
  <si>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</si>
  <si>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</si>
  <si>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</si>
  <si>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</si>
  <si>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</si>
  <si>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</si>
  <si>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</si>
  <si>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</si>
  <si>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</si>
  <si>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</si>
  <si>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</si>
  <si>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</si>
  <si>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</si>
  <si>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</si>
  <si>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</si>
  <si>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</si>
  <si>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</si>
  <si>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</si>
  <si>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</si>
  <si>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</si>
  <si>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</si>
  <si>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</si>
  <si>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</si>
  <si>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</si>
  <si>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</si>
  <si>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</si>
  <si>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</si>
  <si>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</si>
  <si>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</si>
  <si>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</si>
  <si>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</si>
  <si>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</si>
  <si>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</si>
  <si>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</si>
  <si>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</si>
  <si>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</si>
  <si>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</si>
  <si>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</si>
  <si>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</si>
  <si>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</si>
  <si>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</si>
  <si>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</si>
  <si>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</si>
  <si>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</si>
  <si>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</si>
  <si>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</si>
  <si>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</si>
  <si>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</si>
  <si>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</si>
  <si>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</si>
  <si>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</si>
  <si>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</si>
  <si>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</si>
  <si>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</si>
  <si>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</si>
  <si>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</si>
  <si>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</si>
  <si>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</si>
  <si>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</si>
  <si>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</si>
  <si>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</si>
  <si>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</si>
  <si>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</si>
  <si>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</si>
  <si>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</si>
  <si>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</si>
  <si>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</si>
  <si>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</si>
  <si>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</si>
  <si>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</si>
  <si>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</si>
  <si>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</si>
  <si>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</si>
  <si>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</si>
  <si>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</si>
  <si>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</si>
  <si>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</si>
  <si>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</si>
  <si>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</si>
  <si>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</si>
  <si>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</si>
  <si>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</si>
  <si>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</si>
  <si>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</si>
  <si>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</si>
  <si>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</si>
  <si>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</si>
  <si>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</si>
  <si>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</si>
  <si>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</si>
  <si>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</si>
  <si>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</si>
  <si>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</si>
  <si>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</si>
  <si>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</si>
  <si>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</si>
  <si>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</si>
  <si>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</si>
  <si>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</si>
  <si>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</si>
  <si>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</si>
  <si>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</si>
  <si>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</si>
  <si>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</si>
  <si>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</si>
  <si>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</si>
  <si>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</si>
  <si>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</si>
  <si>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</si>
  <si>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</si>
  <si>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</si>
  <si>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</si>
  <si>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</si>
  <si>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</si>
  <si>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</si>
  <si>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</si>
  <si>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</si>
  <si>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</si>
  <si>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</si>
  <si>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</si>
  <si>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</si>
  <si>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</si>
  <si>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</si>
  <si>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</si>
  <si>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</si>
  <si>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</si>
  <si>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</si>
  <si>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</si>
  <si>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</si>
  <si>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</si>
  <si>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</si>
  <si>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</si>
  <si>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</si>
  <si>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</si>
  <si>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</si>
  <si>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</si>
  <si>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</si>
  <si>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</si>
  <si>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</si>
  <si>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</si>
  <si>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</si>
  <si>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</si>
  <si>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</si>
  <si>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</si>
  <si>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</si>
  <si>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</si>
  <si>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</si>
  <si>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</si>
  <si>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</si>
  <si>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</si>
  <si>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</si>
  <si>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</si>
  <si>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</si>
  <si>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</si>
  <si>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</si>
  <si>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</si>
  <si>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</si>
  <si>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</si>
  <si>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</si>
  <si>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</si>
  <si>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</si>
  <si>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</si>
  <si>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</si>
  <si>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</si>
  <si>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</si>
  <si>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</si>
  <si>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</si>
  <si>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</si>
  <si>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</si>
  <si>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</si>
  <si>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</si>
  <si>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</si>
  <si>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</si>
  <si>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</si>
  <si>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</si>
  <si>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</si>
  <si>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</si>
  <si>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</si>
  <si>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</si>
  <si>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</si>
  <si>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</si>
  <si>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</si>
  <si>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</si>
  <si>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</si>
  <si>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</si>
  <si>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</si>
  <si>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</si>
  <si>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</si>
  <si>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</si>
  <si>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</si>
  <si>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</si>
  <si>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</si>
  <si>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</si>
  <si>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</si>
  <si>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</si>
  <si>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</si>
  <si>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</si>
  <si>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</si>
  <si>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</si>
  <si>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</si>
  <si>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</si>
  <si>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</si>
  <si>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</si>
  <si>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</si>
  <si>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</si>
  <si>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</si>
  <si>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</si>
  <si>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</si>
  <si>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</si>
  <si>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</si>
  <si>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</si>
  <si>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</si>
  <si>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</si>
  <si>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</si>
  <si>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</si>
  <si>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</si>
  <si>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</si>
  <si>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</si>
  <si>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</si>
  <si>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</si>
  <si>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</si>
  <si>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</si>
  <si>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</si>
  <si>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</si>
  <si>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</si>
  <si>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</si>
  <si>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</si>
  <si>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</si>
  <si>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</si>
  <si>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</si>
  <si>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</si>
  <si>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</si>
  <si>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</si>
  <si>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</si>
  <si>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</si>
  <si>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</si>
  <si>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</si>
  <si>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</si>
  <si>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</si>
  <si>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</si>
  <si>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</si>
  <si>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</si>
  <si>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</si>
  <si>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</si>
  <si>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</si>
  <si>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</si>
  <si>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</si>
  <si>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</si>
  <si>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</si>
  <si>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</si>
  <si>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</si>
  <si>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</si>
  <si>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</si>
  <si>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</si>
  <si>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</si>
  <si>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</si>
  <si>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</si>
  <si>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</si>
  <si>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</si>
  <si>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</si>
  <si>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</si>
  <si>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</si>
  <si>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</si>
  <si>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</si>
  <si>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</si>
  <si>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</si>
  <si>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</si>
  <si>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</si>
  <si>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</si>
  <si>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</si>
  <si>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</si>
  <si>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</si>
  <si>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</si>
  <si>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</si>
  <si>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</si>
  <si>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</si>
  <si>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</si>
  <si>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</si>
  <si>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</si>
  <si>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</si>
  <si>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</si>
  <si>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</si>
  <si>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</si>
  <si>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</si>
  <si>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</si>
  <si>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</si>
  <si>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</si>
  <si>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</si>
  <si>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</si>
  <si>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</si>
  <si>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</si>
  <si>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</si>
  <si>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</si>
  <si>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</si>
  <si>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</si>
  <si>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</si>
  <si>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</si>
  <si>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</si>
  <si>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</si>
  <si>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</si>
  <si>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</si>
  <si>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</si>
  <si>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</si>
  <si>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</si>
  <si>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</si>
  <si>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</si>
  <si>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</si>
  <si>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</si>
  <si>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</si>
  <si>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</si>
  <si>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</si>
  <si>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</si>
  <si>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</si>
  <si>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</si>
  <si>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</si>
  <si>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</si>
  <si>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</si>
  <si>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</si>
  <si>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</si>
  <si>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</si>
  <si>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</si>
  <si>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</si>
  <si>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</si>
  <si>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</si>
  <si>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</si>
  <si>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</si>
  <si>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</si>
  <si>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</si>
  <si>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</si>
  <si>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</si>
  <si>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</si>
  <si>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</si>
  <si>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</si>
  <si>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</si>
  <si>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</si>
  <si>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</si>
  <si>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</si>
  <si>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</si>
  <si>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</si>
  <si>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</si>
  <si>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</si>
  <si>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</si>
  <si>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</si>
  <si>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</si>
  <si>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</si>
  <si>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</si>
  <si>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</si>
  <si>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</si>
  <si>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</si>
  <si>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</si>
  <si>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</si>
  <si>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</si>
  <si>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</si>
  <si>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</si>
  <si>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</si>
  <si>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</si>
  <si>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</si>
  <si>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</si>
  <si>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</si>
  <si>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</si>
  <si>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</si>
  <si>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</si>
  <si>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</si>
  <si>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</si>
  <si>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</si>
  <si>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</si>
  <si>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</si>
  <si>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</si>
  <si>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</si>
  <si>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</si>
  <si>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</si>
  <si>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</si>
  <si>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</si>
  <si>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</si>
  <si>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</si>
  <si>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</si>
  <si>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</si>
  <si>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</si>
  <si>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</si>
  <si>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</si>
  <si>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</si>
  <si>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</si>
  <si>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</si>
  <si>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</si>
  <si>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</si>
  <si>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</si>
  <si>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</si>
  <si>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</si>
  <si>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</si>
  <si>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</si>
  <si>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</si>
  <si>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</si>
  <si>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</si>
  <si>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</si>
  <si>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</si>
  <si>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</si>
  <si>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</si>
  <si>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</si>
  <si>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</si>
  <si>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</si>
  <si>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</si>
  <si>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</si>
  <si>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</si>
  <si>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</si>
  <si>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</si>
  <si>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</si>
  <si>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</si>
  <si>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</si>
  <si>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</si>
  <si>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</si>
  <si>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</si>
  <si>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</si>
  <si>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</si>
  <si>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</si>
  <si>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</si>
  <si>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</si>
  <si>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</si>
  <si>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</si>
  <si>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</si>
  <si>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</si>
  <si>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</si>
  <si>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</si>
  <si>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</si>
  <si>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</si>
  <si>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</si>
  <si>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</si>
  <si>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</si>
  <si>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</si>
  <si>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</si>
  <si>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</si>
  <si>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</si>
  <si>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</si>
  <si>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</si>
  <si>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</si>
  <si>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</si>
  <si>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</si>
  <si>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</si>
  <si>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</si>
  <si>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</si>
  <si>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</si>
  <si>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</si>
  <si>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</si>
  <si>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</si>
  <si>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</si>
  <si>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</si>
  <si>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</si>
  <si>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</si>
  <si>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</si>
  <si>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</si>
  <si>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</si>
  <si>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</si>
  <si>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</si>
  <si>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</si>
  <si>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</si>
  <si>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</si>
  <si>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</si>
  <si>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</si>
  <si>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</si>
  <si>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</si>
  <si>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</si>
  <si>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</si>
  <si>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</si>
  <si>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</si>
  <si>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</si>
  <si>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</si>
  <si>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</si>
  <si>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</si>
  <si>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</si>
  <si>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</si>
  <si>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</si>
  <si>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</si>
  <si>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</si>
  <si>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</si>
  <si>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</si>
  <si>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</si>
  <si>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</si>
  <si>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</si>
  <si>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</si>
  <si>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</si>
  <si>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</si>
  <si>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</si>
  <si>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</si>
  <si>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</si>
  <si>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</si>
  <si>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</si>
  <si>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</si>
  <si>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</si>
  <si>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</si>
  <si>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</si>
  <si>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</si>
  <si>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</si>
  <si>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</si>
  <si>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</si>
  <si>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</si>
  <si>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</si>
  <si>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</si>
  <si>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</si>
  <si>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</si>
  <si>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</si>
  <si>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</si>
  <si>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</si>
  <si>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</si>
  <si>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</si>
  <si>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</si>
  <si>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</si>
  <si>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</si>
  <si>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</si>
  <si>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</si>
  <si>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</si>
  <si>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</si>
  <si>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</si>
  <si>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</si>
  <si>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</si>
  <si>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</si>
  <si>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</si>
  <si>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</si>
  <si>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</si>
  <si>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</si>
  <si>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</si>
  <si>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</si>
  <si>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</si>
  <si>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</si>
  <si>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</si>
  <si>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</si>
  <si>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</si>
  <si>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</si>
  <si>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</si>
  <si>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</si>
  <si>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</si>
  <si>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</si>
  <si>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</si>
  <si>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</si>
  <si>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</si>
  <si>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</si>
  <si>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</si>
  <si>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</si>
  <si>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</si>
  <si>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</si>
  <si>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</si>
  <si>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</si>
  <si>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</si>
  <si>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</si>
  <si>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</si>
  <si>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</si>
  <si>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</si>
  <si>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</si>
  <si>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</si>
  <si>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</si>
  <si>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</si>
  <si>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</si>
  <si>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</si>
  <si>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</si>
  <si>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</si>
  <si>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</si>
  <si>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</si>
  <si>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</si>
  <si>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</si>
  <si>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</si>
  <si>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</si>
  <si>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</si>
  <si>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</si>
  <si>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</si>
  <si>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</si>
  <si>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</si>
  <si>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</si>
  <si>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</si>
  <si>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</si>
  <si>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</si>
  <si>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</si>
  <si>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</si>
  <si>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</si>
  <si>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</si>
  <si>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</si>
  <si>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</si>
  <si>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</si>
  <si>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</si>
  <si>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</si>
  <si>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</si>
  <si>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</si>
  <si>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</si>
  <si>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</si>
  <si>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</si>
  <si>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</si>
  <si>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</si>
  <si>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</si>
  <si>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</si>
  <si>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</si>
  <si>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</si>
  <si>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</si>
  <si>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</si>
  <si>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</si>
  <si>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</si>
  <si>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</si>
  <si>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</si>
  <si>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</si>
  <si>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</si>
  <si>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</si>
  <si>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</si>
  <si>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</si>
  <si>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</si>
  <si>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</si>
  <si>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</si>
  <si>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</si>
  <si>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</si>
  <si>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</si>
  <si>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</si>
  <si>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</si>
  <si>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</si>
  <si>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</si>
  <si>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</si>
  <si>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</si>
  <si>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</si>
  <si>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</si>
  <si>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</si>
  <si>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</si>
  <si>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</si>
  <si>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</si>
  <si>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</si>
  <si>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</si>
  <si>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</si>
  <si>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</si>
  <si>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</si>
  <si>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</si>
  <si>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</si>
  <si>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</si>
  <si>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</si>
  <si>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</si>
  <si>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</si>
  <si>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</si>
  <si>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</si>
  <si>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</si>
  <si>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</si>
  <si>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</si>
  <si>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</si>
  <si>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</si>
  <si>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</si>
  <si>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</si>
  <si>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</si>
  <si>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</si>
  <si>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</si>
  <si>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</si>
  <si>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</si>
  <si>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</si>
  <si>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</si>
  <si>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</si>
  <si>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</si>
  <si>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</si>
  <si>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</si>
  <si>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</si>
  <si>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</si>
  <si>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</si>
  <si>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</si>
  <si>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</si>
  <si>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</si>
  <si>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</si>
  <si>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</si>
  <si>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</si>
  <si>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</si>
  <si>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</si>
  <si>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</si>
  <si>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</si>
  <si>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</si>
  <si>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</si>
  <si>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</si>
  <si>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</si>
  <si>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</si>
  <si>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</si>
  <si>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</si>
  <si>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</si>
  <si>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</si>
  <si>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</si>
  <si>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</si>
  <si>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</si>
  <si>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</si>
  <si>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</si>
  <si>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</si>
  <si>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</si>
  <si>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</si>
  <si>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</si>
  <si>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</si>
  <si>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</si>
  <si>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</si>
  <si>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</si>
  <si>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</si>
  <si>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</si>
  <si>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</si>
  <si>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</si>
  <si>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</si>
  <si>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</si>
  <si>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</si>
  <si>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</si>
  <si>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</si>
  <si>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</si>
  <si>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</si>
  <si>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</si>
  <si>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</si>
  <si>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</si>
  <si>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</si>
  <si>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</si>
  <si>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</si>
  <si>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</si>
  <si>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</si>
  <si>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</si>
  <si>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</si>
  <si>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</si>
  <si>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</si>
  <si>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</si>
  <si>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</si>
  <si>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</si>
  <si>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</si>
  <si>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</si>
  <si>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</si>
  <si>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</si>
  <si>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</si>
  <si>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</si>
  <si>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</si>
  <si>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</si>
  <si>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</si>
  <si>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</si>
  <si>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</si>
  <si>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</si>
  <si>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</si>
  <si>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</si>
  <si>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</si>
  <si>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</si>
  <si>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</si>
  <si>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</si>
  <si>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</si>
  <si>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</si>
  <si>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</si>
  <si>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</si>
  <si>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</si>
  <si>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</si>
  <si>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</si>
  <si>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</si>
  <si>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</si>
  <si>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</si>
  <si>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</si>
  <si>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</si>
  <si>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</si>
  <si>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</si>
  <si>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</si>
  <si>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</si>
  <si>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</si>
  <si>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</si>
  <si>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</si>
  <si>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</si>
  <si>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</si>
  <si>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</si>
  <si>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</si>
  <si>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</si>
  <si>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</si>
  <si>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</si>
  <si>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</si>
  <si>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</si>
  <si>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</si>
  <si>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</si>
  <si>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</si>
  <si>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</si>
  <si>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</si>
  <si>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</si>
  <si>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</si>
  <si>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</si>
  <si>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</si>
  <si>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</si>
  <si>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</si>
  <si>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</si>
  <si>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</si>
  <si>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</si>
  <si>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</si>
  <si>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</si>
  <si>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</si>
  <si>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</si>
  <si>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</si>
  <si>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</si>
  <si>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</si>
  <si>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</si>
  <si>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</si>
  <si>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</si>
  <si>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</si>
  <si>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</si>
  <si>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</si>
  <si>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</si>
  <si>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</si>
  <si>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</si>
  <si>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</si>
  <si>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</si>
  <si>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</si>
  <si>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</si>
  <si>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</si>
  <si>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</si>
  <si>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</si>
  <si>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</si>
  <si>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</si>
  <si>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</si>
  <si>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</si>
  <si>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</si>
  <si>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</si>
  <si>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</si>
  <si>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</si>
  <si>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</si>
  <si>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</si>
  <si>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</si>
  <si>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</si>
  <si>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</si>
  <si>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</si>
  <si>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</si>
  <si>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</si>
  <si>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</si>
  <si>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</si>
  <si>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</si>
  <si>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</si>
  <si>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</si>
  <si>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</si>
  <si>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</si>
  <si>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</si>
  <si>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</si>
  <si>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</si>
  <si>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</si>
  <si>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</si>
  <si>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</si>
  <si>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</si>
  <si>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</si>
  <si>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</si>
  <si>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</si>
  <si>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</si>
  <si>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</si>
  <si>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</si>
  <si>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</si>
  <si>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</si>
  <si>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</si>
  <si>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</si>
  <si>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</si>
  <si>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</si>
  <si>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</si>
  <si>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</si>
  <si>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</si>
  <si>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</si>
  <si>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</si>
  <si>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</si>
  <si>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</si>
  <si>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</si>
  <si>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</si>
  <si>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</si>
  <si>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</si>
  <si>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</si>
  <si>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</si>
  <si>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</si>
  <si>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</si>
  <si>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</si>
  <si>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</si>
  <si>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</si>
  <si>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</si>
  <si>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</si>
  <si>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</si>
  <si>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</si>
  <si>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</si>
  <si>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</si>
  <si>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</si>
  <si>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</si>
  <si>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</si>
  <si>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</si>
  <si>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</si>
  <si>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</si>
  <si>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</si>
  <si>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</si>
  <si>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</si>
  <si>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</si>
  <si>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</si>
  <si>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</si>
  <si>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</si>
  <si>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</si>
  <si>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</si>
  <si>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</si>
  <si>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</si>
  <si>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</si>
  <si>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</si>
  <si>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</si>
  <si>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</si>
  <si>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</si>
  <si>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</si>
  <si>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</si>
  <si>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</si>
  <si>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</si>
  <si>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</si>
  <si>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</si>
  <si>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</si>
  <si>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</si>
  <si>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</si>
  <si>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</si>
  <si>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</si>
  <si>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</si>
  <si>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</si>
  <si>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</si>
  <si>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</si>
  <si>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</si>
  <si>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</si>
  <si>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</si>
  <si>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</si>
  <si>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</si>
  <si>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</si>
  <si>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</si>
  <si>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</si>
  <si>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</si>
  <si>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</si>
  <si>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</si>
  <si>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</si>
  <si>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</si>
  <si>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</si>
  <si>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</si>
  <si>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</si>
  <si>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</si>
  <si>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</si>
  <si>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</si>
  <si>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</si>
  <si>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</si>
  <si>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</si>
  <si>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</si>
  <si>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</si>
  <si>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</si>
  <si>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</si>
  <si>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</si>
  <si>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</si>
  <si>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</si>
  <si>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</si>
  <si>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</si>
  <si>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</si>
  <si>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</si>
  <si>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</si>
  <si>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</si>
  <si>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</si>
  <si>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</si>
  <si>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</si>
  <si>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</si>
  <si>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</si>
  <si>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</si>
  <si>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</si>
  <si>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</si>
  <si>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</si>
  <si>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</si>
  <si>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</si>
  <si>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</si>
  <si>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</si>
  <si>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</si>
  <si>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</si>
  <si>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</si>
  <si>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</si>
  <si>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</si>
  <si>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</si>
  <si>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</si>
  <si>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</si>
  <si>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</si>
  <si>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</si>
  <si>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</si>
  <si>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</si>
  <si>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</si>
  <si>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</si>
  <si>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</si>
  <si>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</si>
  <si>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</si>
  <si>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</si>
  <si>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</si>
  <si>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</si>
  <si>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</si>
  <si>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</si>
  <si>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</si>
  <si>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</si>
  <si>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</si>
  <si>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</si>
  <si>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</si>
  <si>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</si>
  <si>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</si>
  <si>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</si>
  <si>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</si>
  <si>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</si>
  <si>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</si>
  <si>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</si>
  <si>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</si>
  <si>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</si>
  <si>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</si>
  <si>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</si>
  <si>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</si>
  <si>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</si>
  <si>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</si>
  <si>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</si>
  <si>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</si>
  <si>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</si>
  <si>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</si>
  <si>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</si>
  <si>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</si>
  <si>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</si>
  <si>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</si>
  <si>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</si>
  <si>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</si>
  <si>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</si>
  <si>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</si>
  <si>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</si>
  <si>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</si>
  <si>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</si>
  <si>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</si>
  <si>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</si>
  <si>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</si>
  <si>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</si>
  <si>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</si>
  <si>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</si>
  <si>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</si>
  <si>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</si>
  <si>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</si>
  <si>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</si>
  <si>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</si>
  <si>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</si>
  <si>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</si>
  <si>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</si>
  <si>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</si>
  <si>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</si>
  <si>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</si>
  <si>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</si>
  <si>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</si>
  <si>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</si>
  <si>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</si>
  <si>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</si>
  <si>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</si>
  <si>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</si>
  <si>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</si>
  <si>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</si>
  <si>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</si>
  <si>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</si>
  <si>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</si>
  <si>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</si>
  <si>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</si>
  <si>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</si>
  <si>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</si>
  <si>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</si>
  <si>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</si>
  <si>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</si>
  <si>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</si>
  <si>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</si>
  <si>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</si>
  <si>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</si>
  <si>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</si>
  <si>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</si>
  <si>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</si>
  <si>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</si>
  <si>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</si>
  <si>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</si>
  <si>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</si>
  <si>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</si>
  <si>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</si>
  <si>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</si>
  <si>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</si>
  <si>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</si>
  <si>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</si>
  <si>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</si>
  <si>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</si>
  <si>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</si>
  <si>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</si>
  <si>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</si>
  <si>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</si>
  <si>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</si>
  <si>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</si>
  <si>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</si>
  <si>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</si>
  <si>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</si>
  <si>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</si>
  <si>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</si>
  <si>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</si>
  <si>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</si>
  <si>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</si>
  <si>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</si>
  <si>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</si>
  <si>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</si>
  <si>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</si>
  <si>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</si>
  <si>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</si>
  <si>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</si>
  <si>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</si>
  <si>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</si>
  <si>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</si>
  <si>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</si>
  <si>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</si>
  <si>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</si>
  <si>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</si>
  <si>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</si>
  <si>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</si>
  <si>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</si>
  <si>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</si>
  <si>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</si>
  <si>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</si>
  <si>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</si>
  <si>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</si>
  <si>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</si>
  <si>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</si>
  <si>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</si>
  <si>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</si>
  <si>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</si>
  <si>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</si>
  <si>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</si>
  <si>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</si>
  <si>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</si>
  <si>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</si>
  <si>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</si>
  <si>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</si>
  <si>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</si>
  <si>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</si>
  <si>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</si>
  <si>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</si>
  <si>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</si>
  <si>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</si>
  <si>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</si>
  <si>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</si>
  <si>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</si>
  <si>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</si>
  <si>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</si>
  <si>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</si>
  <si>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</si>
  <si>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</si>
  <si>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</si>
  <si>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</si>
  <si>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</si>
  <si>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</si>
  <si>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</si>
  <si>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</si>
  <si>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</si>
  <si>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</si>
  <si>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</si>
  <si>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</si>
  <si>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</si>
  <si>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</si>
  <si>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</si>
  <si>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</si>
  <si>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</si>
  <si>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</si>
  <si>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</si>
  <si>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</si>
  <si>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</si>
  <si>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</si>
  <si>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</si>
  <si>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</si>
  <si>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</si>
  <si>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</si>
  <si>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</si>
  <si>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</si>
  <si>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</si>
  <si>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</si>
  <si>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</si>
  <si>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</si>
  <si>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</si>
  <si>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</si>
  <si>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</si>
  <si>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</si>
  <si>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</si>
  <si>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</si>
  <si>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</si>
  <si>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</si>
  <si>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</si>
  <si>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</si>
  <si>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</si>
  <si>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</si>
  <si>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</si>
  <si>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</si>
  <si>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</si>
  <si>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</si>
  <si>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</si>
  <si>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</si>
  <si>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</si>
  <si>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</si>
  <si>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</si>
  <si>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</si>
  <si>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</si>
  <si>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</si>
  <si>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</si>
  <si>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</si>
  <si>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</si>
  <si>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</si>
  <si>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</si>
  <si>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</si>
  <si>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</si>
  <si>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</si>
  <si>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</si>
  <si>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</si>
  <si>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</si>
  <si>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</si>
  <si>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</si>
  <si>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</si>
  <si>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</si>
  <si>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</si>
  <si>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</si>
  <si>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</si>
  <si>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</si>
  <si>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</si>
  <si>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</si>
  <si>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</si>
  <si>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</si>
  <si>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</si>
  <si>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</si>
  <si>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</si>
  <si>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</si>
  <si>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</si>
  <si>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</si>
  <si>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</si>
  <si>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</si>
  <si>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</si>
  <si>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</si>
  <si>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</si>
  <si>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</si>
  <si>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</si>
  <si>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</si>
  <si>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</si>
  <si>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</si>
  <si>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</si>
  <si>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</si>
  <si>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</si>
  <si>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</si>
  <si>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</si>
  <si>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</si>
  <si>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</si>
  <si>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</si>
  <si>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</si>
  <si>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</si>
  <si>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</si>
  <si>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</si>
  <si>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</si>
  <si>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</si>
  <si>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</si>
  <si>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</si>
  <si>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</si>
  <si>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</si>
  <si>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</si>
  <si>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</si>
  <si>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</si>
  <si>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</si>
  <si>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</si>
  <si>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</si>
  <si>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</si>
  <si>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</si>
  <si>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</si>
  <si>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</si>
  <si>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</si>
  <si>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</si>
  <si>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</si>
  <si>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</si>
  <si>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</si>
  <si>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</si>
  <si>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</si>
  <si>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</si>
  <si>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</si>
  <si>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</si>
  <si>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</si>
  <si>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</si>
  <si>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</si>
  <si>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</si>
  <si>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</si>
  <si>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</si>
  <si>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</si>
  <si>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</si>
  <si>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</si>
  <si>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</si>
  <si>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</si>
  <si>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</si>
  <si>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</si>
  <si>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</si>
  <si>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</si>
  <si>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</si>
  <si>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</si>
  <si>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</si>
  <si>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</si>
  <si>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</si>
  <si>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</si>
  <si>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</si>
  <si>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</si>
  <si>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</si>
  <si>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</si>
  <si>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</si>
  <si>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</si>
  <si>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</si>
  <si>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</si>
  <si>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</si>
  <si>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</si>
  <si>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</si>
  <si>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</si>
  <si>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</si>
  <si>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</si>
  <si>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</si>
  <si>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</si>
  <si>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</si>
  <si>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</si>
  <si>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</si>
  <si>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</si>
  <si>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</si>
  <si>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</si>
  <si>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</si>
  <si>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</si>
  <si>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</si>
  <si>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</si>
  <si>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</si>
  <si>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</si>
  <si>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</si>
  <si>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</si>
  <si>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</si>
  <si>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</si>
  <si>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</si>
  <si>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</si>
  <si>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</si>
  <si>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</si>
  <si>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</si>
  <si>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</si>
  <si>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</si>
  <si>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</si>
  <si>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</si>
  <si>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</si>
  <si>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</si>
  <si>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</si>
  <si>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</si>
  <si>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</si>
  <si>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</si>
  <si>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</si>
  <si>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</si>
  <si>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</si>
  <si>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</si>
  <si>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</si>
  <si>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</si>
  <si>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</si>
  <si>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</si>
  <si>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</si>
  <si>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</si>
  <si>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</si>
  <si>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</si>
  <si>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</si>
  <si>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</si>
  <si>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</si>
  <si>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</si>
  <si>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</si>
  <si>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</si>
  <si>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</si>
  <si>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</si>
  <si>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</si>
  <si>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</si>
  <si>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</si>
  <si>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</si>
  <si>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</si>
  <si>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</si>
  <si>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</si>
  <si>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</si>
  <si>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</si>
  <si>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</si>
  <si>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</si>
  <si>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</si>
  <si>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</si>
  <si>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</si>
  <si>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</si>
  <si>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</si>
  <si>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</si>
  <si>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</si>
  <si>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</si>
  <si>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</si>
  <si>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</si>
  <si>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</si>
  <si>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</si>
  <si>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</si>
  <si>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</si>
  <si>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</si>
  <si>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</si>
  <si>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</si>
  <si>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</si>
  <si>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</si>
  <si>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</si>
  <si>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</si>
  <si>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</si>
  <si>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</si>
  <si>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</si>
  <si>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</si>
  <si>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</si>
  <si>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</si>
  <si>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</si>
  <si>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</si>
  <si>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</si>
  <si>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</si>
  <si>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</si>
  <si>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</si>
  <si>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</si>
  <si>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</si>
  <si>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</si>
  <si>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</si>
  <si>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</si>
  <si>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</si>
  <si>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</si>
  <si>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</si>
  <si>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</si>
  <si>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</si>
  <si>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</si>
  <si>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</si>
  <si>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</si>
  <si>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</si>
  <si>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</si>
  <si>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</si>
  <si>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</si>
  <si>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</si>
  <si>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</si>
  <si>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</si>
  <si>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</si>
  <si>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</si>
  <si>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</si>
  <si>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</si>
  <si>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</si>
  <si>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</si>
  <si>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</si>
  <si>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</si>
  <si>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</si>
  <si>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</si>
  <si>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</si>
  <si>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</si>
  <si>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</si>
  <si>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</si>
  <si>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</si>
  <si>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</si>
  <si>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</si>
  <si>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</si>
  <si>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</si>
  <si>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</si>
  <si>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</si>
  <si>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</si>
  <si>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</si>
  <si>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</si>
  <si>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</si>
  <si>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</si>
  <si>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</si>
  <si>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</si>
  <si>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</si>
  <si>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</si>
  <si>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</si>
  <si>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</si>
  <si>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</si>
  <si>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</si>
  <si>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</si>
  <si>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</si>
  <si>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</si>
  <si>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</si>
  <si>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</si>
  <si>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</si>
  <si>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</si>
  <si>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</si>
  <si>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</si>
  <si>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</si>
  <si>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</si>
  <si>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</si>
  <si>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</si>
  <si>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</si>
  <si>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</si>
  <si>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</si>
  <si>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</si>
  <si>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</si>
  <si>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</si>
  <si>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</si>
  <si>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</si>
  <si>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</si>
  <si>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</si>
  <si>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</si>
  <si>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</si>
  <si>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</si>
  <si>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</si>
  <si>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</si>
  <si>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</si>
  <si>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</si>
  <si>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</si>
  <si>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</si>
  <si>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</si>
  <si>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</si>
  <si>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</si>
  <si>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</si>
  <si>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</si>
  <si>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</si>
  <si>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</si>
  <si>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</si>
  <si>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</si>
  <si>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</si>
  <si>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</si>
  <si>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</si>
  <si>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</si>
  <si>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</si>
  <si>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</si>
  <si>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</si>
  <si>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</si>
  <si>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</si>
  <si>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</si>
  <si>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</si>
  <si>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</si>
  <si>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</si>
  <si>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</si>
  <si>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</si>
  <si>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</si>
  <si>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</si>
  <si>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</si>
  <si>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</si>
  <si>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</si>
  <si>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</si>
  <si>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</si>
  <si>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</si>
  <si>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</si>
  <si>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</si>
  <si>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</si>
  <si>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</si>
  <si>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</si>
  <si>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</si>
  <si>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</si>
  <si>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</si>
  <si>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</si>
  <si>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</si>
  <si>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</si>
  <si>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</si>
  <si>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</si>
  <si>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</si>
  <si>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</si>
  <si>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</si>
  <si>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</si>
  <si>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</si>
  <si>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</si>
  <si>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</si>
  <si>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</si>
  <si>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</si>
  <si>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</si>
  <si>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</si>
  <si>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</si>
  <si>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</si>
  <si>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</si>
  <si>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</si>
  <si>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</si>
  <si>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</si>
  <si>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</si>
  <si>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</si>
  <si>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</si>
  <si>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</si>
  <si>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</si>
  <si>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</si>
  <si>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</si>
  <si>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</si>
  <si>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</si>
  <si>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</si>
  <si>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</si>
  <si>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</si>
  <si>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</si>
  <si>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</si>
  <si>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</si>
  <si>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</si>
  <si>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</si>
  <si>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</si>
  <si>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</si>
  <si>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</si>
  <si>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</si>
  <si>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</si>
  <si>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</si>
  <si>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</si>
  <si>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</si>
  <si>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</si>
  <si>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</si>
  <si>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</si>
  <si>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</si>
  <si>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</si>
  <si>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</si>
  <si>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</si>
  <si>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</si>
  <si>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</si>
  <si>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</si>
  <si>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</si>
  <si>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</si>
  <si>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</si>
  <si>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</si>
  <si>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</si>
  <si>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</si>
  <si>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</si>
  <si>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</si>
  <si>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</si>
  <si>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</si>
  <si>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</si>
  <si>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</si>
  <si>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</si>
  <si>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</si>
  <si>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</si>
  <si>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</si>
  <si>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</si>
  <si>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</si>
  <si>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</si>
  <si>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</si>
  <si>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</si>
  <si>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</si>
  <si>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</si>
  <si>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</si>
  <si>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</si>
  <si>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</si>
  <si>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</si>
  <si>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</si>
  <si>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</si>
  <si>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</si>
  <si>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</si>
  <si>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</si>
  <si>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</si>
  <si>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</si>
  <si>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</si>
  <si>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</si>
  <si>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</si>
  <si>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</si>
  <si>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</si>
  <si>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</si>
  <si>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</si>
  <si>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</si>
  <si>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</si>
  <si>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</si>
  <si>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</si>
  <si>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</si>
  <si>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</si>
  <si>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</si>
  <si>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</si>
  <si>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</si>
  <si>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</si>
  <si>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</si>
  <si>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</si>
  <si>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</si>
  <si>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</si>
  <si>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</si>
  <si>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</si>
  <si>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</si>
  <si>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</si>
  <si>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</si>
  <si>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</si>
  <si>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</si>
  <si>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</si>
  <si>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</si>
  <si>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</si>
  <si>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</si>
  <si>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</si>
  <si>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</si>
  <si>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</si>
  <si>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</si>
  <si>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</si>
  <si>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</si>
  <si>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</si>
  <si>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</si>
  <si>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</si>
  <si>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</si>
  <si>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</si>
  <si>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</si>
  <si>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</si>
  <si>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</si>
  <si>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</si>
  <si>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</si>
  <si>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</si>
  <si>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</si>
  <si>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</si>
  <si>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</si>
  <si>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</si>
  <si>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</si>
  <si>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</si>
  <si>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</si>
  <si>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</si>
  <si>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</si>
  <si>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</si>
  <si>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</si>
  <si>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</si>
  <si>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</si>
  <si>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</si>
  <si>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</si>
  <si>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</si>
  <si>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</si>
  <si>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</si>
  <si>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</si>
  <si>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</si>
  <si>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</si>
  <si>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</si>
  <si>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</si>
  <si>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</si>
  <si>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</si>
  <si>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</si>
  <si>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</si>
  <si>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</si>
  <si>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</si>
  <si>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</si>
  <si>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</si>
  <si>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</si>
  <si>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</si>
  <si>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</si>
  <si>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</si>
  <si>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</si>
  <si>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</si>
  <si>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</si>
  <si>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</si>
  <si>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</si>
  <si>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</si>
  <si>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</si>
  <si>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</si>
  <si>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</si>
  <si>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</si>
  <si>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</si>
  <si>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</si>
  <si>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</si>
  <si>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</si>
  <si>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</si>
  <si>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</si>
  <si>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</si>
  <si>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</si>
  <si>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</si>
  <si>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</si>
  <si>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</si>
  <si>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</si>
  <si>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</si>
  <si>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</si>
  <si>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</si>
  <si>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</si>
  <si>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</si>
  <si>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</si>
  <si>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</si>
  <si>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</si>
  <si>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</si>
  <si>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</si>
  <si>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</si>
  <si>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</si>
  <si>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</si>
  <si>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</si>
  <si>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</si>
  <si>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</si>
  <si>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</si>
  <si>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</si>
  <si>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</si>
  <si>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</si>
  <si>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</si>
  <si>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</si>
  <si>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</si>
  <si>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</si>
  <si>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</si>
  <si>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</si>
  <si>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</si>
  <si>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</si>
  <si>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</si>
  <si>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</si>
  <si>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</si>
  <si>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</si>
  <si>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</si>
  <si>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</si>
  <si>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</si>
  <si>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</si>
  <si>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</si>
  <si>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</si>
  <si>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</si>
  <si>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</si>
  <si>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</si>
  <si>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</si>
  <si>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</si>
  <si>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</si>
  <si>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</si>
  <si>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</si>
  <si>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</si>
  <si>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</si>
  <si>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</si>
  <si>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</si>
  <si>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</si>
  <si>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</si>
  <si>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</si>
  <si>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</si>
  <si>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</si>
  <si>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</si>
  <si>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</si>
  <si>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</si>
  <si>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</si>
  <si>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</si>
  <si>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</si>
  <si>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</si>
  <si>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</si>
  <si>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</si>
  <si>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</si>
  <si>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</si>
  <si>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</si>
  <si>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</si>
  <si>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</si>
  <si>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</si>
  <si>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</si>
  <si>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</si>
  <si>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</si>
  <si>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</si>
  <si>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</si>
  <si>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</si>
  <si>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</si>
  <si>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</si>
  <si>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</si>
  <si>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</si>
  <si>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</si>
  <si>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</si>
  <si>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</si>
  <si>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</si>
  <si>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</si>
  <si>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</si>
  <si>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</si>
  <si>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</si>
  <si>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</si>
  <si>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</si>
  <si>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</si>
  <si>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</si>
  <si>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</si>
  <si>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</si>
  <si>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</si>
  <si>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</si>
  <si>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</si>
  <si>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</si>
  <si>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</si>
  <si>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</si>
  <si>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</si>
  <si>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</si>
  <si>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</si>
  <si>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</si>
  <si>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</si>
  <si>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</si>
  <si>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</si>
  <si>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</si>
  <si>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</si>
  <si>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</si>
  <si>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</si>
  <si>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</si>
  <si>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</si>
  <si>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</si>
  <si>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</si>
  <si>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</si>
  <si>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</si>
  <si>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</si>
  <si>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</si>
  <si>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</si>
  <si>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</si>
  <si>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</si>
  <si>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</si>
  <si>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</si>
  <si>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</si>
  <si>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</si>
  <si>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</si>
  <si>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</si>
  <si>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</si>
  <si>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</si>
  <si>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</si>
  <si>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</si>
  <si>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</si>
  <si>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</si>
  <si>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</si>
  <si>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</si>
  <si>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</si>
  <si>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</si>
  <si>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</si>
  <si>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</si>
  <si>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</si>
  <si>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</si>
  <si>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</si>
  <si>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</si>
  <si>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</si>
  <si>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</si>
  <si>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</si>
  <si>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</si>
  <si>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</si>
  <si>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</si>
  <si>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</si>
  <si>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</si>
  <si>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</si>
  <si>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</si>
  <si>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</si>
  <si>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</si>
  <si>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</si>
  <si>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</si>
  <si>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</si>
  <si>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</si>
  <si>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</si>
  <si>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</si>
  <si>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</si>
  <si>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</si>
  <si>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</si>
  <si>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</si>
  <si>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</si>
  <si>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</si>
  <si>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</si>
  <si>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</si>
  <si>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</si>
  <si>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</si>
  <si>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</si>
  <si>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</si>
  <si>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</si>
  <si>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</si>
  <si>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</si>
  <si>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</si>
  <si>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</si>
  <si>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</si>
  <si>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</si>
  <si>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</si>
  <si>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</si>
  <si>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</si>
  <si>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</si>
  <si>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</si>
  <si>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</si>
  <si>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</si>
  <si>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</si>
  <si>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</si>
  <si>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</si>
  <si>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</si>
  <si>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</si>
  <si>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</si>
  <si>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</si>
  <si>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</si>
  <si>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</si>
  <si>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</si>
  <si>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</si>
  <si>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</si>
  <si>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</si>
  <si>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</si>
  <si>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</si>
  <si>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</si>
  <si>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</si>
  <si>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</si>
  <si>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</si>
  <si>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</si>
  <si>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</si>
  <si>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</si>
  <si>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</si>
  <si>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</si>
  <si>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</si>
  <si>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</si>
  <si>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</si>
  <si>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</si>
  <si>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</si>
  <si>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</si>
  <si>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</si>
  <si>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</si>
  <si>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</si>
  <si>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</si>
  <si>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</si>
  <si>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</si>
  <si>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</si>
  <si>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</si>
  <si>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</si>
  <si>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</si>
  <si>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</si>
  <si>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</si>
  <si>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</si>
  <si>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</si>
  <si>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</si>
  <si>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</si>
  <si>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</si>
  <si>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</si>
  <si>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</si>
  <si>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</si>
  <si>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</si>
  <si>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</si>
  <si>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</si>
  <si>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</si>
  <si>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</si>
  <si>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</si>
  <si>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</si>
  <si>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</si>
  <si>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</si>
  <si>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</si>
  <si>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</si>
  <si>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</si>
  <si>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</si>
  <si>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</si>
  <si>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</si>
  <si>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</si>
  <si>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</si>
  <si>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</si>
  <si>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</si>
  <si>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</si>
  <si>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</si>
  <si>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</si>
  <si>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</si>
  <si>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</si>
  <si>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</si>
  <si>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</si>
  <si>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</si>
  <si>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</si>
  <si>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</si>
  <si>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</si>
  <si>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</si>
  <si>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</si>
  <si>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</si>
  <si>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</si>
  <si>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</si>
  <si>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</si>
  <si>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</si>
  <si>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</si>
  <si>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</si>
  <si>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</si>
  <si>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</si>
  <si>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</si>
  <si>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</si>
  <si>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</si>
  <si>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</si>
  <si>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</si>
  <si>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</si>
  <si>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</si>
  <si>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</si>
  <si>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</si>
  <si>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</si>
  <si>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</si>
  <si>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</si>
  <si>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北京市</t>
  </si>
  <si>
    <t>办公项目</t>
  </si>
  <si>
    <t>无</t>
  </si>
  <si>
    <t>否</t>
  </si>
  <si>
    <t>现房</t>
  </si>
  <si>
    <t>是</t>
  </si>
  <si>
    <t>地上</t>
  </si>
  <si>
    <t>成新度</t>
  </si>
  <si>
    <t>收益法 (元)</t>
  </si>
  <si>
    <t>押一</t>
  </si>
  <si>
    <t>钢混</t>
  </si>
  <si>
    <t>非生产用房</t>
  </si>
  <si>
    <t>楼面单价</t>
  </si>
  <si>
    <t>收益比率</t>
  </si>
  <si>
    <t>售价</t>
  </si>
  <si>
    <t>租金</t>
  </si>
  <si>
    <t>单套模式</t>
  </si>
  <si>
    <t>绿地自由港</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</si>
  <si>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</si>
  <si>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</si>
  <si>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</si>
  <si>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</si>
  <si>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</si>
  <si>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</si>
  <si>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</si>
  <si>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报价</t>
  </si>
  <si>
    <t>报价</t>
    <phoneticPr fontId="31" type="noConversion"/>
  </si>
  <si>
    <t>高区</t>
  </si>
  <si>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</si>
  <si>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</si>
  <si>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</si>
  <si>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</si>
  <si>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</si>
  <si>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</si>
  <si>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</si>
  <si>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</si>
  <si>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</si>
  <si>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</si>
  <si>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</si>
  <si>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</si>
  <si>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</si>
  <si>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</si>
  <si>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</si>
  <si>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</si>
  <si>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</si>
  <si>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</si>
  <si>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</si>
  <si>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</si>
  <si>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</si>
  <si>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</si>
  <si>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</si>
  <si>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</si>
  <si>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一般</t>
  </si>
  <si>
    <t>较好</t>
  </si>
  <si>
    <t>商务金融用地</t>
  </si>
  <si>
    <t>不临65条商业街</t>
  </si>
  <si>
    <t>与级别开发程度不一致</t>
  </si>
  <si>
    <t>通路</t>
  </si>
  <si>
    <t>通电</t>
  </si>
  <si>
    <t>通讯</t>
  </si>
  <si>
    <t>通上水</t>
  </si>
  <si>
    <t>通下水</t>
  </si>
  <si>
    <t>通热</t>
  </si>
  <si>
    <t>平整</t>
  </si>
  <si>
    <t>较差</t>
  </si>
  <si>
    <t>未包含在土地购买价格中</t>
  </si>
  <si>
    <t>已包含在土地取得成本中</t>
  </si>
  <si>
    <t>北京东航中心</t>
    <phoneticPr fontId="3" type="noConversion"/>
  </si>
  <si>
    <t>情况4</t>
  </si>
  <si>
    <t>转让取得</t>
  </si>
  <si>
    <t>万科天竺中心</t>
    <phoneticPr fontId="3" type="noConversion"/>
  </si>
  <si>
    <t>企业</t>
  </si>
  <si>
    <t>1层</t>
    <phoneticPr fontId="3" type="noConversion"/>
  </si>
  <si>
    <t>2至4层</t>
    <phoneticPr fontId="3" type="noConversion"/>
  </si>
  <si>
    <t>地下1层</t>
    <phoneticPr fontId="3" type="noConversion"/>
  </si>
  <si>
    <t>公寓</t>
  </si>
  <si>
    <t>地下</t>
  </si>
  <si>
    <t>公寓</t>
    <phoneticPr fontId="7" type="noConversion"/>
  </si>
  <si>
    <t>朝阳区安慧东里16号楼-1至4层综合用房</t>
    <phoneticPr fontId="6" type="noConversion"/>
  </si>
  <si>
    <t>大屯街道</t>
    <phoneticPr fontId="3" type="noConversion"/>
  </si>
  <si>
    <t>估价对象容积率</t>
  </si>
  <si>
    <t>中心城区</t>
  </si>
  <si>
    <t>好</t>
  </si>
  <si>
    <t>直线</t>
    <phoneticPr fontId="3" type="noConversion"/>
  </si>
  <si>
    <t>观察</t>
    <phoneticPr fontId="3" type="noConversion"/>
  </si>
  <si>
    <t>综合</t>
    <phoneticPr fontId="3" type="noConversion"/>
  </si>
  <si>
    <t>全部缴纳</t>
  </si>
  <si>
    <r>
      <rPr>
        <sz val="10"/>
        <color indexed="8"/>
        <rFont val="宋体"/>
        <family val="3"/>
        <charset val="134"/>
      </rPr>
      <t>年租金</t>
    </r>
    <r>
      <rPr>
        <sz val="10"/>
        <color indexed="8"/>
        <rFont val="Arial"/>
        <family val="2"/>
      </rPr>
      <t>750</t>
    </r>
    <r>
      <rPr>
        <sz val="10"/>
        <color indexed="8"/>
        <rFont val="宋体"/>
        <family val="3"/>
        <charset val="134"/>
      </rPr>
      <t>万</t>
    </r>
    <phoneticPr fontId="3" type="noConversion"/>
  </si>
  <si>
    <t>收益法</t>
  </si>
  <si>
    <t>成本法</t>
  </si>
  <si>
    <r>
      <t>2023</t>
    </r>
    <r>
      <rPr>
        <sz val="10"/>
        <color indexed="8"/>
        <rFont val="宋体"/>
        <family val="3"/>
        <charset val="134"/>
      </rPr>
      <t>年</t>
    </r>
    <phoneticPr fontId="8" type="noConversion"/>
  </si>
  <si>
    <t>折合地上单价</t>
    <phoneticPr fontId="8" type="noConversion"/>
  </si>
  <si>
    <t>地上公寓</t>
    <phoneticPr fontId="3" type="noConversion"/>
  </si>
  <si>
    <t>建面</t>
    <phoneticPr fontId="3" type="noConversion"/>
  </si>
  <si>
    <t>租金</t>
    <phoneticPr fontId="3" type="noConversion"/>
  </si>
  <si>
    <t>地下仓储、休闲健身等</t>
    <phoneticPr fontId="3" type="noConversion"/>
  </si>
  <si>
    <t>弘舍公寓户型38-110平，月租金5500-19000</t>
    <phoneticPr fontId="134" type="noConversion"/>
  </si>
  <si>
    <t>弘舍公寓</t>
    <phoneticPr fontId="134" type="noConversion"/>
  </si>
  <si>
    <t>建面</t>
    <phoneticPr fontId="134" type="noConversion"/>
  </si>
  <si>
    <t>月租金</t>
    <phoneticPr fontId="134" type="noConversion"/>
  </si>
  <si>
    <t>日租金</t>
    <phoneticPr fontId="134" type="noConversion"/>
  </si>
  <si>
    <t>风格派</t>
    <phoneticPr fontId="134" type="noConversion"/>
  </si>
  <si>
    <t>世奥国际中心</t>
    <phoneticPr fontId="134" type="noConversion"/>
  </si>
  <si>
    <t>龙湖冠寓(北京亚运村关庄店)</t>
    <phoneticPr fontId="134" type="noConversion"/>
  </si>
  <si>
    <t>附近公寓日租金3.-4.7块</t>
    <phoneticPr fontId="3" type="noConversion"/>
  </si>
  <si>
    <t>附近办公日租金3-8块</t>
    <phoneticPr fontId="3" type="noConversion"/>
  </si>
  <si>
    <t>非个人房产</t>
  </si>
  <si>
    <t>2016年5月1日后购买</t>
  </si>
  <si>
    <t>买卖合同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</si>
</sst>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95" fillId="0" borderId="0" xfId="0" applyFont="1" applyAlignment="1">
      <alignment horizontal="left" vertical="center"/>
    </xf>
    <xf numFmtId="0" fontId="95" fillId="0" borderId="0" xfId="0" applyFont="1" applyAlignment="1">
      <alignment horizontal="center" vertical="center"/>
    </xf>
    <xf numFmtId="0" fontId="95" fillId="0" borderId="0" xfId="0" applyFont="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322610</xdr:colOff>
      <xdr:row>35</xdr:row>
      <xdr:rowOff>65938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23810" cy="5895238"/>
        </a:xfrm>
        <a:prstGeom prst="rect">
          <a:avLst/>
        </a:prstGeom>
      </xdr:spPr>
    </xdr:pic>
    <xdr:clientData/>
  </xdr:twoCellAnchor>
  <xdr:twoCellAnchor editAs="oneCell">
    <xdr:from>
      <xdr:col>0</xdr:col>
      <xdr:colOff>0</xdr:colOff>
      <xdr:row>37</xdr:row>
      <xdr:rowOff>47625</xdr:rowOff>
    </xdr:from>
    <xdr:to>
      <xdr:col>14</xdr:col>
      <xdr:colOff>265467</xdr:colOff>
      <xdr:row>71</xdr:row>
      <xdr:rowOff>170706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91275"/>
          <a:ext cx="9866667" cy="5952381"/>
        </a:xfrm>
        <a:prstGeom prst="rect">
          <a:avLst/>
        </a:prstGeom>
      </xdr:spPr>
    </xdr:pic>
    <xdr:clientData/>
  </xdr:twoCellAnchor>
  <xdr:twoCellAnchor editAs="oneCell">
    <xdr:from>
      <xdr:col>0</xdr:col>
      <xdr:colOff>0</xdr:colOff>
      <xdr:row>73</xdr:row>
      <xdr:rowOff>0</xdr:rowOff>
    </xdr:from>
    <xdr:to>
      <xdr:col>14</xdr:col>
      <xdr:colOff>427372</xdr:colOff>
      <xdr:row>107</xdr:row>
      <xdr:rowOff>151653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10028572" cy="5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503820</xdr:colOff>
      <xdr:row>25</xdr:row>
      <xdr:rowOff>151867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047620" cy="4266667"/>
        </a:xfrm>
        <a:prstGeom prst="rect">
          <a:avLst/>
        </a:prstGeom>
      </xdr:spPr>
    </xdr:pic>
    <xdr:clientData/>
  </xdr:twoCellAnchor>
  <xdr:twoCellAnchor editAs="oneCell">
    <xdr:from>
      <xdr:col>0</xdr:col>
      <xdr:colOff>0</xdr:colOff>
      <xdr:row>28</xdr:row>
      <xdr:rowOff>0</xdr:rowOff>
    </xdr:from>
    <xdr:to>
      <xdr:col>10</xdr:col>
      <xdr:colOff>46762</xdr:colOff>
      <xdr:row>59</xdr:row>
      <xdr:rowOff>113622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6904762" cy="5428572"/>
        </a:xfrm>
        <a:prstGeom prst="rect">
          <a:avLst/>
        </a:prstGeom>
      </xdr:spPr>
    </xdr:pic>
    <xdr:clientData/>
  </xdr:twoCellAnchor>
  <xdr:twoCellAnchor editAs="oneCell">
    <xdr:from>
      <xdr:col>0</xdr:col>
      <xdr:colOff>0</xdr:colOff>
      <xdr:row>61</xdr:row>
      <xdr:rowOff>0</xdr:rowOff>
    </xdr:from>
    <xdr:to>
      <xdr:col>9</xdr:col>
      <xdr:colOff>646848</xdr:colOff>
      <xdr:row>87</xdr:row>
      <xdr:rowOff>75634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6819048" cy="4533334"/>
        </a:xfrm>
        <a:prstGeom prst="rect">
          <a:avLst/>
        </a:prstGeom>
      </xdr:spPr>
    </xdr:pic>
    <xdr:clientData/>
  </xdr:twoCellAnchor>
  <xdr:twoCellAnchor editAs="oneCell">
    <xdr:from>
      <xdr:col>0</xdr:col>
      <xdr:colOff>0</xdr:colOff>
      <xdr:row>89</xdr:row>
      <xdr:rowOff>0</xdr:rowOff>
    </xdr:from>
    <xdr:to>
      <xdr:col>10</xdr:col>
      <xdr:colOff>113429</xdr:colOff>
      <xdr:row>121</xdr:row>
      <xdr:rowOff>8838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259050"/>
          <a:ext cx="6971429" cy="5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636639</xdr:colOff>
      <xdr:row>33</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295239" cy="5657143"/>
        </a:xfrm>
        <a:prstGeom prst="rect">
          <a:avLst/>
        </a:prstGeom>
      </xdr:spPr>
    </xdr:pic>
    <xdr:clientData/>
  </xdr:twoCellAnchor>
  <xdr:twoCellAnchor editAs="oneCell">
    <xdr:from>
      <xdr:col>0</xdr:col>
      <xdr:colOff>0</xdr:colOff>
      <xdr:row>35</xdr:row>
      <xdr:rowOff>0</xdr:rowOff>
    </xdr:from>
    <xdr:to>
      <xdr:col>5</xdr:col>
      <xdr:colOff>475762</xdr:colOff>
      <xdr:row>66</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3904762" cy="5485715"/>
        </a:xfrm>
        <a:prstGeom prst="rect">
          <a:avLst/>
        </a:prstGeom>
      </xdr:spPr>
    </xdr:pic>
    <xdr:clientData/>
  </xdr:twoCellAnchor>
  <xdr:twoCellAnchor editAs="oneCell">
    <xdr:from>
      <xdr:col>6</xdr:col>
      <xdr:colOff>0</xdr:colOff>
      <xdr:row>35</xdr:row>
      <xdr:rowOff>0</xdr:rowOff>
    </xdr:from>
    <xdr:to>
      <xdr:col>11</xdr:col>
      <xdr:colOff>437667</xdr:colOff>
      <xdr:row>67</xdr:row>
      <xdr:rowOff>75505</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6000750"/>
          <a:ext cx="3866667" cy="5561905"/>
        </a:xfrm>
        <a:prstGeom prst="rect">
          <a:avLst/>
        </a:prstGeom>
      </xdr:spPr>
    </xdr:pic>
    <xdr:clientData/>
  </xdr:twoCellAnchor>
  <xdr:twoCellAnchor editAs="oneCell">
    <xdr:from>
      <xdr:col>12</xdr:col>
      <xdr:colOff>0</xdr:colOff>
      <xdr:row>35</xdr:row>
      <xdr:rowOff>0</xdr:rowOff>
    </xdr:from>
    <xdr:to>
      <xdr:col>17</xdr:col>
      <xdr:colOff>466238</xdr:colOff>
      <xdr:row>67</xdr:row>
      <xdr:rowOff>132648</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6000750"/>
          <a:ext cx="3895238" cy="5619048"/>
        </a:xfrm>
        <a:prstGeom prst="rect">
          <a:avLst/>
        </a:prstGeom>
      </xdr:spPr>
    </xdr:pic>
    <xdr:clientData/>
  </xdr:twoCellAnchor>
  <xdr:twoCellAnchor editAs="oneCell">
    <xdr:from>
      <xdr:col>0</xdr:col>
      <xdr:colOff>0</xdr:colOff>
      <xdr:row>68</xdr:row>
      <xdr:rowOff>0</xdr:rowOff>
    </xdr:from>
    <xdr:to>
      <xdr:col>5</xdr:col>
      <xdr:colOff>428143</xdr:colOff>
      <xdr:row>100</xdr:row>
      <xdr:rowOff>142172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658600"/>
          <a:ext cx="3857143" cy="5628572"/>
        </a:xfrm>
        <a:prstGeom prst="rect">
          <a:avLst/>
        </a:prstGeom>
      </xdr:spPr>
    </xdr:pic>
    <xdr:clientData/>
  </xdr:twoCellAnchor>
  <xdr:twoCellAnchor editAs="oneCell">
    <xdr:from>
      <xdr:col>6</xdr:col>
      <xdr:colOff>0</xdr:colOff>
      <xdr:row>68</xdr:row>
      <xdr:rowOff>0</xdr:rowOff>
    </xdr:from>
    <xdr:to>
      <xdr:col>11</xdr:col>
      <xdr:colOff>628143</xdr:colOff>
      <xdr:row>101</xdr:row>
      <xdr:rowOff>18341</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658600"/>
          <a:ext cx="4057143" cy="5676191"/>
        </a:xfrm>
        <a:prstGeom prst="rect">
          <a:avLst/>
        </a:prstGeom>
      </xdr:spPr>
    </xdr:pic>
    <xdr:clientData/>
  </xdr:twoCellAnchor>
  <xdr:twoCellAnchor editAs="oneCell">
    <xdr:from>
      <xdr:col>12</xdr:col>
      <xdr:colOff>0</xdr:colOff>
      <xdr:row>68</xdr:row>
      <xdr:rowOff>0</xdr:rowOff>
    </xdr:from>
    <xdr:to>
      <xdr:col>17</xdr:col>
      <xdr:colOff>275762</xdr:colOff>
      <xdr:row>75</xdr:row>
      <xdr:rowOff>76041</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658600"/>
          <a:ext cx="3704762" cy="1276191"/>
        </a:xfrm>
        <a:prstGeom prst="rect">
          <a:avLst/>
        </a:prstGeom>
      </xdr:spPr>
    </xdr:pic>
    <xdr:clientData/>
  </xdr:twoCellAnchor>
  <xdr:twoCellAnchor editAs="oneCell">
    <xdr:from>
      <xdr:col>12</xdr:col>
      <xdr:colOff>0</xdr:colOff>
      <xdr:row>76</xdr:row>
      <xdr:rowOff>0</xdr:rowOff>
    </xdr:from>
    <xdr:to>
      <xdr:col>17</xdr:col>
      <xdr:colOff>371000</xdr:colOff>
      <xdr:row>83</xdr:row>
      <xdr:rowOff>18898</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13030200"/>
          <a:ext cx="3800000" cy="1219048"/>
        </a:xfrm>
        <a:prstGeom prst="rect">
          <a:avLst/>
        </a:prstGeom>
      </xdr:spPr>
    </xdr:pic>
    <xdr:clientData/>
  </xdr:twoCellAnchor>
  <xdr:twoCellAnchor editAs="oneCell">
    <xdr:from>
      <xdr:col>12</xdr:col>
      <xdr:colOff>0</xdr:colOff>
      <xdr:row>83</xdr:row>
      <xdr:rowOff>0</xdr:rowOff>
    </xdr:from>
    <xdr:to>
      <xdr:col>17</xdr:col>
      <xdr:colOff>256715</xdr:colOff>
      <xdr:row>89</xdr:row>
      <xdr:rowOff>133205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14230350"/>
          <a:ext cx="3685715" cy="1161905"/>
        </a:xfrm>
        <a:prstGeom prst="rect">
          <a:avLst/>
        </a:prstGeom>
      </xdr:spPr>
    </xdr:pic>
    <xdr:clientData/>
  </xdr:twoCellAnchor>
  <xdr:twoCellAnchor editAs="oneCell">
    <xdr:from>
      <xdr:col>12</xdr:col>
      <xdr:colOff>0</xdr:colOff>
      <xdr:row>90</xdr:row>
      <xdr:rowOff>0</xdr:rowOff>
    </xdr:from>
    <xdr:to>
      <xdr:col>17</xdr:col>
      <xdr:colOff>418619</xdr:colOff>
      <xdr:row>97</xdr:row>
      <xdr:rowOff>28422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15430500"/>
          <a:ext cx="3847619" cy="1228572"/>
        </a:xfrm>
        <a:prstGeom prst="rect">
          <a:avLst/>
        </a:prstGeom>
      </xdr:spPr>
    </xdr:pic>
    <xdr:clientData/>
  </xdr:twoCellAnchor>
  <xdr:twoCellAnchor editAs="oneCell">
    <xdr:from>
      <xdr:col>12</xdr:col>
      <xdr:colOff>0</xdr:colOff>
      <xdr:row>97</xdr:row>
      <xdr:rowOff>0</xdr:rowOff>
    </xdr:from>
    <xdr:to>
      <xdr:col>17</xdr:col>
      <xdr:colOff>247191</xdr:colOff>
      <xdr:row>104</xdr:row>
      <xdr:rowOff>28422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29600" y="16630650"/>
          <a:ext cx="3676191" cy="1228572"/>
        </a:xfrm>
        <a:prstGeom prst="rect">
          <a:avLst/>
        </a:prstGeom>
      </xdr:spPr>
    </xdr:pic>
    <xdr:clientData/>
  </xdr:twoCellAnchor>
  <xdr:twoCellAnchor editAs="oneCell">
    <xdr:from>
      <xdr:col>6</xdr:col>
      <xdr:colOff>0</xdr:colOff>
      <xdr:row>102</xdr:row>
      <xdr:rowOff>0</xdr:rowOff>
    </xdr:from>
    <xdr:to>
      <xdr:col>11</xdr:col>
      <xdr:colOff>494810</xdr:colOff>
      <xdr:row>122</xdr:row>
      <xdr:rowOff>132905</xdr:rowOff>
    </xdr:to>
    <xdr:pic>
      <xdr:nvPicPr>
        <xdr:cNvPr id="14" name="图片 13"/>
        <xdr:cNvPicPr>
          <a:picLocks noChangeAspect="1"/>
        </xdr:cNvPicPr>
      </xdr:nvPicPr>
      <xdr:blipFill>
        <a:blip xmlns:r="http://schemas.openxmlformats.org/officeDocument/2006/relationships" r:embed="rId12"/>
        <a:stretch>
          <a:fillRect/>
        </a:stretch>
      </xdr:blipFill>
      <xdr:spPr>
        <a:xfrm>
          <a:off x="4114800" y="17487900"/>
          <a:ext cx="3923810" cy="3561905"/>
        </a:xfrm>
        <a:prstGeom prst="rect">
          <a:avLst/>
        </a:prstGeom>
      </xdr:spPr>
    </xdr:pic>
    <xdr:clientData/>
  </xdr:twoCellAnchor>
  <xdr:twoCellAnchor editAs="oneCell">
    <xdr:from>
      <xdr:col>12</xdr:col>
      <xdr:colOff>0</xdr:colOff>
      <xdr:row>104</xdr:row>
      <xdr:rowOff>0</xdr:rowOff>
    </xdr:from>
    <xdr:to>
      <xdr:col>17</xdr:col>
      <xdr:colOff>456715</xdr:colOff>
      <xdr:row>111</xdr:row>
      <xdr:rowOff>47469</xdr:rowOff>
    </xdr:to>
    <xdr:pic>
      <xdr:nvPicPr>
        <xdr:cNvPr id="15" name="图片 14"/>
        <xdr:cNvPicPr>
          <a:picLocks noChangeAspect="1"/>
        </xdr:cNvPicPr>
      </xdr:nvPicPr>
      <xdr:blipFill>
        <a:blip xmlns:r="http://schemas.openxmlformats.org/officeDocument/2006/relationships" r:embed="rId13"/>
        <a:stretch>
          <a:fillRect/>
        </a:stretch>
      </xdr:blipFill>
      <xdr:spPr>
        <a:xfrm>
          <a:off x="8229600" y="17830800"/>
          <a:ext cx="3885715" cy="1247619"/>
        </a:xfrm>
        <a:prstGeom prst="rect">
          <a:avLst/>
        </a:prstGeom>
      </xdr:spPr>
    </xdr:pic>
    <xdr:clientData/>
  </xdr:twoCellAnchor>
  <xdr:twoCellAnchor editAs="oneCell">
    <xdr:from>
      <xdr:col>0</xdr:col>
      <xdr:colOff>0</xdr:colOff>
      <xdr:row>101</xdr:row>
      <xdr:rowOff>0</xdr:rowOff>
    </xdr:from>
    <xdr:to>
      <xdr:col>5</xdr:col>
      <xdr:colOff>456715</xdr:colOff>
      <xdr:row>133</xdr:row>
      <xdr:rowOff>132648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17316450"/>
          <a:ext cx="3885715" cy="5619048"/>
        </a:xfrm>
        <a:prstGeom prst="rect">
          <a:avLst/>
        </a:prstGeom>
      </xdr:spPr>
    </xdr:pic>
    <xdr:clientData/>
  </xdr:twoCellAnchor>
  <xdr:twoCellAnchor editAs="oneCell">
    <xdr:from>
      <xdr:col>12</xdr:col>
      <xdr:colOff>0</xdr:colOff>
      <xdr:row>112</xdr:row>
      <xdr:rowOff>0</xdr:rowOff>
    </xdr:from>
    <xdr:to>
      <xdr:col>17</xdr:col>
      <xdr:colOff>418619</xdr:colOff>
      <xdr:row>144</xdr:row>
      <xdr:rowOff>94553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8229600" y="19202400"/>
          <a:ext cx="3847619" cy="5580953"/>
        </a:xfrm>
        <a:prstGeom prst="rect">
          <a:avLst/>
        </a:prstGeom>
      </xdr:spPr>
    </xdr:pic>
    <xdr:clientData/>
  </xdr:twoCellAnchor>
  <xdr:twoCellAnchor editAs="oneCell">
    <xdr:from>
      <xdr:col>0</xdr:col>
      <xdr:colOff>0</xdr:colOff>
      <xdr:row>141</xdr:row>
      <xdr:rowOff>0</xdr:rowOff>
    </xdr:from>
    <xdr:to>
      <xdr:col>5</xdr:col>
      <xdr:colOff>618619</xdr:colOff>
      <xdr:row>173</xdr:row>
      <xdr:rowOff>113600</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24174450"/>
          <a:ext cx="4047619" cy="5600000"/>
        </a:xfrm>
        <a:prstGeom prst="rect">
          <a:avLst/>
        </a:prstGeom>
      </xdr:spPr>
    </xdr:pic>
    <xdr:clientData/>
  </xdr:twoCellAnchor>
  <xdr:twoCellAnchor editAs="oneCell">
    <xdr:from>
      <xdr:col>6</xdr:col>
      <xdr:colOff>0</xdr:colOff>
      <xdr:row>141</xdr:row>
      <xdr:rowOff>0</xdr:rowOff>
    </xdr:from>
    <xdr:to>
      <xdr:col>11</xdr:col>
      <xdr:colOff>532905</xdr:colOff>
      <xdr:row>173</xdr:row>
      <xdr:rowOff>27886</xdr:rowOff>
    </xdr:to>
    <xdr:pic>
      <xdr:nvPicPr>
        <xdr:cNvPr id="19" name="图片 18"/>
        <xdr:cNvPicPr>
          <a:picLocks noChangeAspect="1"/>
        </xdr:cNvPicPr>
      </xdr:nvPicPr>
      <xdr:blipFill>
        <a:blip xmlns:r="http://schemas.openxmlformats.org/officeDocument/2006/relationships" r:embed="rId17"/>
        <a:stretch>
          <a:fillRect/>
        </a:stretch>
      </xdr:blipFill>
      <xdr:spPr>
        <a:xfrm>
          <a:off x="4114800" y="24174450"/>
          <a:ext cx="3961905" cy="5514286"/>
        </a:xfrm>
        <a:prstGeom prst="rect">
          <a:avLst/>
        </a:prstGeom>
      </xdr:spPr>
    </xdr:pic>
    <xdr:clientData/>
  </xdr:twoCellAnchor>
  <xdr:twoCellAnchor editAs="oneCell">
    <xdr:from>
      <xdr:col>0</xdr:col>
      <xdr:colOff>0</xdr:colOff>
      <xdr:row>176</xdr:row>
      <xdr:rowOff>0</xdr:rowOff>
    </xdr:from>
    <xdr:to>
      <xdr:col>5</xdr:col>
      <xdr:colOff>351953</xdr:colOff>
      <xdr:row>208</xdr:row>
      <xdr:rowOff>113600</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30175200"/>
          <a:ext cx="3780953" cy="5600000"/>
        </a:xfrm>
        <a:prstGeom prst="rect">
          <a:avLst/>
        </a:prstGeom>
      </xdr:spPr>
    </xdr:pic>
    <xdr:clientData/>
  </xdr:twoCellAnchor>
  <xdr:twoCellAnchor editAs="oneCell">
    <xdr:from>
      <xdr:col>6</xdr:col>
      <xdr:colOff>0</xdr:colOff>
      <xdr:row>176</xdr:row>
      <xdr:rowOff>0</xdr:rowOff>
    </xdr:from>
    <xdr:to>
      <xdr:col>11</xdr:col>
      <xdr:colOff>351953</xdr:colOff>
      <xdr:row>196</xdr:row>
      <xdr:rowOff>94810</xdr:rowOff>
    </xdr:to>
    <xdr:pic>
      <xdr:nvPicPr>
        <xdr:cNvPr id="21" name="图片 20"/>
        <xdr:cNvPicPr>
          <a:picLocks noChangeAspect="1"/>
        </xdr:cNvPicPr>
      </xdr:nvPicPr>
      <xdr:blipFill>
        <a:blip xmlns:r="http://schemas.openxmlformats.org/officeDocument/2006/relationships" r:embed="rId19"/>
        <a:stretch>
          <a:fillRect/>
        </a:stretch>
      </xdr:blipFill>
      <xdr:spPr>
        <a:xfrm>
          <a:off x="4114800" y="30175200"/>
          <a:ext cx="3780953" cy="35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74648</xdr:colOff>
      <xdr:row>35</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419048"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北京市朝阳区安慧东里16号楼-1至4层综合用房房地产抵押价值预评估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受贵公司委托，我公司对北京市朝阳区安慧东里16号楼-1至4层综合用房房地产抵押价值进行了预评估。</v>
      </c>
    </row>
    <row r="7" spans="1:2" s="1203" customFormat="1">
      <c r="A7" s="1201" t="s">
        <v>566</v>
      </c>
      <c r="B7" s="1202" t="str">
        <f>'预评函-1'!A7</f>
        <v>估价对象为北京市朝阳区安慧东里16号楼-1至4层综合用房房地产，为所有。根据《国有土地使用证》[]，估价对象（分摊）出让国有建设用地使用权面积为588.42平方米，建筑面积为4312.48平方米。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安慧东里16号楼-1至4层综合用房房地产,属开发建设的办公项目，该项目尚在开发建设中。根据《国有土地使用证》[]，估价对象（分摊）出让国有建设用地使用权面积为588.42平方米，规划建筑面积为4312.48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安慧东里16号楼-1至4层综合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2025年4月9日（评估专业人员实地查勘之日）</v>
      </c>
    </row>
    <row r="13" spans="1:2" s="1203" customFormat="1">
      <c r="A13" s="1201" t="s">
        <v>529</v>
      </c>
      <c r="B13" s="1202" t="str">
        <f>'预评函-1'!A18</f>
        <v>本次估价的“房地产价值”是指在正常市场情况下，在价值时点2025年4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9243</v>
      </c>
    </row>
    <row r="21" spans="1:2" s="1203" customFormat="1">
      <c r="A21" s="1201" t="s">
        <v>537</v>
      </c>
      <c r="B21" s="1202">
        <f ca="1">'预评函-2'!D7</f>
        <v>21434</v>
      </c>
    </row>
    <row r="22" spans="1:2" s="1203" customFormat="1">
      <c r="A22" s="1201" t="s">
        <v>538</v>
      </c>
      <c r="B22" s="1202" t="str">
        <f ca="1">'预评函-2'!D6</f>
        <v>玖仟贰佰肆拾叁万元整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9243</v>
      </c>
    </row>
    <row r="31" spans="1:2" s="1203" customFormat="1">
      <c r="A31" s="1201" t="s">
        <v>576</v>
      </c>
      <c r="B31" s="1202">
        <f ca="1">'预评函-2'!D15</f>
        <v>21434</v>
      </c>
    </row>
    <row r="32" spans="1:2" s="1203" customFormat="1">
      <c r="A32" s="1201" t="s">
        <v>543</v>
      </c>
      <c r="B32" s="1202" t="str">
        <f ca="1">'预评函-2'!D14</f>
        <v>玖仟贰佰肆拾叁万元整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北京市朝阳区安慧东里16号楼-1至4层综合用房房地产</v>
      </c>
    </row>
    <row r="42" spans="1:2" s="1203" customFormat="1">
      <c r="A42" s="1201" t="s">
        <v>590</v>
      </c>
      <c r="B42" s="1202" t="str">
        <f>'预评函-3'!B2</f>
        <v>建筑面积</v>
      </c>
    </row>
    <row r="43" spans="1:2" s="1203" customFormat="1">
      <c r="A43" s="1201" t="s">
        <v>591</v>
      </c>
      <c r="B43" s="1202">
        <f>'预评函-3'!B4</f>
        <v>4312.4800000000005</v>
      </c>
    </row>
    <row r="44" spans="1:2" s="1203" customFormat="1">
      <c r="A44" s="1201" t="s">
        <v>575</v>
      </c>
      <c r="B44" s="1202" t="str">
        <f>'预评函-3'!C2</f>
        <v>(分摊)土地面积</v>
      </c>
    </row>
    <row r="45" spans="1:2" s="1203" customFormat="1">
      <c r="A45" s="1201" t="s">
        <v>547</v>
      </c>
      <c r="B45" s="1202">
        <f>'预评函-3'!C4</f>
        <v>588.41999999999996</v>
      </c>
    </row>
    <row r="46" spans="1:2" s="1203" customFormat="1">
      <c r="A46" s="1201" t="s">
        <v>573</v>
      </c>
      <c r="B46" s="1202" t="str">
        <f>'预评函-3'!D2</f>
        <v>出让国有建设用地使用权价值</v>
      </c>
    </row>
    <row r="47" spans="1:2" s="1203" customFormat="1">
      <c r="A47" s="1201" t="s">
        <v>548</v>
      </c>
      <c r="B47" s="1202" t="e">
        <f ca="1">'预评函-3'!D4</f>
        <v>#N/A</v>
      </c>
    </row>
    <row r="48" spans="1:2" s="1203" customFormat="1">
      <c r="A48" s="1201" t="s">
        <v>549</v>
      </c>
      <c r="B48" s="1202" t="e">
        <f ca="1">'预评函-3'!E4</f>
        <v>#N/A</v>
      </c>
    </row>
    <row r="49" spans="1:2" s="1203" customFormat="1">
      <c r="A49" s="1201" t="s">
        <v>550</v>
      </c>
      <c r="B49" s="1202" t="e">
        <f ca="1">'预评函-3'!D5</f>
        <v>#N/A</v>
      </c>
    </row>
    <row r="50" spans="1:2" s="1203" customFormat="1">
      <c r="A50" s="1201" t="s">
        <v>574</v>
      </c>
      <c r="B50" s="1202" t="str">
        <f>'预评函-3'!F2</f>
        <v>在建建筑物价值</v>
      </c>
    </row>
    <row r="51" spans="1:2" s="1203" customFormat="1">
      <c r="A51" s="1201" t="s">
        <v>551</v>
      </c>
      <c r="B51" s="1202" t="e">
        <f ca="1">'预评函-3'!F4</f>
        <v>#N/A</v>
      </c>
    </row>
    <row r="52" spans="1:2" s="1203" customFormat="1">
      <c r="A52" s="1201" t="s">
        <v>552</v>
      </c>
      <c r="B52" s="1202" t="e">
        <f ca="1">'预评函-3'!G4</f>
        <v>#N/A</v>
      </c>
    </row>
    <row r="53" spans="1:2" s="1203" customFormat="1">
      <c r="A53" s="1201" t="s">
        <v>580</v>
      </c>
      <c r="B53" s="1202" t="e">
        <f ca="1">'预评函-3'!F5</f>
        <v>#N/A</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安慧东里16号楼-1至4层综合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5" t="s">
        <v>2580</v>
      </c>
      <c r="J2" s="3525"/>
      <c r="K2" s="3525"/>
      <c r="L2" s="3525"/>
      <c r="M2" s="3525"/>
      <c r="N2" s="3525"/>
      <c r="O2" s="3525"/>
      <c r="P2" s="3525"/>
      <c r="Q2" s="3525"/>
      <c r="R2" s="3525"/>
    </row>
    <row r="3" spans="1:18">
      <c r="A3" s="3019" t="s">
        <v>2501</v>
      </c>
      <c r="B3" s="3020">
        <f>项目基本情况!D3</f>
        <v>45756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1.69</v>
      </c>
      <c r="D5" s="3024">
        <f>IF(ISERROR(ROUND(POWER(1+E5,A5-C5)*(POWER(1+E5,C5)-1)/(POWER(1+E5,A5)-1),3)),0,ROUND(POWER(1+E5,A5-C5)*(POWER(1+E5,C5)-1)/(POWER(1+E5,A5)-1),4))</f>
        <v>8.1000000000000003E-2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11.7</v>
      </c>
      <c r="D6" s="3024">
        <f>IF(ISERROR(ROUND(POWER(1+E6,A6-C6)*(POWER(1+E6,C6)-1)/(POWER(1+E6,A6)-1),3)),0,ROUND(POWER(1+E6,A6-C6)*(POWER(1+E6,C6)-1)/(POWER(1+E6,A6)-1),4))</f>
        <v>0.42830000000000001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31.71</v>
      </c>
      <c r="D7" s="3024">
        <f>IF(ISERROR(ROUND(POWER(1+E7,A7-C7)*(POWER(1+E7,C7)-1)/(POWER(1+E7,A7)-1),3)),0,ROUND(POWER(1+E7,A7-C7)*(POWER(1+E7,C7)-1)/(POWER(1+E7,A7)-1),4))</f>
        <v>0.76049999999999995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3386</v>
      </c>
    </row>
    <row r="50" spans="1:4">
      <c r="A50" s="3448" t="s">
        <v>3387</v>
      </c>
      <c r="B50" s="3448" t="s">
        <v>3388</v>
      </c>
      <c r="C50" s="3448" t="s">
        <v>3389</v>
      </c>
      <c r="D50" s="3448" t="s">
        <v>3390</v>
      </c>
    </row>
    <row r="51" spans="1:4">
      <c r="A51" s="3448" t="s">
        <v>3391</v>
      </c>
      <c r="B51" s="3021">
        <f>B52+B53</f>
        <v>15000</v>
      </c>
      <c r="C51" s="3449">
        <f>D51/B51</f>
        <v>2666.6666666666665</v>
      </c>
      <c r="D51" s="3021">
        <f>D52+D53</f>
        <v>40000000</v>
      </c>
    </row>
    <row r="52" spans="1:4">
      <c r="A52" s="3450" t="s">
        <v>3392</v>
      </c>
      <c r="B52" s="3451">
        <v>10000</v>
      </c>
      <c r="C52" s="3451">
        <v>1500</v>
      </c>
      <c r="D52" s="3452">
        <f>C52*B52</f>
        <v>15000000</v>
      </c>
    </row>
    <row r="53" spans="1:4">
      <c r="A53" s="3450" t="s">
        <v>3393</v>
      </c>
      <c r="B53" s="3451">
        <v>5000</v>
      </c>
      <c r="C53" s="3451">
        <v>5000</v>
      </c>
      <c r="D53" s="3452">
        <f>C53*B53</f>
        <v>25000000</v>
      </c>
    </row>
    <row r="54" spans="1:4">
      <c r="A54" s="3448" t="s">
        <v>3394</v>
      </c>
      <c r="B54" s="3021">
        <f>B51</f>
        <v>15000</v>
      </c>
      <c r="C54" s="3028">
        <v>700</v>
      </c>
      <c r="D54" s="3021">
        <f t="shared" ref="D54:D55" si="5">C54*B54</f>
        <v>10500000</v>
      </c>
    </row>
    <row r="55" spans="1:4">
      <c r="A55" s="3448" t="s">
        <v>3395</v>
      </c>
      <c r="B55" s="3021">
        <f>B51</f>
        <v>15000</v>
      </c>
      <c r="C55" s="3028">
        <v>1500</v>
      </c>
      <c r="D55" s="3021">
        <f t="shared" si="5"/>
        <v>22500000</v>
      </c>
    </row>
    <row r="56" spans="1:4">
      <c r="A56" s="3448" t="s">
        <v>3396</v>
      </c>
      <c r="B56" s="3021">
        <f>B51</f>
        <v>15000</v>
      </c>
      <c r="C56" s="3453">
        <f>C51+C54+C55</f>
        <v>4866.6666666666661</v>
      </c>
      <c r="D56" s="3021">
        <f>D51+D54+D55</f>
        <v>73000000</v>
      </c>
    </row>
    <row r="58" spans="1:4">
      <c r="A58" s="3448" t="s">
        <v>3397</v>
      </c>
      <c r="B58" s="3454">
        <v>0.05</v>
      </c>
      <c r="C58" s="3021">
        <f>C56*(1+B58)</f>
        <v>5110</v>
      </c>
      <c r="D58" s="3021">
        <f>D56*B58</f>
        <v>3650000</v>
      </c>
    </row>
    <row r="60" spans="1:4">
      <c r="A60" s="3448" t="s">
        <v>3398</v>
      </c>
      <c r="B60" s="3028">
        <v>3500</v>
      </c>
      <c r="C60" s="3028">
        <f>C53</f>
        <v>5000</v>
      </c>
      <c r="D60" s="3021">
        <f>C60*B60</f>
        <v>17500000</v>
      </c>
    </row>
    <row r="62" spans="1:4">
      <c r="A62" s="3448" t="s">
        <v>3399</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北京市朝阳区安慧东里16号楼-1至4层综合用房房地产抵押价值预评估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北京市朝阳区安慧东里16号楼-1至4层综合用房房地产抵押价值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北京市朝阳区安慧东里16号楼-1至4层综合用房房地产</v>
      </c>
      <c r="T2" s="1745"/>
      <c r="U2" s="1745"/>
      <c r="V2" s="1745"/>
      <c r="W2" s="1745"/>
      <c r="X2" s="1745"/>
      <c r="Y2" s="1745"/>
      <c r="Z2" s="1745"/>
      <c r="AA2" s="1745"/>
      <c r="AB2" s="1745"/>
    </row>
    <row r="3" spans="1:30">
      <c r="A3" s="302" t="s">
        <v>2170</v>
      </c>
      <c r="B3" s="2373">
        <v>45756</v>
      </c>
      <c r="C3" s="2374" t="s">
        <v>2171</v>
      </c>
      <c r="D3" s="2373">
        <f>B3</f>
        <v>45756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3411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9"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0"/>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82" t="s">
        <v>3492</v>
      </c>
      <c r="G10" s="2666"/>
      <c r="H10" s="2667"/>
      <c r="I10" s="2668"/>
      <c r="J10" s="2439"/>
      <c r="K10" s="2616"/>
      <c r="L10" s="2613"/>
      <c r="M10" s="2613"/>
      <c r="N10" s="2439"/>
      <c r="O10" s="2450"/>
      <c r="P10" s="2439"/>
      <c r="Q10" s="2439"/>
      <c r="R10" s="2439"/>
    </row>
    <row r="11" spans="1:30">
      <c r="A11" s="2401" t="s">
        <v>2181</v>
      </c>
      <c r="B11" s="2402" t="s">
        <v>3485</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3331</v>
      </c>
      <c r="B13" s="2407" t="s">
        <v>2190</v>
      </c>
      <c r="C13" s="856"/>
      <c r="D13" s="856"/>
      <c r="E13" s="856">
        <v>59431</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6"/>
      <c r="C16" s="3537"/>
      <c r="D16" s="3538"/>
      <c r="E16" s="2413" t="s">
        <v>2194</v>
      </c>
      <c r="F16" s="3539"/>
      <c r="G16" s="3540"/>
      <c r="H16" s="3540"/>
      <c r="I16" s="3541"/>
      <c r="J16" s="2439"/>
      <c r="K16" s="2617"/>
      <c r="L16" s="2451"/>
      <c r="M16" s="2451"/>
      <c r="N16" s="2509"/>
      <c r="O16" s="2451"/>
      <c r="P16" s="2509"/>
      <c r="Q16" s="2439"/>
      <c r="R16" s="2439"/>
    </row>
    <row r="17" spans="1:28">
      <c r="A17" s="313" t="s">
        <v>2195</v>
      </c>
      <c r="B17" s="302" t="s">
        <v>2196</v>
      </c>
      <c r="C17" s="8">
        <f>'数据-汇总表'!E3</f>
        <v>4312.4800000000005</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588.41999999999996</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2218</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2938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588.41999999999996</v>
      </c>
      <c r="B3" s="11">
        <f>IF(C3="否",G5-AT5,G5)</f>
        <v>4312.4800000000005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4312.4800000000005</v>
      </c>
      <c r="H5" s="13">
        <f t="shared" ref="H5:AT5" si="0">SUM(H13:H656)</f>
        <v>4312.4800000000005</v>
      </c>
      <c r="I5" s="13">
        <f t="shared" si="0"/>
        <v>3344.01</v>
      </c>
      <c r="J5" s="13">
        <f t="shared" si="0"/>
        <v>0</v>
      </c>
      <c r="K5" s="13">
        <f t="shared" si="0"/>
        <v>968.47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4312.4800000000005</v>
      </c>
      <c r="BA5" s="15">
        <f t="shared" si="1"/>
        <v>4312.4800000000005</v>
      </c>
      <c r="BB5" s="15">
        <f t="shared" si="1"/>
        <v>3344.01</v>
      </c>
      <c r="BC5" s="15">
        <f t="shared" si="1"/>
        <v>968.47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588.41999999999996</v>
      </c>
      <c r="F6" s="13" t="s">
        <v>0</v>
      </c>
      <c r="G6" s="13" t="s">
        <v>1</v>
      </c>
      <c r="H6" s="17">
        <f>SUMIF(I$12:AB$12,"总值",I6:AB6)</f>
        <v>588.41999999999996</v>
      </c>
      <c r="I6" s="13">
        <f t="shared" ref="I6:AB6" si="2">ROUND($A$3*I5/$B$3,2)</f>
        <v>456.28</v>
      </c>
      <c r="J6" s="13">
        <f t="shared" si="2"/>
        <v>0</v>
      </c>
      <c r="K6" s="13">
        <f t="shared" si="2"/>
        <v>132.13999999999999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588.41999999999996</v>
      </c>
      <c r="AZ6" s="13" t="s">
        <v>2</v>
      </c>
      <c r="BA6" s="13">
        <f>ROUND($AY$6*BA5/$AZ$5,2)</f>
        <v>588.41999999999996</v>
      </c>
      <c r="BB6" s="13">
        <f>ROUND($AY$6*BB5/$AZ$5,2)</f>
        <v>456.28</v>
      </c>
      <c r="BC6" s="13">
        <f t="shared" ref="BC6:BH6" si="4">ROUND($AY$6*BC5/$AZ$5,2)</f>
        <v>132.13999999999999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t="s">
        <v>3490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3489</v>
      </c>
      <c r="J11" s="1615"/>
      <c r="K11" s="1614" t="s">
        <v>3489</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t="str">
        <f>K11</f>
        <v>公寓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83" t="s">
        <v>3486</v>
      </c>
      <c r="D13" s="1625" t="s">
        <v>3419</v>
      </c>
      <c r="E13" s="13">
        <f>IF($C$3="是",ROUND($A$3*G13/$B$3,2),ROUND($A$3*(G13-AT13)/$B$3,2))</f>
        <v>96.22</v>
      </c>
      <c r="F13" s="29"/>
      <c r="G13" s="30">
        <f>H13+AC13+AT13</f>
        <v>705.21</v>
      </c>
      <c r="H13" s="17">
        <f>SUMIF(I$12:AB$12,"总值",I13:AB13)</f>
        <v>705.21</v>
      </c>
      <c r="I13" s="1626">
        <v>705.21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96.22</v>
      </c>
      <c r="AZ13" s="13">
        <f>BA13+BL13</f>
        <v>705.21</v>
      </c>
      <c r="BA13" s="13">
        <f>SUM(BB13:BK13)</f>
        <v>705.21</v>
      </c>
      <c r="BB13" s="13">
        <f>IF($D13="是",I13-J13,0)</f>
        <v>705.21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83" t="s">
        <v>3487</v>
      </c>
      <c r="D14" s="1625" t="s">
        <v>3419</v>
      </c>
      <c r="E14" s="13">
        <f>IF($C$3="是",ROUND($A$3*G14/$B$3,2),ROUND($A$3*(G14-AT14)/$B$3,2))</f>
        <v>360.05</v>
      </c>
      <c r="F14" s="29"/>
      <c r="G14" s="30">
        <f>H14+AC14+AT14</f>
        <v>2638.8</v>
      </c>
      <c r="H14" s="17">
        <f>SUMIF(I$12:AB$12,"总值",I14:AB14)</f>
        <v>2638.8</v>
      </c>
      <c r="I14" s="1626">
        <v>2638.8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2至4层</v>
      </c>
      <c r="AY14" s="1349">
        <f>ROUND($AY$6*AZ14/$AZ$5,2)</f>
        <v>360.05</v>
      </c>
      <c r="AZ14" s="13">
        <f>BA14+BL14</f>
        <v>2638.8</v>
      </c>
      <c r="BA14" s="13">
        <f>SUM(BB14:BK14)</f>
        <v>2638.8</v>
      </c>
      <c r="BB14" s="13">
        <f>IF($D14="是",I14-J14,0)</f>
        <v>2638.8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83" t="s">
        <v>3488</v>
      </c>
      <c r="D15" s="1625" t="s">
        <v>3419</v>
      </c>
      <c r="E15" s="13">
        <f>IF($C$3="是",ROUND($A$3*G15/$B$3,2),ROUND($A$3*(G15-AT15)/$B$3,2))</f>
        <v>132.13999999999999</v>
      </c>
      <c r="F15" s="29"/>
      <c r="G15" s="30">
        <f>H15+AC15+AT15</f>
        <v>968.47</v>
      </c>
      <c r="H15" s="17">
        <f>SUMIF(I$12:AB$12,"总值",I15:AB15)</f>
        <v>968.47</v>
      </c>
      <c r="I15" s="1626"/>
      <c r="J15" s="1626"/>
      <c r="K15" s="1626">
        <v>968.47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地下1层</v>
      </c>
      <c r="AY15" s="1349">
        <f>ROUND($AY$6*AZ15/$AZ$5,2)</f>
        <v>132.13999999999999</v>
      </c>
      <c r="AZ15" s="13">
        <f>BA15+BL15</f>
        <v>968.47</v>
      </c>
      <c r="BA15" s="13">
        <f>SUM(BB15:BK15)</f>
        <v>968.47</v>
      </c>
      <c r="BB15" s="13">
        <f>IF($D15="是",I15-J15,0)</f>
        <v>0</v>
      </c>
      <c r="BC15" s="13">
        <f>IF($D15="是",K15-L15,0)</f>
        <v>968.47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L11" sqref="L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588.41999999999996</v>
      </c>
      <c r="E3" s="43">
        <f>'数据-基础表'!AZ5</f>
        <v>4312.4800000000005</v>
      </c>
      <c r="F3" s="2659"/>
      <c r="G3" s="1145"/>
      <c r="H3" s="1026" t="s">
        <v>1106</v>
      </c>
      <c r="I3" s="855">
        <f>ROUND('数据-基础表'!B3/'数据-基础表'!A3,2)</f>
        <v>7.33</v>
      </c>
      <c r="J3" s="2659"/>
      <c r="K3" s="2659"/>
      <c r="L3" s="2659"/>
      <c r="M3" s="2659"/>
      <c r="N3" s="2661"/>
      <c r="O3" s="2659"/>
      <c r="P3" s="2659"/>
    </row>
    <row r="4" spans="1:16" ht="15">
      <c r="A4" s="3567"/>
      <c r="B4" s="3568"/>
      <c r="C4" s="3569"/>
      <c r="D4" s="1641" t="s">
        <v>1107</v>
      </c>
      <c r="E4" s="1642" t="s">
        <v>1108</v>
      </c>
      <c r="F4" s="2659"/>
      <c r="G4" s="2652" t="s">
        <v>1133</v>
      </c>
      <c r="H4" s="1026" t="s">
        <v>1113</v>
      </c>
      <c r="I4" s="855">
        <f>ROUND(SUMIF('数据-基础表'!I9:AS9,"地上",'数据-基础表'!I5:AS5)/'数据-基础表'!A3,2)</f>
        <v>5.68</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f>ROUND(E31/D31,2)</f>
        <v>7.33</v>
      </c>
      <c r="J5" s="2659"/>
      <c r="K5" s="2659"/>
      <c r="L5" s="2659"/>
      <c r="M5" s="2659"/>
      <c r="N5" s="2659"/>
      <c r="O5" s="2659"/>
      <c r="P5" s="2659"/>
    </row>
    <row r="6" spans="1:16" ht="15" thickBot="1">
      <c r="A6" s="1644"/>
      <c r="B6" s="3570" t="s">
        <v>1111</v>
      </c>
      <c r="C6" s="3570"/>
      <c r="D6" s="45">
        <f>ROUND($D$3*E6/$E$3,2)</f>
        <v>588.41999999999996</v>
      </c>
      <c r="E6" s="46">
        <f>E3-E5</f>
        <v>4312.4800000000005</v>
      </c>
      <c r="F6" s="2659"/>
      <c r="G6" s="2653" t="s">
        <v>1112</v>
      </c>
      <c r="H6" s="1146" t="s">
        <v>1113</v>
      </c>
      <c r="I6" s="2654">
        <f>ROUND(F31/D31,2)</f>
        <v>5.68</v>
      </c>
      <c r="J6" s="2659"/>
      <c r="K6" s="2659"/>
      <c r="L6" s="2659"/>
      <c r="M6" s="2659"/>
      <c r="N6" s="2659"/>
      <c r="O6" s="2659"/>
      <c r="P6" s="2659"/>
    </row>
    <row r="7" spans="1:16" ht="15.75" thickBot="1">
      <c r="A7" s="3562"/>
      <c r="B7" s="3563"/>
      <c r="C7" s="356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456.28</v>
      </c>
      <c r="E8" s="48">
        <f>SUMIF('数据-基础表'!BB10:BK10,"地上",'数据-基础表'!BB5:BK5)</f>
        <v>3344.01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132.13999999999999</v>
      </c>
      <c r="E11" s="48">
        <f>SUMPRODUCT(('数据-基础表'!BB10:BK10="地下")*('数据-基础表'!BB11:BK11="办公")*('数据-基础表'!BB5:BK5))+'数据-基础表'!BP5</f>
        <v>968.47</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588.41999999999996</v>
      </c>
      <c r="E16" s="50">
        <f>SUM(E8:E15)</f>
        <v>4312.4800000000005</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3491</v>
      </c>
      <c r="D19" s="45">
        <f>ROUND($D$3*E19/$E$3,2)</f>
        <v>588.41999999999996</v>
      </c>
      <c r="E19" s="53">
        <f t="shared" ref="E19:E26" si="1">SUM(F19:G19)</f>
        <v>4312.4800000000005</v>
      </c>
      <c r="F19" s="2794">
        <f>'数据-基础表'!I13+'数据-基础表'!I14</f>
        <v>3344.01</v>
      </c>
      <c r="G19" s="2795">
        <f>'数据-基础表'!K15</f>
        <v>968.47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588.41999999999996</v>
      </c>
      <c r="S19" s="1027">
        <f t="shared" si="5"/>
        <v>4312.4800000000005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588.41999999999996</v>
      </c>
      <c r="E27" s="1141">
        <f>IF(SUM(E19:E26)='数据-基础表'!BA5,SUM(E19:E26),IF(F27="地上面积有误","面积有误","地下面积有误"))</f>
        <v>4312.4800000000005</v>
      </c>
      <c r="F27" s="1140">
        <f>IF(SUM(F19:F26)=E8,SUM(F19:F26),"地上面积有误")</f>
        <v>3344.01</v>
      </c>
      <c r="G27" s="1142">
        <f>SUM(G19:G26)</f>
        <v>968.47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588.41999999999996</v>
      </c>
      <c r="S27" s="1026">
        <f>IF(SUM(S19:S26)=$E$3,SUM(S19:S26),SUM(S19:S26)&amp;"误差"&amp;ROUND(SUM(S19:S26)-E3,2))</f>
        <v>4312.4800000000005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588.41999999999996</v>
      </c>
      <c r="E31" s="676">
        <f>E27+E30</f>
        <v>4312.4800000000005</v>
      </c>
      <c r="F31" s="677">
        <f>F27+F30</f>
        <v>3344.01</v>
      </c>
      <c r="G31" s="678">
        <f>G27+G30</f>
        <v>968.47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3" width="7.25" style="1682" customWidth="1"/>
    <col min="34" max="34" width="8.6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45756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公寓</v>
      </c>
      <c r="B6" s="1713" t="str">
        <f>IF(A6=0,"","经营性")</f>
        <v>经营性</v>
      </c>
      <c r="C6" s="1714" t="s">
        <v>21</v>
      </c>
      <c r="D6" s="858">
        <f>SUMIF(项目基本情况!C$12:I$12,C6,项目基本情况!C$14:I$14)</f>
        <v>50</v>
      </c>
      <c r="E6" s="857">
        <f>IF(B6="","",SUMIF(项目基本情况!C$12:I$12,C6,项目基本情况!C$13:I$13))</f>
        <v>59431</v>
      </c>
      <c r="F6" s="64">
        <f>SUMIF(项目基本情况!C$12:I$12,C6,项目基本情况!C$15:I$15)</f>
        <v>37.46</v>
      </c>
      <c r="G6" s="65">
        <f>IF(ISERROR(ROUND(POWER(1+H6,D6-F6)*(POWER(1+H6,F6)-1)/(POWER(1+H6,D6)-1),3)),0,ROUND(POWER(1+H6,D6-F6)*(POWER(1+H6,F6)-1)/(POWER(1+H6,D6)-1),3))</f>
        <v>0.91900000000000004</v>
      </c>
      <c r="H6" s="732">
        <v>0.05</v>
      </c>
      <c r="I6" s="732">
        <v>5.5E-2</v>
      </c>
      <c r="J6" s="66">
        <v>7.0000000000000007E-2</v>
      </c>
      <c r="K6" s="1030">
        <f>SUMIF('数据-汇总表'!C$19:C$33,A6,'数据-汇总表'!E$19:E$33)</f>
        <v>4312.4800000000005</v>
      </c>
      <c r="L6" s="733">
        <v>4500</v>
      </c>
      <c r="M6" s="67">
        <f t="shared" ref="M6:M14" si="0">ROUND(K6*L6/10000,0)</f>
        <v>1941</v>
      </c>
      <c r="N6" s="731">
        <f>N22</f>
        <v>0.72</v>
      </c>
      <c r="O6" s="67" t="str">
        <f>IF($N$5="成新度","——",ROUND(M6*N6,0))</f>
        <v>——</v>
      </c>
      <c r="P6" s="68" t="str">
        <f>IF($N$5="成新度","——",M6-O6)</f>
        <v>——</v>
      </c>
      <c r="Q6" s="734">
        <v>0.15</v>
      </c>
      <c r="R6" s="69">
        <f ca="1">SUMIF('数据-汇总表'!C$19:C$33,A6,'数据-汇总表'!R$19:R$27)</f>
        <v>588.41999999999996</v>
      </c>
      <c r="S6" s="51">
        <f>IF('数据-汇总表'!$I$17="按面积比例",SUMIF('数据-汇总表'!C$19:C$33,A6,'数据-汇总表'!K$19:K$33),SUMIF('数据-汇总表'!C$19:C$33,A6,'数据-汇总表'!N$19:N$33))</f>
        <v>0</v>
      </c>
      <c r="T6" s="1172">
        <f>ROUND($L$14*S6/10000,0)</f>
        <v>0</v>
      </c>
      <c r="U6" s="3427">
        <v>4.2</v>
      </c>
      <c r="V6" s="70">
        <v>0.02</v>
      </c>
      <c r="W6" s="70">
        <v>0.1</v>
      </c>
      <c r="X6" s="1040"/>
      <c r="Y6" s="71">
        <f>N6</f>
        <v>0.72</v>
      </c>
      <c r="Z6" s="72"/>
      <c r="AA6" s="66"/>
      <c r="AB6" s="66"/>
      <c r="AC6" s="1040"/>
      <c r="AD6" s="73"/>
      <c r="AE6" s="1041">
        <f ca="1">IF(AN6="",0,SUMIF(INDIRECT("'"&amp;AN6&amp;"'"&amp;"!E:E"),$AE$5,INDIRECT("'"&amp;AN6&amp;"'"&amp;"!F:F")))</f>
        <v>35</v>
      </c>
      <c r="AF6" s="1348"/>
      <c r="AG6" s="138">
        <f>IF(AF6="",0,AE6-AF6)</f>
        <v>0</v>
      </c>
      <c r="AH6" s="74">
        <f>'数据-汇总表'!F31</f>
        <v>3344.01</v>
      </c>
      <c r="AI6" s="76">
        <v>365</v>
      </c>
      <c r="AJ6" s="77"/>
      <c r="AK6" s="78">
        <v>5.0000000000000001E-3</v>
      </c>
      <c r="AL6" s="79">
        <v>1E-3</v>
      </c>
      <c r="AM6" s="80">
        <v>0.01</v>
      </c>
      <c r="AN6" s="1715" t="s">
        <v>3502</v>
      </c>
      <c r="AO6" s="52">
        <f ca="1">SUMIF(INDIRECT("'"&amp;AN6&amp;"'"&amp;"!A:A"),"总价",INDIRECT("'"&amp;AN6&amp;"'"&amp;"!B:B"))</f>
        <v>7267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0.91900000000000004</v>
      </c>
      <c r="H16" s="90">
        <f>ROUND(SUMPRODUCT(H6:H13,K6:K13)/SUMPRODUCT((H6:H13&gt;0)*(K6:K13)),3)</f>
        <v>0.05</v>
      </c>
      <c r="I16" s="91"/>
      <c r="J16" s="91"/>
      <c r="K16" s="92">
        <f>SUM(K6:K15)</f>
        <v>4312.4800000000005</v>
      </c>
      <c r="L16" s="93">
        <f>ROUND(M16*10000/SUM(K6:K14),0)</f>
        <v>4501</v>
      </c>
      <c r="M16" s="93">
        <f>SUM(M6:M14)</f>
        <v>1941</v>
      </c>
      <c r="N16" s="94">
        <f>ROUND(SUMPRODUCT(M6:M14,N6:N14)/M16,3)</f>
        <v>0.72</v>
      </c>
      <c r="O16" s="93">
        <f>SUM(O6:O14)</f>
        <v>0</v>
      </c>
      <c r="P16" s="93">
        <f>SUM(P6:P14)</f>
        <v>0</v>
      </c>
      <c r="Q16" s="95">
        <f>ROUND(SUMPRODUCT(Q6:Q13,K6:K13)/SUMPRODUCT((Q6:Q13&gt;0)*(K6:K13)),2)</f>
        <v>0.15</v>
      </c>
      <c r="R16" s="1034">
        <f ca="1">SUM(R6:R13)</f>
        <v>588.41999999999996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t="s">
        <v>3501</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v>2000</v>
      </c>
      <c r="O19" s="2670"/>
      <c r="P19" s="2670"/>
      <c r="Q19" s="2670"/>
      <c r="R19" s="2670"/>
      <c r="S19" s="2670"/>
      <c r="T19" s="2670"/>
      <c r="U19" s="3476">
        <f>750*10000/365/K16</f>
        <v>4.7647630146642888</v>
      </c>
      <c r="V19" s="2670"/>
      <c r="W19" s="2670"/>
      <c r="X19" s="3476" t="s">
        <v>3518</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76" t="s">
        <v>3497</v>
      </c>
      <c r="N20" s="2670">
        <f>ROUND(1-(1-0%)*(2025-N19)/60,2)</f>
        <v>0.57999999999999996</v>
      </c>
      <c r="O20" s="2670"/>
      <c r="P20" s="2670"/>
      <c r="Q20" s="2670"/>
      <c r="R20" s="2670"/>
      <c r="S20" s="2670"/>
      <c r="T20" s="2670"/>
      <c r="U20" s="3476"/>
      <c r="V20" s="2670"/>
      <c r="W20" s="2670"/>
      <c r="X20" s="3476" t="s">
        <v>3519</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76" t="s">
        <v>3498</v>
      </c>
      <c r="N21" s="2670">
        <v>0.85</v>
      </c>
      <c r="O21" s="2670"/>
      <c r="P21" s="2670"/>
      <c r="Q21" s="2670"/>
      <c r="R21" s="2670"/>
      <c r="S21" s="2670"/>
      <c r="T21" s="2670"/>
      <c r="U21" s="3476"/>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3476" t="s">
        <v>3499</v>
      </c>
      <c r="N22" s="2670">
        <f>ROUND((N20+N21)/2,2)</f>
        <v>0.72</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76" t="s">
        <v>3507</v>
      </c>
      <c r="U23" s="3476" t="s">
        <v>3508</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3476" t="s">
        <v>3506</v>
      </c>
      <c r="T24" s="2670">
        <f>'数据-汇总表'!F31</f>
        <v>3344.01</v>
      </c>
      <c r="U24" s="2670">
        <v>4.2</v>
      </c>
      <c r="V24" s="2670">
        <f>T24*U24</f>
        <v>14044.842000000002</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3476" t="s">
        <v>3509</v>
      </c>
      <c r="T25" s="2670">
        <f>'数据-汇总表'!G31</f>
        <v>968.47</v>
      </c>
      <c r="U25" s="2670">
        <v>1</v>
      </c>
      <c r="V25" s="2670">
        <f>T25*U25</f>
        <v>968.47</v>
      </c>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f>T24+T25</f>
        <v>4312.4800000000005</v>
      </c>
      <c r="U26" s="2670">
        <f>V26/T26</f>
        <v>3.4813638556004896</v>
      </c>
      <c r="V26" s="2670">
        <f>V24+V25</f>
        <v>15013.312000000002</v>
      </c>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86</v>
      </c>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3384</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75" t="s">
        <v>3493</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12</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110</v>
      </c>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4312.4800000000005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45756</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9243</v>
      </c>
      <c r="C5" s="2512">
        <f ca="1">IF(B5=D14,结果表!H102,ROUND(B5*10000/$B$1,0))</f>
        <v>21434</v>
      </c>
      <c r="D5" s="2512" t="e">
        <f ca="1">ROUND(B5*10000/$B$2,0)</f>
        <v>#DIV/0!</v>
      </c>
      <c r="E5" s="2685"/>
      <c r="F5" s="2686"/>
      <c r="G5" s="2686"/>
      <c r="H5" s="2687"/>
      <c r="I5" s="2687"/>
      <c r="J5" s="2687"/>
      <c r="K5" s="2687"/>
    </row>
    <row r="6" spans="1:11" ht="16.5">
      <c r="A6" s="2512" t="s">
        <v>656</v>
      </c>
      <c r="B6" s="2512">
        <f ca="1">SUM(G14:G23)</f>
        <v>9243</v>
      </c>
      <c r="C6" s="2512">
        <f ca="1">IF(B6=G14,结果表!H108,ROUND(B6*10000/$B$1,0))</f>
        <v>21434</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 ca="1">SUM(I14:I23)</f>
        <v>9238</v>
      </c>
      <c r="C8" s="2512" t="str">
        <f ca="1">IF(B8=I14,结果表!H112,ROUND(B8*10000/$B$1,0))</f>
        <v>——</v>
      </c>
      <c r="D8" s="2512" t="e">
        <f ca="1">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3355</v>
      </c>
      <c r="D10" s="2512" t="s">
        <v>3356</v>
      </c>
      <c r="E10" s="3440"/>
      <c r="F10" s="3444" t="s">
        <v>3357</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'数据-汇总表'!E3</f>
        <v>4312.4800000000005</v>
      </c>
      <c r="C14" s="2518"/>
      <c r="D14" s="2518">
        <f ca="1">结果表!G19</f>
        <v>9243</v>
      </c>
      <c r="E14" s="2518">
        <f ca="1">ROUND(D14*10000/B14,0)</f>
        <v>21433</v>
      </c>
      <c r="F14" s="2518" t="e">
        <f ca="1">ROUND(D14*10000/C14,0)</f>
        <v>#DIV/0!</v>
      </c>
      <c r="G14" s="2518">
        <f ca="1">D14</f>
        <v>9243</v>
      </c>
      <c r="H14" s="2518"/>
      <c r="I14" s="2518">
        <f ca="1">结果表!N59</f>
        <v>9238</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0" t="str">
        <f>项目基本情况!S2</f>
        <v>北京市朝阳区安慧东里16号楼-1至4层综合用房房地产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4" t="s">
        <v>1265</v>
      </c>
      <c r="B4" s="1755" t="s">
        <v>1266</v>
      </c>
      <c r="C4" s="1756" t="s">
        <v>3503</v>
      </c>
      <c r="D4" s="1756" t="s">
        <v>3502</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643">
        <v>25</v>
      </c>
      <c r="C5" s="3646"/>
      <c r="D5" s="3634"/>
      <c r="E5" s="131" t="s">
        <v>1269</v>
      </c>
      <c r="F5" s="1757"/>
      <c r="G5" s="1757"/>
      <c r="H5" s="1757"/>
      <c r="I5" s="1373"/>
    </row>
    <row r="6" spans="1:12" ht="12.75">
      <c r="A6" s="3588"/>
      <c r="B6" s="3643"/>
      <c r="C6" s="3648"/>
      <c r="D6" s="3634"/>
      <c r="E6" s="131" t="s">
        <v>1270</v>
      </c>
      <c r="F6" s="1757"/>
      <c r="G6" s="1757"/>
      <c r="H6" s="1757"/>
      <c r="I6" s="1373"/>
    </row>
    <row r="7" spans="1:12" ht="12.75">
      <c r="A7" s="3588"/>
      <c r="B7" s="3643"/>
      <c r="C7" s="3647"/>
      <c r="D7" s="3634"/>
      <c r="E7" s="131" t="s">
        <v>1271</v>
      </c>
      <c r="F7" s="1757"/>
      <c r="G7" s="1757"/>
      <c r="H7" s="1757"/>
      <c r="I7" s="1373"/>
    </row>
    <row r="8" spans="1:12" ht="12.75">
      <c r="A8" s="3588" t="s">
        <v>1272</v>
      </c>
      <c r="B8" s="3643">
        <v>15</v>
      </c>
      <c r="C8" s="3646"/>
      <c r="D8" s="3634"/>
      <c r="E8" s="131" t="s">
        <v>1273</v>
      </c>
      <c r="F8" s="1757"/>
      <c r="G8" s="1757"/>
      <c r="H8" s="1757"/>
      <c r="I8" s="1373"/>
    </row>
    <row r="9" spans="1:12" ht="12.75">
      <c r="A9" s="3588"/>
      <c r="B9" s="3643"/>
      <c r="C9" s="3647"/>
      <c r="D9" s="3634"/>
      <c r="E9" s="131" t="s">
        <v>1274</v>
      </c>
      <c r="F9" s="1757"/>
      <c r="G9" s="1757"/>
      <c r="H9" s="1757"/>
      <c r="I9" s="1373"/>
    </row>
    <row r="10" spans="1:12" ht="12.75">
      <c r="A10" s="3588" t="s">
        <v>1275</v>
      </c>
      <c r="B10" s="3643">
        <v>15</v>
      </c>
      <c r="C10" s="3646"/>
      <c r="D10" s="3634"/>
      <c r="E10" s="131" t="s">
        <v>1276</v>
      </c>
      <c r="F10" s="1757"/>
      <c r="G10" s="1757"/>
      <c r="H10" s="1757"/>
      <c r="I10" s="1373"/>
    </row>
    <row r="11" spans="1:12" ht="12.75">
      <c r="A11" s="3588"/>
      <c r="B11" s="3643"/>
      <c r="C11" s="3647"/>
      <c r="D11" s="3634"/>
      <c r="E11" s="131" t="s">
        <v>1277</v>
      </c>
      <c r="F11" s="1757"/>
      <c r="G11" s="1757"/>
      <c r="H11" s="1757"/>
      <c r="I11" s="1373"/>
    </row>
    <row r="12" spans="1:12" ht="12.75">
      <c r="A12" s="3588" t="s">
        <v>1278</v>
      </c>
      <c r="B12" s="3643">
        <v>15</v>
      </c>
      <c r="C12" s="3646"/>
      <c r="D12" s="3634"/>
      <c r="E12" s="131" t="s">
        <v>1279</v>
      </c>
      <c r="F12" s="1757"/>
      <c r="G12" s="1757"/>
      <c r="H12" s="1757"/>
      <c r="I12" s="1373"/>
    </row>
    <row r="13" spans="1:12" ht="12.75">
      <c r="A13" s="3588"/>
      <c r="B13" s="3643"/>
      <c r="C13" s="3647"/>
      <c r="D13" s="3634"/>
      <c r="E13" s="131" t="s">
        <v>1280</v>
      </c>
      <c r="F13" s="1757"/>
      <c r="G13" s="1757"/>
      <c r="H13" s="1757"/>
      <c r="I13" s="1373"/>
    </row>
    <row r="14" spans="1:12" ht="12.75">
      <c r="A14" s="3588" t="s">
        <v>1281</v>
      </c>
      <c r="B14" s="3643">
        <v>30</v>
      </c>
      <c r="C14" s="3646">
        <v>6</v>
      </c>
      <c r="D14" s="3634">
        <v>4</v>
      </c>
      <c r="E14" s="131" t="s">
        <v>1282</v>
      </c>
      <c r="F14" s="1757"/>
      <c r="G14" s="1757"/>
      <c r="H14" s="1757"/>
      <c r="I14" s="1373"/>
    </row>
    <row r="15" spans="1:12" ht="12.75">
      <c r="A15" s="3588"/>
      <c r="B15" s="3643"/>
      <c r="C15" s="3648"/>
      <c r="D15" s="3634"/>
      <c r="E15" s="131" t="s">
        <v>1283</v>
      </c>
      <c r="F15" s="1757"/>
      <c r="G15" s="1757"/>
      <c r="H15" s="1757"/>
      <c r="I15" s="1373"/>
    </row>
    <row r="16" spans="1:12" ht="12.75">
      <c r="A16" s="3588"/>
      <c r="B16" s="3643"/>
      <c r="C16" s="3647"/>
      <c r="D16" s="363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5" t="s">
        <v>2131</v>
      </c>
      <c r="F18" s="3666"/>
      <c r="G18" s="3666"/>
      <c r="H18" s="3666"/>
      <c r="I18" s="3666"/>
      <c r="J18" s="725" t="s">
        <v>3504</v>
      </c>
      <c r="K18" s="302" t="s">
        <v>1289</v>
      </c>
      <c r="L18" s="302">
        <f>IF(C1="",'数据-汇总表'!E3,SUMIF(项目类型,C1,'数据-汇总表'!E17:E26)+SUMIF(项目类型,C1,'数据-汇总表'!I17:I26))</f>
        <v>4312.4800000000005</v>
      </c>
      <c r="M18" s="302">
        <f>IF(C1="",'数据-汇总表'!E3,SUMIF(项目类型,C1,'数据-汇总表'!E17:E26))</f>
        <v>4312.4800000000005</v>
      </c>
    </row>
    <row r="19" spans="1:36" ht="15">
      <c r="A19" s="1761" t="s">
        <v>1290</v>
      </c>
      <c r="B19" s="1762" t="s">
        <v>1291</v>
      </c>
      <c r="C19" s="134">
        <f ca="1">SUMIF(INDIRECT("'"&amp;C4&amp;"'"&amp;"!A:A"),结果表!B19,INDIRECT("'"&amp;C4&amp;"'"&amp;"!B:B"))</f>
        <v>10561</v>
      </c>
      <c r="D19" s="135">
        <f ca="1">SUMIF(INDIRECT("'"&amp;D4&amp;"'"&amp;"!A:A"),结果表!B19,INDIRECT("'"&amp;D4&amp;"'"&amp;"!B:B"))</f>
        <v>7267</v>
      </c>
      <c r="E19" s="1761" t="s">
        <v>1292</v>
      </c>
      <c r="F19" s="1762" t="s">
        <v>1291</v>
      </c>
      <c r="G19" s="136">
        <f ca="1">ROUND(C19*$C$18+D19*$D$18,0)</f>
        <v>9243</v>
      </c>
      <c r="H19" s="1763" t="s">
        <v>1293</v>
      </c>
      <c r="I19" s="129"/>
      <c r="J19" s="725">
        <v>10284</v>
      </c>
      <c r="K19" s="302" t="s">
        <v>1294</v>
      </c>
      <c r="L19" s="302">
        <f>IF(C1="",'数据-汇总表'!D3,SUMIF(项目类型,C1,'数据-汇总表'!D17:D26)+SUMIF(项目类型,C1,'数据-汇总表'!H17:H27))</f>
        <v>588.41999999999996</v>
      </c>
      <c r="M19" s="302">
        <f>IF(C1="",'数据-汇总表'!D3,SUMIF(项目类型,C1,'数据-汇总表'!D17:D26))</f>
        <v>588.41999999999996</v>
      </c>
    </row>
    <row r="20" spans="1:36" ht="15">
      <c r="A20" s="1764"/>
      <c r="B20" s="1026" t="s">
        <v>1295</v>
      </c>
      <c r="C20" s="137">
        <f ca="1">SUMIF(INDIRECT("'"&amp;C4&amp;"'"&amp;"!A:A"),结果表!B20,INDIRECT("'"&amp;C4&amp;"'"&amp;"!B:B"))</f>
        <v>24489</v>
      </c>
      <c r="D20" s="138">
        <f ca="1">SUMIF(INDIRECT("'"&amp;D4&amp;"'"&amp;"!A:A"),结果表!B20,INDIRECT("'"&amp;D4&amp;"'"&amp;"!B:B"))</f>
        <v>16851</v>
      </c>
      <c r="E20" s="1764"/>
      <c r="F20" s="1026" t="s">
        <v>1295</v>
      </c>
      <c r="G20" s="139">
        <f ca="1">ROUND(C20*$C$18+D20*$D$18,0)</f>
        <v>21434</v>
      </c>
      <c r="H20" s="808" t="s">
        <v>1296</v>
      </c>
      <c r="I20" s="129"/>
      <c r="J20" s="725">
        <v>23847</v>
      </c>
    </row>
    <row r="21" spans="1:36" ht="15" customHeight="1" thickBot="1">
      <c r="A21" s="828"/>
      <c r="B21" s="1765" t="s">
        <v>1297</v>
      </c>
      <c r="C21" s="719">
        <f ca="1">ROUND(C19*10000/L19,0)</f>
        <v>179481</v>
      </c>
      <c r="D21" s="720">
        <f ca="1">ROUND(D19*10000/L19,0)</f>
        <v>123500</v>
      </c>
      <c r="E21" s="828"/>
      <c r="F21" s="1765" t="s">
        <v>1297</v>
      </c>
      <c r="G21" s="140">
        <f ca="1">ROUND(G19*10000/L19,0)</f>
        <v>157082</v>
      </c>
      <c r="H21" s="1766" t="s">
        <v>1296</v>
      </c>
      <c r="I21" s="129"/>
    </row>
    <row r="22" spans="1:36" ht="15" thickBot="1">
      <c r="A22" s="1688" t="s">
        <v>1298</v>
      </c>
      <c r="B22" s="1767"/>
      <c r="C22" s="1768"/>
      <c r="D22" s="721">
        <f ca="1">IF(C19&lt;D19,D19/C19-1,C19/D19-1)</f>
        <v>0.45328195954314032</v>
      </c>
      <c r="E22" s="129"/>
      <c r="F22" s="129"/>
      <c r="G22" s="129"/>
      <c r="H22" s="129"/>
      <c r="I22" s="129"/>
    </row>
    <row r="23" spans="1:36" ht="13.5" thickBot="1">
      <c r="A23" s="1747"/>
      <c r="B23" s="1747"/>
      <c r="C23" s="1747"/>
      <c r="D23" s="1747"/>
      <c r="E23" s="129"/>
      <c r="F23" s="129"/>
      <c r="G23" s="129"/>
      <c r="H23" s="129"/>
      <c r="I23" s="129"/>
      <c r="J23" s="3824" t="s">
        <v>3505</v>
      </c>
      <c r="K23" s="725">
        <f ca="1">G19*10000/'数据-汇总表'!F31</f>
        <v>27640.467582333782</v>
      </c>
    </row>
    <row r="24" spans="1:36" ht="14.25">
      <c r="A24" s="3658" t="s">
        <v>1299</v>
      </c>
      <c r="B24" s="1762" t="s">
        <v>1291</v>
      </c>
      <c r="C24" s="136">
        <f>IF(B30=0,0,D30)</f>
        <v>0</v>
      </c>
      <c r="D24" s="1769"/>
      <c r="E24" s="129"/>
      <c r="F24" s="129"/>
      <c r="G24" s="129"/>
      <c r="H24" s="129"/>
      <c r="I24" s="129"/>
    </row>
    <row r="25" spans="1:36" ht="14.25">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21434</v>
      </c>
      <c r="D32" s="1775" t="s">
        <v>3426</v>
      </c>
      <c r="E32" s="129"/>
      <c r="F32" s="129"/>
      <c r="G32" s="129"/>
      <c r="H32" s="129"/>
      <c r="I32" s="129"/>
    </row>
    <row r="33" spans="1:15" ht="15">
      <c r="A33" s="786" t="s">
        <v>1306</v>
      </c>
      <c r="B33" s="1776"/>
      <c r="C33" s="1777" t="s">
        <v>3427</v>
      </c>
      <c r="D33" s="1778" t="s">
        <v>3422</v>
      </c>
      <c r="E33" s="1779" t="s">
        <v>1307</v>
      </c>
      <c r="F33" s="1780" t="str">
        <f>IF(D32="楼面单价","取值（单价）","取值（总价）")</f>
        <v>取值（单价）</v>
      </c>
      <c r="G33" s="129"/>
      <c r="H33" s="129"/>
      <c r="I33" s="129"/>
    </row>
    <row r="34" spans="1:15" ht="15">
      <c r="A34" s="1781"/>
      <c r="B34" s="1782" t="s">
        <v>1308</v>
      </c>
      <c r="C34" s="148" t="e">
        <f ca="1">IF(C33="自定义",F34,C32-C35)</f>
        <v>#N/A</v>
      </c>
      <c r="D34" s="861" t="e">
        <f ca="1">IF(C33="自定义",ROUND(C34/C32,3),IF(C33="收益比率",SUMIF(INDIRECT("'"&amp;D33&amp;"'"&amp;"!b:b"),"土地收益比率",INDIRECT("'"&amp;D33&amp;"'"&amp;"!c:c")),SUMIF(INDIRECT("'"&amp;D33&amp;"'"&amp;"!b:b"),"土地成本比率",INDIRECT("'"&amp;D33&amp;"'"&amp;"!c:c"))))</f>
        <v>#N/A</v>
      </c>
      <c r="E34" s="1783" t="s">
        <v>1309</v>
      </c>
      <c r="F34" s="1330"/>
      <c r="G34" s="129"/>
      <c r="H34" s="129"/>
      <c r="I34" s="129"/>
    </row>
    <row r="35" spans="1:15" ht="15.75" thickBot="1">
      <c r="A35" s="1784"/>
      <c r="B35" s="1785" t="s">
        <v>1310</v>
      </c>
      <c r="C35" s="1170" t="e">
        <f ca="1">IF(C33="自定义",F35,ROUND(C32*D35,0))</f>
        <v>#N/A</v>
      </c>
      <c r="D35" s="1171" t="e">
        <f ca="1">IF(C33="自定义",ROUND(C35/C32,3),IF(C33="收益比率",SUMIF(INDIRECT("'"&amp;D33&amp;"'"&amp;"!b:b"),"建筑物收益比率",INDIRECT("'"&amp;D33&amp;"'"&amp;"!c:c")),SUMIF(INDIRECT("'"&amp;D33&amp;"'"&amp;"!b:b"),"建筑物成本比率",INDIRECT("'"&amp;D33&amp;"'"&amp;"!c:c"))))</f>
        <v>#N/A</v>
      </c>
      <c r="E35" s="1786" t="s">
        <v>1311</v>
      </c>
      <c r="F35" s="154"/>
      <c r="G35" s="129"/>
      <c r="H35" s="129"/>
      <c r="I35" s="129"/>
    </row>
    <row r="36" spans="1:15" ht="15.75" thickBot="1">
      <c r="A36" s="3635" t="s">
        <v>1312</v>
      </c>
      <c r="B36" s="1787" t="s">
        <v>1313</v>
      </c>
      <c r="C36" s="145"/>
      <c r="D36" s="1788"/>
      <c r="E36" s="1789"/>
      <c r="F36" s="1790"/>
      <c r="G36" s="129"/>
      <c r="H36" s="129"/>
      <c r="I36" s="129"/>
    </row>
    <row r="37" spans="1:15" ht="15.75" thickBot="1">
      <c r="A37" s="3636"/>
      <c r="B37" s="1674" t="s">
        <v>1314</v>
      </c>
      <c r="C37" s="147"/>
      <c r="D37" s="1139"/>
      <c r="E37" s="1139"/>
      <c r="F37" s="1790"/>
      <c r="G37" s="129"/>
      <c r="H37" s="129"/>
      <c r="I37" s="129"/>
    </row>
    <row r="38" spans="1:15" ht="15.75" thickBot="1">
      <c r="A38" s="363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f ca="1">ROUND(H101*F45,0)</f>
        <v>9243</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45756</v>
      </c>
      <c r="N47" s="3578"/>
      <c r="O47" s="3578"/>
    </row>
    <row r="48" spans="1:15" ht="25.5">
      <c r="A48" s="3638" t="s">
        <v>1338</v>
      </c>
      <c r="B48" s="3639"/>
      <c r="C48" s="3639"/>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3482</v>
      </c>
      <c r="I48" s="1806"/>
      <c r="J48" s="2523">
        <v>3</v>
      </c>
      <c r="K48" s="3576" t="s">
        <v>1340</v>
      </c>
      <c r="L48" s="3576"/>
      <c r="M48" s="3579">
        <f ca="1">H101</f>
        <v>9243</v>
      </c>
      <c r="N48" s="3579"/>
      <c r="O48" s="3579"/>
    </row>
    <row r="49" spans="1:35" ht="25.5" customHeight="1">
      <c r="A49" s="2333" t="s">
        <v>1341</v>
      </c>
      <c r="B49" s="3624" t="s">
        <v>1342</v>
      </c>
      <c r="C49" s="3624"/>
      <c r="D49" s="1590">
        <v>0</v>
      </c>
      <c r="E49" s="324" t="s">
        <v>1343</v>
      </c>
      <c r="F49" s="2424" t="s">
        <v>28</v>
      </c>
      <c r="G49" s="3607"/>
      <c r="H49" s="2310" t="s">
        <v>2134</v>
      </c>
      <c r="I49" s="2311"/>
      <c r="J49" s="2523">
        <v>4</v>
      </c>
      <c r="K49" s="3576" t="str">
        <f>IF(项目基本情况!E8="房地产抵押价值","房地产抵押价值","抵押担保权已注销时的房地产抵押价值")</f>
        <v>房地产抵押价值</v>
      </c>
      <c r="L49" s="3576"/>
      <c r="M49" s="3579">
        <f ca="1">IF(项目基本情况!E8="房地产抵押价值",H107,H109)</f>
        <v>9243</v>
      </c>
      <c r="N49" s="3579"/>
      <c r="O49" s="3579"/>
    </row>
    <row r="50" spans="1:35" ht="25.5" customHeight="1">
      <c r="A50" s="2551"/>
      <c r="B50" s="3624" t="s">
        <v>1344</v>
      </c>
      <c r="C50" s="3624"/>
      <c r="D50" s="2552"/>
      <c r="E50" s="332"/>
      <c r="F50" s="2424"/>
      <c r="G50" s="3608"/>
      <c r="H50" s="2312" t="s">
        <v>2135</v>
      </c>
      <c r="I50" s="2311"/>
      <c r="J50" s="3575" t="s">
        <v>1345</v>
      </c>
      <c r="K50" s="3575"/>
      <c r="L50" s="3575"/>
      <c r="M50" s="3575"/>
      <c r="N50" s="3575"/>
      <c r="O50" s="3575"/>
    </row>
    <row r="51" spans="1:35" ht="20.45" customHeight="1">
      <c r="A51" s="2553"/>
      <c r="B51" s="3624" t="s">
        <v>1346</v>
      </c>
      <c r="C51" s="3624"/>
      <c r="D51" s="1087"/>
      <c r="E51" s="327"/>
      <c r="F51" s="2424"/>
      <c r="G51" s="3609"/>
      <c r="H51" s="2312" t="s">
        <v>2136</v>
      </c>
      <c r="I51" s="2311"/>
      <c r="J51" s="2524" t="s">
        <v>1347</v>
      </c>
      <c r="K51" s="3576" t="s">
        <v>1348</v>
      </c>
      <c r="L51" s="3576"/>
      <c r="M51" s="2524" t="s">
        <v>1349</v>
      </c>
      <c r="N51" s="2524" t="s">
        <v>1350</v>
      </c>
      <c r="O51" s="2524" t="s">
        <v>1351</v>
      </c>
    </row>
    <row r="52" spans="1:35" ht="24" customHeight="1">
      <c r="A52" s="2335" t="s">
        <v>1352</v>
      </c>
      <c r="B52" s="3624" t="s">
        <v>1353</v>
      </c>
      <c r="C52" s="3624"/>
      <c r="D52" s="1087">
        <f ca="1">ROUND(D45*'数据-取费表'!B41/(1+'数据-取费表'!C42),0)</f>
        <v>493</v>
      </c>
      <c r="E52" s="2334" t="s">
        <v>1354</v>
      </c>
      <c r="F52" s="2554">
        <f>'数据-取费表'!B41</f>
        <v>5.6000000000000001E-2</v>
      </c>
      <c r="G52" s="2555"/>
      <c r="H52" s="2544"/>
      <c r="I52" s="1807"/>
      <c r="J52" s="2523">
        <v>1</v>
      </c>
      <c r="K52" s="3601" t="s">
        <v>1355</v>
      </c>
      <c r="L52" s="3601"/>
      <c r="M52" s="2525">
        <f ca="1">D48</f>
        <v>0</v>
      </c>
      <c r="N52" s="2523" t="str">
        <f>E48</f>
        <v>(销售额-原购置价)×税（费）率</v>
      </c>
      <c r="O52" s="2526">
        <f>F48</f>
        <v>5.6000000000000001E-2</v>
      </c>
    </row>
    <row r="53" spans="1:35" ht="12" customHeight="1">
      <c r="A53" s="2335" t="s">
        <v>1356</v>
      </c>
      <c r="B53" s="3625" t="s">
        <v>2291</v>
      </c>
      <c r="C53" s="3626"/>
      <c r="D53" s="1087">
        <f ca="1">ROUND(D45*'数据-取费表'!B41/(1+'数据-取费表'!C42),0)</f>
        <v>493</v>
      </c>
      <c r="E53" s="2334" t="s">
        <v>1354</v>
      </c>
      <c r="F53" s="2554">
        <f>'数据-取费表'!B41</f>
        <v>5.6000000000000001E-2</v>
      </c>
      <c r="G53" s="2555"/>
      <c r="H53" s="2544"/>
      <c r="I53" s="1807"/>
      <c r="J53" s="2523">
        <v>2</v>
      </c>
      <c r="K53" s="3601" t="s">
        <v>1357</v>
      </c>
      <c r="L53" s="3601"/>
      <c r="M53" s="2525">
        <f t="shared" ref="M53:O54" ca="1" si="0">D55</f>
        <v>5</v>
      </c>
      <c r="N53" s="2523" t="str">
        <f t="shared" si="0"/>
        <v>销售额×税（费）率</v>
      </c>
      <c r="O53" s="2526">
        <f t="shared" si="0"/>
        <v>5.0000000000000001E-4</v>
      </c>
    </row>
    <row r="54" spans="1:35" ht="12" customHeight="1">
      <c r="A54" s="2335" t="s">
        <v>1358</v>
      </c>
      <c r="B54" s="3625" t="s">
        <v>2292</v>
      </c>
      <c r="C54" s="3626"/>
      <c r="D54" s="1087">
        <f ca="1">C68</f>
        <v>0</v>
      </c>
      <c r="E54" s="327" t="s">
        <v>1359</v>
      </c>
      <c r="F54" s="2554">
        <f>'数据-取费表'!B41</f>
        <v>5.6000000000000001E-2</v>
      </c>
      <c r="G54" s="2555"/>
      <c r="H54" s="2556"/>
      <c r="I54" s="1807"/>
      <c r="J54" s="2523">
        <v>3</v>
      </c>
      <c r="K54" s="3601" t="s">
        <v>1360</v>
      </c>
      <c r="L54" s="3601"/>
      <c r="M54" s="2525">
        <f t="shared" ca="1" si="0"/>
        <v>0</v>
      </c>
      <c r="N54" s="2523" t="str">
        <f t="shared" si="0"/>
        <v>增值额×税（费）率</v>
      </c>
      <c r="O54" s="2527" t="str">
        <f t="shared" si="0"/>
        <v>——</v>
      </c>
    </row>
    <row r="55" spans="1:35" ht="24" customHeight="1">
      <c r="A55" s="3661" t="s">
        <v>1361</v>
      </c>
      <c r="B55" s="3639"/>
      <c r="C55" s="3639"/>
      <c r="D55" s="2324">
        <f ca="1">IF(H55="个人住宅",0,ROUND(D45*I55,0))</f>
        <v>5</v>
      </c>
      <c r="E55" s="2334" t="s">
        <v>1362</v>
      </c>
      <c r="F55" s="2554">
        <f>IF(H55="正常",I55,"免征")</f>
        <v>5.0000000000000001E-4</v>
      </c>
      <c r="G55" s="2555"/>
      <c r="H55" s="2550" t="s">
        <v>3432</v>
      </c>
      <c r="I55" s="165">
        <f>'数据-取费表'!B49</f>
        <v>5.0000000000000001E-4</v>
      </c>
      <c r="J55" s="2523" t="str">
        <f>IF(H59="非个人房产","",4)</f>
        <v/>
      </c>
      <c r="K55" s="3601" t="str">
        <f>IF(H59="非个人房产","——","个人所得税")</f>
        <v>——</v>
      </c>
      <c r="L55" s="3601"/>
      <c r="M55" s="2528" t="str">
        <f>D59</f>
        <v>——</v>
      </c>
      <c r="N55" s="2040" t="str">
        <f>E59</f>
        <v>——</v>
      </c>
      <c r="O55" s="2529" t="str">
        <f>F59</f>
        <v>——</v>
      </c>
    </row>
    <row r="56" spans="1:35" ht="24.75">
      <c r="A56" s="3661" t="s">
        <v>1363</v>
      </c>
      <c r="B56" s="3639"/>
      <c r="C56" s="3639"/>
      <c r="D56" s="2324">
        <f ca="1">IF(H56="个人住宅",D57,D58)</f>
        <v>0</v>
      </c>
      <c r="E56" s="2334" t="s">
        <v>1364</v>
      </c>
      <c r="F56" s="2554" t="str">
        <f>IF(H56="正常",F58,"免征")</f>
        <v>——</v>
      </c>
      <c r="G56" s="2557" t="s">
        <v>1365</v>
      </c>
      <c r="H56" s="2558" t="s">
        <v>3432</v>
      </c>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row>
    <row r="57" spans="1:35" ht="12.75">
      <c r="A57" s="2335" t="s">
        <v>1341</v>
      </c>
      <c r="B57" s="3625" t="s">
        <v>1366</v>
      </c>
      <c r="C57" s="3626"/>
      <c r="D57" s="1590">
        <v>0</v>
      </c>
      <c r="E57" s="324" t="s">
        <v>1343</v>
      </c>
      <c r="F57" s="302"/>
      <c r="G57" s="2555"/>
      <c r="H57" s="2559"/>
      <c r="I57" s="1808"/>
      <c r="J57" s="3601">
        <f>IF(AND(J55="",J56=""),4,IF(项目基本情况!K6="上海银行",结果表!J56+1,结果表!J55+1))</f>
        <v>4</v>
      </c>
      <c r="K57" s="3601" t="s">
        <v>1367</v>
      </c>
      <c r="L57" s="2530" t="s">
        <v>1368</v>
      </c>
      <c r="M57" s="2531"/>
      <c r="N57" s="2532">
        <f ca="1">SUMIF(M52:M56,"&lt;9e307")</f>
        <v>5</v>
      </c>
      <c r="O57" s="2533"/>
      <c r="P57" s="2689">
        <f ca="1">N57/M49</f>
        <v>5.4094990803851568E-4</v>
      </c>
    </row>
    <row r="58" spans="1:35" ht="24.75">
      <c r="A58" s="2335" t="s">
        <v>1352</v>
      </c>
      <c r="B58" s="3625" t="s">
        <v>1369</v>
      </c>
      <c r="C58" s="3624"/>
      <c r="D58" s="2324">
        <f ca="1">IF(H58="转让取得",C81,C97)</f>
        <v>0</v>
      </c>
      <c r="E58" s="2334" t="s">
        <v>1364</v>
      </c>
      <c r="F58" s="302" t="s">
        <v>28</v>
      </c>
      <c r="G58" s="2555"/>
      <c r="H58" s="2558" t="s">
        <v>3483</v>
      </c>
      <c r="I58" s="1808"/>
      <c r="J58" s="3601"/>
      <c r="K58" s="3601"/>
      <c r="L58" s="2530" t="s">
        <v>1370</v>
      </c>
      <c r="M58" s="2534"/>
      <c r="N58" s="2535" t="str">
        <f ca="1">NUMBERSTRING(INT(N57*10000),2)&amp;"元整"</f>
        <v>伍万元整</v>
      </c>
      <c r="O58" s="2536"/>
    </row>
    <row r="59" spans="1:35" ht="26.25" thickBot="1">
      <c r="A59" s="3605" t="s">
        <v>1371</v>
      </c>
      <c r="B59" s="3606"/>
      <c r="C59" s="360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3520</v>
      </c>
      <c r="I59" s="2313" t="s">
        <v>2137</v>
      </c>
      <c r="J59" s="3603">
        <f>J57+1</f>
        <v>5</v>
      </c>
      <c r="K59" s="3601" t="s">
        <v>1372</v>
      </c>
      <c r="L59" s="2523" t="s">
        <v>1368</v>
      </c>
      <c r="M59" s="2537"/>
      <c r="N59" s="2538">
        <f ca="1">M49-N57</f>
        <v>9238</v>
      </c>
      <c r="O59" s="2539"/>
    </row>
    <row r="60" spans="1:35" ht="12" customHeight="1">
      <c r="A60" s="1809"/>
      <c r="B60" s="1747"/>
      <c r="C60" s="1747"/>
      <c r="D60" s="1747"/>
      <c r="E60" s="1578"/>
      <c r="F60" s="1808"/>
      <c r="G60" s="1808"/>
      <c r="H60" s="1810"/>
      <c r="I60" s="129"/>
      <c r="J60" s="3604"/>
      <c r="K60" s="3601"/>
      <c r="L60" s="2530" t="s">
        <v>1370</v>
      </c>
      <c r="M60" s="2534"/>
      <c r="N60" s="2535" t="str">
        <f ca="1">NUMBERSTRING(INT(N59*10000),2)&amp;"元整"</f>
        <v>玖仟贰佰叁拾捌万元整</v>
      </c>
      <c r="O60" s="2536"/>
    </row>
    <row r="61" spans="1:35" ht="13.5" thickBot="1">
      <c r="A61" s="3660" t="s">
        <v>1373</v>
      </c>
      <c r="B61" s="3660"/>
      <c r="C61" s="3660"/>
      <c r="D61" s="3660"/>
      <c r="E61" s="3660"/>
      <c r="F61" s="1808"/>
      <c r="G61" s="1808"/>
      <c r="H61" s="1810"/>
      <c r="I61" s="129"/>
      <c r="J61" s="2523">
        <f>J59+1</f>
        <v>6</v>
      </c>
      <c r="K61" s="3601" t="s">
        <v>1374</v>
      </c>
      <c r="L61" s="3601"/>
      <c r="M61" s="2540"/>
      <c r="N61" s="2541">
        <f ca="1">ROUND(N59*10000/'数据-汇总表'!E3,0)</f>
        <v>21422</v>
      </c>
      <c r="O61" s="2542"/>
    </row>
    <row r="62" spans="1:35" ht="12.75">
      <c r="A62" s="3620" t="s">
        <v>1375</v>
      </c>
      <c r="B62" s="3621"/>
      <c r="C62" s="2021"/>
      <c r="D62" s="2021" t="s">
        <v>1376</v>
      </c>
      <c r="E62" s="166" t="s">
        <v>1377</v>
      </c>
      <c r="F62" s="1808"/>
      <c r="G62" s="1808"/>
      <c r="H62" s="1810"/>
      <c r="I62" s="129"/>
    </row>
    <row r="63" spans="1:35" ht="12.75">
      <c r="A63" s="173" t="s">
        <v>330</v>
      </c>
      <c r="B63" s="167" t="s">
        <v>1378</v>
      </c>
      <c r="C63" s="2564">
        <f ca="1">ROUND((C64+C65)/(1+'数据-取费表'!C42),0)</f>
        <v>8803</v>
      </c>
      <c r="D63" s="167"/>
      <c r="E63" s="168"/>
      <c r="F63" s="1808"/>
      <c r="G63" s="1808"/>
      <c r="H63" s="1810"/>
      <c r="I63" s="129"/>
      <c r="J63" s="3584" t="s">
        <v>1379</v>
      </c>
      <c r="K63" s="1332" t="s">
        <v>1380</v>
      </c>
      <c r="L63" s="1332">
        <f ca="1">IF(M49&gt;10000,M49*0.5%,IF(AND(M49&gt;1000,M49&lt;=10000),M49*1%,IF(AND(M49&gt;100,M49&lt;=1000),M49*3%,IF(AND(M49&gt;10,M49&lt;=100),M49*5%,M49*8%))))</f>
        <v>92.43</v>
      </c>
      <c r="M63" s="302">
        <f ca="1">ROUND(L63,1)</f>
        <v>92.4</v>
      </c>
      <c r="N63" s="2543"/>
      <c r="Z63" s="1752"/>
      <c r="AI63" s="1753"/>
    </row>
    <row r="64" spans="1:35" ht="14.25" customHeight="1">
      <c r="A64" s="169" t="s">
        <v>325</v>
      </c>
      <c r="B64" s="170" t="s">
        <v>1381</v>
      </c>
      <c r="C64" s="2565">
        <f ca="1">D45</f>
        <v>9243</v>
      </c>
      <c r="D64" s="170" t="s">
        <v>26</v>
      </c>
      <c r="E64" s="172"/>
      <c r="F64" s="1808"/>
      <c r="G64" s="1808"/>
      <c r="H64" s="1810"/>
      <c r="I64" s="129"/>
      <c r="J64" s="3584"/>
      <c r="K64" s="1332" t="s">
        <v>1382</v>
      </c>
      <c r="L64" s="1332">
        <f ca="1">IF(M49&gt;2000,M49*0.5%,IF(AND(M49&gt;1000,M49&lt;=2000),M49*0.6%,IF(AND(M49&gt;500,M49&lt;=1000),M49*0.7%,IF(AND(M49&gt;200,M49&lt;=500),M49*0.8%,IF(AND(M49&gt;100,M49&lt;=200),M49*0.9%,IF(AND(M49&gt;50,M49&lt;=100),M49*1%,IF(AND(M49&gt;20,M49&lt;=50),M49*1.5%,IF(AND(M49&gt;10,M49&lt;=20),M49*2%,IF(AND(M49&gt;1,M49&lt;=10),M49*2.5%)))))))))</f>
        <v>46.215000000000003</v>
      </c>
      <c r="M64" s="302">
        <f t="shared" ref="M64:M65" ca="1" si="1">ROUND(L64,1)</f>
        <v>46.2</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f ca="1">IF(M49&gt;1000,M49*0.1%,IF(AND(M49&gt;500,M49&lt;=1000),M49*0.5%,IF(AND(M49&gt;50,M49&lt;=500),M49*1%,IF(AND(M49&gt;1,M49&lt;=50),M49*1.5%))))</f>
        <v>9.2430000000000003</v>
      </c>
      <c r="M65" s="302">
        <f t="shared" ca="1" si="1"/>
        <v>9.1999999999999993</v>
      </c>
      <c r="N65" s="2544" t="s">
        <v>1383</v>
      </c>
      <c r="Z65" s="1752"/>
      <c r="AI65" s="1753"/>
    </row>
    <row r="66" spans="1:35" ht="14.25" customHeight="1">
      <c r="A66" s="173" t="s">
        <v>327</v>
      </c>
      <c r="B66" s="174" t="s">
        <v>1386</v>
      </c>
      <c r="C66" s="2567">
        <f>ROUND(101493935.3/1.05/10000,0)</f>
        <v>9666</v>
      </c>
      <c r="D66" s="174" t="s">
        <v>26</v>
      </c>
      <c r="E66" s="1338" t="s">
        <v>671</v>
      </c>
      <c r="F66" s="1808"/>
      <c r="G66" s="1808"/>
      <c r="H66" s="1810"/>
      <c r="I66" s="129"/>
      <c r="J66" s="3584"/>
      <c r="K66" s="1332" t="s">
        <v>1387</v>
      </c>
      <c r="L66" s="1332">
        <f ca="1">M49*0.5%</f>
        <v>46.215000000000003</v>
      </c>
      <c r="M66" s="302">
        <f ca="1">IF(L66&gt;0.5,0.5,ROUND(L66,0))</f>
        <v>0.5</v>
      </c>
      <c r="N66" s="2544" t="s">
        <v>1388</v>
      </c>
      <c r="Z66" s="1752"/>
      <c r="AI66" s="1753"/>
    </row>
    <row r="67" spans="1:35" ht="14.25" customHeight="1">
      <c r="A67" s="173" t="s">
        <v>328</v>
      </c>
      <c r="B67" s="174" t="s">
        <v>1389</v>
      </c>
      <c r="C67" s="2568">
        <f ca="1">C63-C66</f>
        <v>-863</v>
      </c>
      <c r="D67" s="170" t="s">
        <v>26</v>
      </c>
      <c r="E67" s="172"/>
      <c r="F67" s="1808"/>
      <c r="G67" s="1808"/>
      <c r="H67" s="1810"/>
      <c r="I67" s="129"/>
      <c r="J67" s="3584"/>
      <c r="K67" s="1332" t="s">
        <v>1390</v>
      </c>
      <c r="L67" s="1332">
        <f ca="1">IF(M49&gt;=10000,(8.25+(M49-10000)*0.01%),IF(AND(M49&gt;=8000,M49&lt;10000),(7.85+(M49-8000)*0.02%),IF(AND(M49&gt;=5000,M49&lt;8000),(6.65+(M49-5000)*0.04%),IF(AND(M49&gt;=2000,M49&lt;5000),(4.25+(PM49-2000)*0.08%),IF(AND(M49&gt;=1000,M49&lt;2000),(2.75+(M49-1000)*0.15%),IF(AND(M49&gt;=100,M49&lt;1000),(0.5+(M49-100)*0.25%),IF(AND(M49&gt;0,M49&lt;100),M49*0.5%)))))))</f>
        <v>8.0985999999999994</v>
      </c>
      <c r="M67" s="302">
        <f ca="1">ROUND(L67*0.9,1)</f>
        <v>7.3</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584"/>
      <c r="K68" s="1332" t="s">
        <v>1392</v>
      </c>
      <c r="L68" s="1332">
        <f ca="1">IF(M49&gt;10000,M49*0.5%,IF(AND(M49&gt;5000,M49&lt;=10000),M49*1%,IF(AND(M49&gt;1000,M49&lt;=5000),M49*2%,IF(AND(M49&gt;200,M49&lt;=1000),M49*3%,M49*5%))))</f>
        <v>92.43</v>
      </c>
      <c r="M68" s="302">
        <f ca="1">ROUND(L68,1)</f>
        <v>92.4</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f ca="1">ROUND(SUM(M63:M68),0)</f>
        <v>248</v>
      </c>
      <c r="N69" s="2545">
        <f ca="1">M69/M49</f>
        <v>2.6831115438710376E-2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8803</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9540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9487</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9666</v>
      </c>
      <c r="D75" s="170" t="s">
        <v>26</v>
      </c>
      <c r="E75" s="184" t="s">
        <v>1399</v>
      </c>
      <c r="F75" s="2572" t="s">
        <v>3522</v>
      </c>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281</v>
      </c>
      <c r="D77" s="2575">
        <f>'数据-取费表'!B48+'数据-取费表'!B49</f>
        <v>3.0499999999999999E-2</v>
      </c>
      <c r="E77" s="2324" t="s">
        <v>1404</v>
      </c>
      <c r="F77" s="186"/>
      <c r="G77" s="1822" t="s">
        <v>3521</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v>
      </c>
      <c r="D78" s="2577">
        <f>'数据-取费表'!B43</f>
        <v>6.000000000000001E-3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8803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6" t="s">
        <v>2129</v>
      </c>
      <c r="H90" s="358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v>
      </c>
      <c r="D93" s="2577">
        <f>'数据-取费表'!B43</f>
        <v>6.000000000000001E-3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8750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165.09433962264151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5231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成本法</v>
      </c>
      <c r="D101" s="2586" t="str">
        <f>D4</f>
        <v>收益法</v>
      </c>
      <c r="E101" s="3580" t="s">
        <v>1431</v>
      </c>
      <c r="F101" s="3581"/>
      <c r="G101" s="1827" t="s">
        <v>1432</v>
      </c>
      <c r="H101" s="2595">
        <f ca="1">H118</f>
        <v>9243</v>
      </c>
      <c r="I101" s="129"/>
    </row>
    <row r="102" spans="1:35" ht="18.75" customHeight="1">
      <c r="A102" s="3612" t="s">
        <v>1433</v>
      </c>
      <c r="B102" s="2584" t="s">
        <v>1432</v>
      </c>
      <c r="C102" s="2585">
        <f ca="1">IF(D32="楼面单价",ROUND(C19,0),C19)</f>
        <v>10561</v>
      </c>
      <c r="D102" s="2586">
        <f ca="1">IF(D32="楼面单价",ROUND(D19,0),D19)</f>
        <v>7267</v>
      </c>
      <c r="E102" s="3580"/>
      <c r="F102" s="3581"/>
      <c r="G102" s="1827" t="s">
        <v>1434</v>
      </c>
      <c r="H102" s="2555">
        <f ca="1">I118</f>
        <v>21434</v>
      </c>
      <c r="I102" s="129"/>
    </row>
    <row r="103" spans="1:35" ht="42.75" customHeight="1">
      <c r="A103" s="3612"/>
      <c r="B103" s="2584" t="s">
        <v>1434</v>
      </c>
      <c r="C103" s="2587">
        <f ca="1">C20</f>
        <v>24489</v>
      </c>
      <c r="D103" s="2588">
        <f ca="1">D20</f>
        <v>16851</v>
      </c>
      <c r="E103" s="3573" t="s">
        <v>1435</v>
      </c>
      <c r="F103" s="3574"/>
      <c r="G103" s="1828" t="s">
        <v>1436</v>
      </c>
      <c r="H103" s="2595">
        <f>IF(D36="正常操作",H104+H105+H106,H105+H106)</f>
        <v>0</v>
      </c>
      <c r="I103" s="129"/>
    </row>
    <row r="104" spans="1:35" ht="18.75" customHeight="1">
      <c r="A104" s="3612" t="s">
        <v>1437</v>
      </c>
      <c r="B104" s="2589" t="s">
        <v>1432</v>
      </c>
      <c r="C104" s="2590">
        <f ca="1">H118</f>
        <v>9243</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f ca="1">I118</f>
        <v>21434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f ca="1">IF(E107="——","——",H101-H103)</f>
        <v>9243</v>
      </c>
      <c r="I107" s="129"/>
    </row>
    <row r="108" spans="1:35" ht="18.75" customHeight="1">
      <c r="A108" s="129"/>
      <c r="B108" s="129"/>
      <c r="C108" s="129"/>
      <c r="D108" s="129"/>
      <c r="E108" s="3613"/>
      <c r="F108" s="3581"/>
      <c r="G108" s="1827" t="s">
        <v>1434</v>
      </c>
      <c r="H108" s="2555">
        <f ca="1">IF(H107=H101,H102,ROUND(H107*10000/'数据-汇总表'!E3,0))</f>
        <v>21434</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北京市朝阳区安慧东里16号楼-1至4层综合用房房地产</v>
      </c>
      <c r="B118" s="2329">
        <f>M18</f>
        <v>4312.4800000000005</v>
      </c>
      <c r="C118" s="2329">
        <f>M19</f>
        <v>588.41999999999996</v>
      </c>
      <c r="D118" s="2329" t="e">
        <f ca="1">ROUND(IF(D32="总价",C34,E118*B118/10000),0)</f>
        <v>#N/A</v>
      </c>
      <c r="E118" s="2329" t="e">
        <f ca="1">ROUND(IF(C33="自定义",IF(D32="楼面单价",C34,D118*10000/B118),I118-G118),0)</f>
        <v>#N/A</v>
      </c>
      <c r="F118" s="2329" t="e">
        <f ca="1">ROUND(IF(D32="总价",C35,G118*B118/10000),0)</f>
        <v>#N/A</v>
      </c>
      <c r="G118" s="2329" t="e">
        <f ca="1">ROUND(IF(D32="楼面单价",C35,F118*10000/B118),0)</f>
        <v>#N/A</v>
      </c>
      <c r="H118" s="2329">
        <f ca="1">ROUND(IF(D32="总价",C32,I118*B118/10000),0)</f>
        <v>9243</v>
      </c>
      <c r="I118" s="2329">
        <f ca="1">ROUND(IF(D32="楼面单价",C32,H118*10000/B118),0)</f>
        <v>21434</v>
      </c>
    </row>
    <row r="119" spans="1:27" ht="18.75" customHeight="1">
      <c r="A119" s="3588" t="s">
        <v>1452</v>
      </c>
      <c r="B119" s="3588"/>
      <c r="C119" s="3588"/>
      <c r="D119" s="3594" t="e">
        <f ca="1">NUMBERSTRING(INT(D118*10000),2)&amp;"元整"</f>
        <v>#N/A</v>
      </c>
      <c r="E119" s="3595"/>
      <c r="F119" s="3594" t="e">
        <f ca="1">NUMBERSTRING(INT(F118*10000),2)&amp;"元整"</f>
        <v>#N/A</v>
      </c>
      <c r="G119" s="3595"/>
      <c r="H119" s="3594" t="str">
        <f ca="1">NUMBERSTRING(INT(H118*10000),2)&amp;"元整"</f>
        <v>玖仟贰佰肆拾叁万元整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f ca="1">H107</f>
        <v>9243</v>
      </c>
      <c r="E122" s="3590"/>
      <c r="F122" s="3590"/>
      <c r="G122" s="3590"/>
      <c r="H122" s="3590"/>
      <c r="I122" s="3591"/>
      <c r="AA122" s="725"/>
    </row>
    <row r="123" spans="1:27" ht="18.75" customHeight="1">
      <c r="A123" s="3588" t="s">
        <v>1452</v>
      </c>
      <c r="B123" s="3588"/>
      <c r="C123" s="3588"/>
      <c r="D123" s="3594" t="str">
        <f ca="1">NUMBERSTRING(INT(D122*10000),2)&amp;"元整"</f>
        <v>玖仟贰佰肆拾叁万元整</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4" sqref="I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10561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24489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6292</v>
      </c>
      <c r="D5" s="211" t="s">
        <v>1469</v>
      </c>
      <c r="E5" s="212" t="s">
        <v>1470</v>
      </c>
      <c r="F5" s="212" t="s">
        <v>1471</v>
      </c>
      <c r="G5" s="213"/>
    </row>
    <row r="6" spans="1:9" s="214" customFormat="1" ht="13.5" customHeight="1">
      <c r="A6" s="778" t="s">
        <v>1472</v>
      </c>
      <c r="B6" s="215" t="s">
        <v>1473</v>
      </c>
      <c r="C6" s="216">
        <f>基准地价修正!E33+基准地价修正!E40</f>
        <v>6022</v>
      </c>
      <c r="D6" s="217"/>
      <c r="E6" s="218"/>
      <c r="F6" s="218"/>
      <c r="G6" s="219"/>
    </row>
    <row r="7" spans="1:9" s="214" customFormat="1" ht="13.5" customHeight="1">
      <c r="A7" s="778" t="s">
        <v>1474</v>
      </c>
      <c r="B7" s="215" t="s">
        <v>1475</v>
      </c>
      <c r="C7" s="220">
        <f>ROUND(C6*F7,0)</f>
        <v>184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86</v>
      </c>
      <c r="D8" s="222"/>
      <c r="E8" s="220"/>
      <c r="F8" s="221"/>
      <c r="G8" s="1856" t="s">
        <v>3479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3500</v>
      </c>
      <c r="H9" s="1137"/>
      <c r="I9" s="1858" t="s">
        <v>1479</v>
      </c>
    </row>
    <row r="10" spans="1:9" s="214" customFormat="1" ht="13.5" customHeight="1">
      <c r="A10" s="779" t="s">
        <v>356</v>
      </c>
      <c r="B10" s="224" t="s">
        <v>1480</v>
      </c>
      <c r="C10" s="225">
        <f ca="1">ROUND(D10*E10/10000,0)</f>
        <v>86</v>
      </c>
      <c r="D10" s="845">
        <f ca="1">IF(B1="",'数据-汇总表'!E6,IF(INDIRECT("'数据-取费表'!c"&amp;$G$1)="住宅",INDIRECT("'数据-取费表'!s"&amp;$G$1),INDIRECT("'数据-取费表'!k"&amp;$G$1)+INDIRECT("'数据-取费表'!s"&amp;$G$1)))</f>
        <v>4312.4800000000005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4312.4800000000005</v>
      </c>
      <c r="E19" s="211">
        <f>'数据-取费表'!B31</f>
        <v>200</v>
      </c>
      <c r="F19" s="231"/>
      <c r="G19" s="1856" t="s">
        <v>3480</v>
      </c>
    </row>
    <row r="20" spans="1:7" s="214" customFormat="1" ht="13.5" customHeight="1">
      <c r="A20" s="255" t="s">
        <v>1493</v>
      </c>
      <c r="B20" s="210" t="s">
        <v>1494</v>
      </c>
      <c r="C20" s="232">
        <f ca="1">ROUND((C5+C19)*F20,0)</f>
        <v>189</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402</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972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972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2163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1941</v>
      </c>
      <c r="D34" s="217"/>
      <c r="E34" s="220"/>
      <c r="F34" s="257">
        <f ca="1">IF('数据-取费表'!B24=0,1,IF(B1="",'数据-取费表'!N16,INDIRECT("'数据-取费表'!n"&amp;$G$1)))</f>
        <v>1</v>
      </c>
      <c r="G34" s="219" t="s">
        <v>1526</v>
      </c>
    </row>
    <row r="35" spans="1:7" ht="13.5" customHeight="1">
      <c r="A35" s="780" t="s">
        <v>351</v>
      </c>
      <c r="B35" s="215" t="s">
        <v>1527</v>
      </c>
      <c r="C35" s="220">
        <f ca="1">ROUND(C34*F35,0)</f>
        <v>97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86</v>
      </c>
      <c r="D37" s="217">
        <f ca="1">D19</f>
        <v>4312.4800000000005</v>
      </c>
      <c r="E37" s="249">
        <f>'数据-取费表'!B35</f>
        <v>200</v>
      </c>
      <c r="F37" s="259"/>
      <c r="G37" s="261" t="s">
        <v>1532</v>
      </c>
    </row>
    <row r="38" spans="1:7" ht="13.5" customHeight="1">
      <c r="A38" s="780" t="s">
        <v>354</v>
      </c>
      <c r="B38" s="215" t="s">
        <v>1533</v>
      </c>
      <c r="C38" s="220">
        <f ca="1">ROUND(C34*F38,0)</f>
        <v>39</v>
      </c>
      <c r="D38" s="220"/>
      <c r="E38" s="220"/>
      <c r="F38" s="259">
        <f>'数据-取费表'!B36</f>
        <v>0.02</v>
      </c>
      <c r="G38" s="219" t="s">
        <v>1528</v>
      </c>
    </row>
    <row r="39" spans="1:7" s="214" customFormat="1" ht="13.5" customHeight="1">
      <c r="A39" s="255" t="s">
        <v>1534</v>
      </c>
      <c r="B39" s="210" t="s">
        <v>1535</v>
      </c>
      <c r="C39" s="232">
        <f ca="1">ROUND(C33*F20,0)</f>
        <v>65</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67</v>
      </c>
      <c r="D42" s="238"/>
      <c r="E42" s="238"/>
      <c r="F42" s="239"/>
      <c r="G42" s="3667" t="s">
        <v>1544</v>
      </c>
    </row>
    <row r="43" spans="1:7" ht="13.5" customHeight="1">
      <c r="A43" s="780" t="s">
        <v>347</v>
      </c>
      <c r="B43" s="215" t="s">
        <v>1545</v>
      </c>
      <c r="C43" s="238">
        <f ca="1">ROUND(IF('数据-取费表'!B22&lt;=1,C39*F22*'数据-取费表'!B21/2,C39*(POWER((1+F22),'数据-取费表'!B21/2)-1)),0)</f>
        <v>2</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334</v>
      </c>
      <c r="D45" s="235">
        <f ca="1">C47</f>
        <v>3.0000000000000001E-3</v>
      </c>
      <c r="E45" s="236" t="s">
        <v>1539</v>
      </c>
      <c r="F45" s="246">
        <f ca="1">F27</f>
        <v>0.15</v>
      </c>
      <c r="G45" s="247" t="s">
        <v>1548</v>
      </c>
    </row>
    <row r="46" spans="1:7" s="214" customFormat="1" ht="13.5" customHeight="1">
      <c r="A46" s="780" t="s">
        <v>346</v>
      </c>
      <c r="B46" s="248" t="s">
        <v>1549</v>
      </c>
      <c r="C46" s="249">
        <f ca="1">ROUND((C33+C39)*F27,0)</f>
        <v>334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2850</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2052</v>
      </c>
      <c r="D51" s="232"/>
      <c r="E51" s="232"/>
      <c r="F51" s="264"/>
      <c r="G51" s="234" t="s">
        <v>1560</v>
      </c>
    </row>
    <row r="52" spans="1:7" s="208" customFormat="1" ht="16.5" thickBot="1">
      <c r="A52" s="265" t="s">
        <v>1561</v>
      </c>
      <c r="B52" s="266"/>
      <c r="C52" s="267">
        <f ca="1">C31+C51</f>
        <v>10561</v>
      </c>
      <c r="D52" s="266"/>
      <c r="E52" s="266"/>
      <c r="F52" s="266"/>
      <c r="G52" s="268"/>
    </row>
    <row r="55" spans="1:7" ht="15">
      <c r="B55" s="270" t="s">
        <v>1562</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北京市朝阳区安慧东里16号楼-1至4层综合用房房地产抵押价值预评估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1" sqref="I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12166.2955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28212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74788612.800000012</v>
      </c>
      <c r="D5" s="211" t="s">
        <v>1469</v>
      </c>
      <c r="E5" s="212" t="s">
        <v>1470</v>
      </c>
      <c r="F5" s="212" t="s">
        <v>1471</v>
      </c>
      <c r="G5" s="213"/>
    </row>
    <row r="6" spans="1:8" s="214" customFormat="1" ht="13.5" customHeight="1">
      <c r="A6" s="778" t="s">
        <v>1472</v>
      </c>
      <c r="B6" s="215" t="s">
        <v>1473</v>
      </c>
      <c r="C6" s="216">
        <f ca="1">基准地价修正!C33*'成本法 (元)'!D10</f>
        <v>71738104.800000012</v>
      </c>
      <c r="D6" s="217"/>
      <c r="E6" s="218"/>
      <c r="F6" s="218"/>
      <c r="G6" s="219"/>
    </row>
    <row r="7" spans="1:8" s="214" customFormat="1" ht="13.5" customHeight="1">
      <c r="A7" s="778" t="s">
        <v>1474</v>
      </c>
      <c r="B7" s="215" t="s">
        <v>1475</v>
      </c>
      <c r="C7" s="220">
        <f ca="1">ROUND(C6*F7,0)</f>
        <v>2188012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862496</v>
      </c>
      <c r="D8" s="222"/>
      <c r="E8" s="220"/>
      <c r="F8" s="221"/>
      <c r="G8" s="1856" t="s">
        <v>3479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862496</v>
      </c>
      <c r="D10" s="845">
        <f ca="1">IF(B1="",'数据-汇总表'!E6,IF(INDIRECT("'数据-取费表'!c"&amp;$G$1)="住宅",INDIRECT("'数据-取费表'!s"&amp;$G$1),INDIRECT("'数据-取费表'!k"&amp;$G$1)+INDIRECT("'数据-取费表'!s"&amp;$G$1)))</f>
        <v>4312.4800000000005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4312.4800000000005</v>
      </c>
      <c r="E19" s="211">
        <f>'数据-取费表'!B31</f>
        <v>200</v>
      </c>
      <c r="F19" s="231"/>
      <c r="G19" s="1856" t="s">
        <v>3480</v>
      </c>
    </row>
    <row r="20" spans="1:7" s="214" customFormat="1" ht="13.5" customHeight="1">
      <c r="A20" s="255" t="s">
        <v>1574</v>
      </c>
      <c r="B20" s="210" t="s">
        <v>1575</v>
      </c>
      <c r="C20" s="232">
        <f ca="1">ROUND((C5+C19)*F20,0)</f>
        <v>2243658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4778319</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4708766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69553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11554841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11554841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101143355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21627087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19406160</v>
      </c>
      <c r="D34" s="217"/>
      <c r="E34" s="220"/>
      <c r="F34" s="257"/>
      <c r="G34" s="219"/>
    </row>
    <row r="35" spans="1:7" ht="13.5" customHeight="1">
      <c r="A35" s="780" t="s">
        <v>351</v>
      </c>
      <c r="B35" s="215" t="s">
        <v>1527</v>
      </c>
      <c r="C35" s="220">
        <f ca="1">ROUND(C34*F35,0)</f>
        <v>970308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862496</v>
      </c>
      <c r="D37" s="217">
        <f ca="1">D19</f>
        <v>4312.4800000000005</v>
      </c>
      <c r="E37" s="249">
        <f>'数据-取费表'!B35</f>
        <v>200</v>
      </c>
      <c r="F37" s="259"/>
      <c r="G37" s="261"/>
    </row>
    <row r="38" spans="1:7" ht="13.5" customHeight="1">
      <c r="A38" s="780" t="s">
        <v>354</v>
      </c>
      <c r="B38" s="215" t="s">
        <v>1533</v>
      </c>
      <c r="C38" s="220">
        <f ca="1">ROUND(C34*F38,0)</f>
        <v>388123</v>
      </c>
      <c r="D38" s="220"/>
      <c r="E38" s="220"/>
      <c r="F38" s="259">
        <f>'数据-取费表'!B36</f>
        <v>0.02</v>
      </c>
      <c r="G38" s="219" t="s">
        <v>1528</v>
      </c>
    </row>
    <row r="39" spans="1:7" s="214" customFormat="1" ht="13.5" customHeight="1">
      <c r="A39" s="255" t="s">
        <v>1534</v>
      </c>
      <c r="B39" s="210" t="s">
        <v>1535</v>
      </c>
      <c r="C39" s="232">
        <f ca="1">ROUND(C33*F20,0)</f>
        <v>648813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690553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670440</v>
      </c>
      <c r="D42" s="238"/>
      <c r="E42" s="238"/>
      <c r="F42" s="239"/>
      <c r="G42" s="3667" t="s">
        <v>1591</v>
      </c>
    </row>
    <row r="43" spans="1:7" ht="13.5" customHeight="1">
      <c r="A43" s="780" t="s">
        <v>347</v>
      </c>
      <c r="B43" s="215" t="s">
        <v>1545</v>
      </c>
      <c r="C43" s="238">
        <f ca="1">ROUND(IF('数据-取费表'!B22&lt;=1,C39*F22*'数据-取费表'!B20/2,C39*(POWER((1+F22),'数据-取费表'!B20/2)-1)),0)</f>
        <v>20113</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3341385</v>
      </c>
      <c r="D45" s="235">
        <f ca="1">C47</f>
        <v>3.0000000000000001E-3</v>
      </c>
      <c r="E45" s="236" t="s">
        <v>1539</v>
      </c>
      <c r="F45" s="246">
        <f ca="1">F27</f>
        <v>0.15</v>
      </c>
      <c r="G45" s="247" t="s">
        <v>1548</v>
      </c>
    </row>
    <row r="46" spans="1:7" s="214" customFormat="1" ht="13.5" customHeight="1">
      <c r="A46" s="780" t="s">
        <v>346</v>
      </c>
      <c r="B46" s="248" t="s">
        <v>1549</v>
      </c>
      <c r="C46" s="249">
        <f ca="1">ROUND((C33+C39)*F27,0)</f>
        <v>3341385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28499445</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20519600</v>
      </c>
      <c r="D51" s="232"/>
      <c r="E51" s="232"/>
      <c r="F51" s="264"/>
      <c r="G51" s="234" t="s">
        <v>1560</v>
      </c>
    </row>
    <row r="52" spans="1:7" s="208" customFormat="1" ht="16.5" thickBot="1">
      <c r="A52" s="265" t="s">
        <v>1561</v>
      </c>
      <c r="B52" s="266"/>
      <c r="C52" s="267">
        <f ca="1">C31+C51</f>
        <v>121662955</v>
      </c>
      <c r="D52" s="266"/>
      <c r="E52" s="266"/>
      <c r="F52" s="266"/>
      <c r="G52" s="268"/>
    </row>
    <row r="55" spans="1:7" ht="15">
      <c r="B55" s="270" t="s">
        <v>1562</v>
      </c>
      <c r="C55" s="271"/>
    </row>
    <row r="56" spans="1:7">
      <c r="B56" s="273" t="s">
        <v>802</v>
      </c>
      <c r="C56" s="275">
        <f ca="1">1-C57</f>
        <v>0.83099999999999996</v>
      </c>
    </row>
    <row r="57" spans="1:7">
      <c r="B57" s="273" t="s">
        <v>803</v>
      </c>
      <c r="C57" s="274">
        <f ca="1">ROUND(C51/C52,3)</f>
        <v>0.16900000000000001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4312.4800000000005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4312.4800000000005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86</v>
      </c>
      <c r="D20" s="846">
        <f ca="1">IF(C1="",'数据-汇总表'!E6,IF(INDIRECT("'数据-取费表'!c"&amp;$K$1)="住宅",INDIRECT("'数据-取费表'!s"&amp;$K$1),INDIRECT("'数据-取费表'!k"&amp;$K$1)+INDIRECT("'数据-取费表'!s"&amp;$K$1)))</f>
        <v>4312.4800000000005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E33" activeCellId="1" sqref="E40 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4312.4800000000005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6022</v>
      </c>
      <c r="C2" s="1999" t="s">
        <v>1935</v>
      </c>
      <c r="D2" s="2000" t="s">
        <v>1936</v>
      </c>
      <c r="E2" s="3421"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28485</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13964</v>
      </c>
      <c r="C3" s="1999" t="s">
        <v>1941</v>
      </c>
      <c r="D3" s="2000" t="s">
        <v>1942</v>
      </c>
      <c r="E3" s="3419" t="s">
        <v>3468</v>
      </c>
      <c r="F3" s="2004" t="s">
        <v>3494</v>
      </c>
      <c r="G3" s="752">
        <f>IF(F3="宗地容积率",'数据-汇总表'!I4,IF(F3="估价对象容积率",'数据-汇总表'!I6,'数据-汇总表'!I7))</f>
        <v>5.68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22452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682"/>
      <c r="B4" s="3683"/>
      <c r="C4" s="3683"/>
      <c r="D4" s="3684"/>
      <c r="E4" s="3684"/>
      <c r="F4" s="3684"/>
      <c r="G4" s="3684"/>
      <c r="H4" s="3684"/>
      <c r="I4" s="3684"/>
      <c r="J4" s="3685"/>
      <c r="K4" s="1119"/>
      <c r="L4" s="2003" t="s">
        <v>1946</v>
      </c>
      <c r="M4" s="864">
        <f>SUMPRODUCT((区片价!B55:B86=I2)*(区片价!C3:G3=E2)*(区片价!C55:G86))</f>
        <v>19780</v>
      </c>
      <c r="N4" s="866">
        <f>SUMPRODUCT((因素修正幅度!B55:B86=I2)*(因素修正幅度!C3:G3=E2)*(因素修正幅度!C55:G86))</f>
        <v>8.5000000000000006E-2</v>
      </c>
      <c r="O4" s="1119"/>
      <c r="P4" s="1119"/>
      <c r="Q4" s="1119"/>
      <c r="R4" s="1212">
        <v>3</v>
      </c>
      <c r="S4" s="3360">
        <f>ROUND(SUMPRODUCT((B106:B110=R4)*(C105:N105=G2)*(C106:N110)),4)</f>
        <v>1.0004999999999999</v>
      </c>
      <c r="T4" s="3360">
        <f t="shared" si="0"/>
        <v>18976</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19764</v>
      </c>
      <c r="D5" s="1339">
        <f>ROUND(C6*C17+C20,0)</f>
        <v>19764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16736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19780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16083</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5.68</v>
      </c>
      <c r="AA7" s="1216"/>
      <c r="AB7" s="1216"/>
      <c r="AC7" s="1217"/>
      <c r="AD7" s="1218"/>
      <c r="AE7" s="1218"/>
      <c r="AF7" s="1218"/>
      <c r="AG7" s="1218"/>
      <c r="AH7" s="1218"/>
      <c r="AI7" s="1218"/>
      <c r="AJ7" s="1219"/>
    </row>
    <row r="8" spans="1:36" ht="25.5">
      <c r="A8" s="3298"/>
      <c r="B8" s="170" t="s">
        <v>1957</v>
      </c>
      <c r="C8" s="2026" t="s">
        <v>3469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679" t="s">
        <v>1960</v>
      </c>
      <c r="X8" s="36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681"/>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68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86" t="s">
        <v>3254</v>
      </c>
      <c r="B20" s="167" t="s">
        <v>1994</v>
      </c>
      <c r="C20" s="3324">
        <f>ROUND(IF(F21="与级别开发程度一致",0,(G21-E21)/C21),0)</f>
        <v>-16</v>
      </c>
      <c r="D20" s="3340" t="s">
        <v>1998</v>
      </c>
      <c r="E20" s="3341"/>
      <c r="F20" s="3692" t="s">
        <v>1995</v>
      </c>
      <c r="G20" s="3693"/>
      <c r="H20" s="3325" t="s">
        <v>3471</v>
      </c>
      <c r="I20" s="3325" t="s">
        <v>3472</v>
      </c>
      <c r="J20" s="3326"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68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3470</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4" t="s">
        <v>2002</v>
      </c>
      <c r="E23" s="761">
        <v>44197</v>
      </c>
      <c r="F23" s="2054" t="s">
        <v>2003</v>
      </c>
      <c r="G23" s="762">
        <f>'数据-取费表'!B2</f>
        <v>45756</v>
      </c>
      <c r="H23" s="3342" t="s">
        <v>3255</v>
      </c>
      <c r="I23" s="3343" t="str">
        <f>IF(H23="季度增幅（自定义）",SUMIF(N25:N28,E2,O25:O28),"")</f>
        <v/>
      </c>
      <c r="J23" s="3445" t="s">
        <v>3495</v>
      </c>
      <c r="K23" s="1125"/>
      <c r="L23" s="2055" t="s">
        <v>2004</v>
      </c>
      <c r="M23" s="1328">
        <f>ROUND(SUMIF(地价!B2:G2,E2,地价!B16:G16),0)</f>
        <v>350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0.92930000000000001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37.46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3334</v>
      </c>
      <c r="C25" s="771">
        <f>IF(B25="容积率修正",IF(G3&lt;10,D26,J26),C27)</f>
        <v>0.87709999999999999</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3256</v>
      </c>
      <c r="D26" s="1352">
        <f>IF(E26=G26,F26,IF(G3&lt;10,ROUND(F26+(H26-F26)*(G3-E26)/(G26-E26),4),"——"))</f>
        <v>0.87709999999999999</v>
      </c>
      <c r="E26" s="752">
        <f>ROUNDDOWN(G3,1)</f>
        <v>5.6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0.87890000000000001</v>
      </c>
      <c r="G26" s="752">
        <f>ROUNDUP(G3,1)</f>
        <v>5.6999999999999993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0.87670000000000003</v>
      </c>
      <c r="I26" s="3344" t="s">
        <v>3257</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1.0417000000000001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6022</v>
      </c>
      <c r="D30" s="2083"/>
      <c r="E30" s="2046"/>
      <c r="F30" s="2084"/>
      <c r="G30" s="2046"/>
      <c r="H30" s="2046"/>
      <c r="I30" s="2046"/>
      <c r="J30" s="2085"/>
      <c r="K30" s="1119"/>
      <c r="L30" s="3350" t="s">
        <v>1936</v>
      </c>
      <c r="M30" s="3351" t="s">
        <v>1990</v>
      </c>
      <c r="N30" s="3351" t="s">
        <v>1991</v>
      </c>
      <c r="O30" s="3351" t="s">
        <v>1992</v>
      </c>
      <c r="P30" s="3351" t="s">
        <v>1993</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115</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16635</v>
      </c>
      <c r="D33" s="2098">
        <f>'数据-汇总表'!F19</f>
        <v>3344.01</v>
      </c>
      <c r="E33" s="773">
        <f>ROUND(C33*D33/10000,0)</f>
        <v>5563</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4159</v>
      </c>
      <c r="D34" s="2103"/>
      <c r="E34" s="773">
        <f>ROUND(IF(B25="楼层修正",SUM(V2:V16)*M40,C34*D34/10000),0)</f>
        <v>0</v>
      </c>
      <c r="F34" s="2104" t="s">
        <v>2032</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3264</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0"/>
      <c r="B37" s="2113" t="s">
        <v>2036</v>
      </c>
      <c r="C37" s="175">
        <f>ROUND(D5*C22*C23*C24*C28*F37,0)</f>
        <v>11380</v>
      </c>
      <c r="D37" s="2098"/>
      <c r="E37" s="171">
        <f>ROUND(C37*D37/10000,0)</f>
        <v>0</v>
      </c>
      <c r="F37" s="171">
        <f>SUMIF(修正!A57:A68,G2,修正!B57:B68)</f>
        <v>0.6</v>
      </c>
      <c r="G37" s="171">
        <f>ROUND(IF(E2="工业",C37*$M$42,C37*$M$41),0)</f>
        <v>2845</v>
      </c>
      <c r="H37" s="171">
        <f>D37</f>
        <v>0</v>
      </c>
      <c r="I37" s="171">
        <f>ROUND(G37*H37/10000,0)</f>
        <v>0</v>
      </c>
      <c r="J37" s="3011"/>
      <c r="K37" s="3358" t="s">
        <v>3265</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1"/>
      <c r="B38" s="2041" t="s">
        <v>2037</v>
      </c>
      <c r="C38" s="175">
        <f>ROUND(D5*C22*C23*C24*C28*F38,0)</f>
        <v>5690</v>
      </c>
      <c r="D38" s="2098"/>
      <c r="E38" s="171">
        <f t="shared" ref="E38:E42" si="4">ROUND(C38*D38/10000,0)</f>
        <v>0</v>
      </c>
      <c r="F38" s="171">
        <f>SUMIF(修正!A57:A68,G2,修正!C57:C68)</f>
        <v>0.3</v>
      </c>
      <c r="G38" s="171">
        <f>ROUND(IF(E2="工业",C38*$M$42,C38*$M$41),0)</f>
        <v>1423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1"/>
      <c r="B39" s="2041" t="s">
        <v>3258</v>
      </c>
      <c r="C39" s="175">
        <f>ROUND(D5*C22*C23*C24*C28*F39,0)</f>
        <v>4742</v>
      </c>
      <c r="D39" s="2098"/>
      <c r="E39" s="171">
        <f t="shared" si="4"/>
        <v>0</v>
      </c>
      <c r="F39" s="171">
        <f>SUMIF(修正!A57:A68,G2,修正!D57:D68)</f>
        <v>0.25</v>
      </c>
      <c r="G39" s="171">
        <f>ROUND(IF(E2="工业",C39*$M$42,C39*$M$41),0)</f>
        <v>1186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4742</v>
      </c>
      <c r="D40" s="2098">
        <f>'数据-汇总表'!G19</f>
        <v>968.47</v>
      </c>
      <c r="E40" s="171">
        <f t="shared" si="4"/>
        <v>459</v>
      </c>
      <c r="F40" s="175">
        <f>SUMIF(修正!A57:A68,G2,修正!E57:E68)</f>
        <v>0.25</v>
      </c>
      <c r="G40" s="171">
        <f>ROUND(IF(E2="工业",C40*$M$42,C40*$M$41),0)</f>
        <v>1186</v>
      </c>
      <c r="H40" s="171">
        <f t="shared" si="5"/>
        <v>968.47</v>
      </c>
      <c r="I40" s="171">
        <f t="shared" si="6"/>
        <v>115</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4742</v>
      </c>
      <c r="D41" s="2098"/>
      <c r="E41" s="171">
        <f t="shared" si="4"/>
        <v>0</v>
      </c>
      <c r="F41" s="175">
        <f>SUMIF(修正!A57:A68,G2,修正!F57:F68)</f>
        <v>0.25</v>
      </c>
      <c r="G41" s="171">
        <f>ROUND(IF(E2="工业",C41*$M$42,C41*$M$41),0)</f>
        <v>1186</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2845</v>
      </c>
      <c r="D42" s="2103"/>
      <c r="E42" s="187">
        <f t="shared" si="4"/>
        <v>0</v>
      </c>
      <c r="F42" s="767">
        <f>SUMIF(修正!A57:A68,G2,修正!G57:G68)</f>
        <v>0.15</v>
      </c>
      <c r="G42" s="187">
        <f>ROUND(IF(E2="工业",C42*$M$42,C42*$M$41),0)</f>
        <v>711</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0.92930000000000001</v>
      </c>
      <c r="D44" s="171" t="s">
        <v>1999</v>
      </c>
      <c r="E44" s="2153">
        <f>G24</f>
        <v>5.5E-2</v>
      </c>
      <c r="F44" s="171" t="s">
        <v>2008</v>
      </c>
      <c r="G44" s="183">
        <f>项目基本情况!E15</f>
        <v>37.46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1.0417000000000001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3467</v>
      </c>
      <c r="D61" s="1065">
        <f t="shared" ref="D61:D69" si="12">SUMIF($J$60:$N$60,C61,J61:N61)</f>
        <v>1.06E-2</v>
      </c>
      <c r="E61" s="744">
        <f>ROUND(SUM(D61:D69),4)</f>
        <v>4.1700000000000001E-2</v>
      </c>
      <c r="F61" s="1814">
        <f>IF(E2="办公",SUMIF(L1:L12,G2,N1:N12),"——")</f>
        <v>8.5000000000000006E-2</v>
      </c>
      <c r="G61" s="1063">
        <f>H61</f>
        <v>1.06E-2</v>
      </c>
      <c r="H61" s="1066">
        <f t="shared" ref="H61:H69" si="13">IFERROR(ROUNDDOWN($F$61*I61/2,4),"——")</f>
        <v>1.06E-2</v>
      </c>
      <c r="I61" s="3366">
        <v>0.25</v>
      </c>
      <c r="J61" s="1064">
        <f t="shared" ref="J61:J69" si="14">K61+$G61</f>
        <v>2.12E-2</v>
      </c>
      <c r="K61" s="1064">
        <f t="shared" ref="K61:K69" si="15">$L61+$G61</f>
        <v>1.06E-2</v>
      </c>
      <c r="L61" s="1064">
        <v>0</v>
      </c>
      <c r="M61" s="1064">
        <f t="shared" ref="M61:N69" si="16">L61-$G61</f>
        <v>-1.06E-2</v>
      </c>
      <c r="N61" s="1064">
        <f t="shared" si="16"/>
        <v>-2.12E-2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3467</v>
      </c>
      <c r="D62" s="1065">
        <f t="shared" si="12"/>
        <v>1.0999999999999999E-2</v>
      </c>
      <c r="E62" s="745"/>
      <c r="F62" s="1814"/>
      <c r="G62" s="1063">
        <f t="shared" ref="G62:G69" si="17">H62</f>
        <v>1.0999999999999999E-2</v>
      </c>
      <c r="H62" s="1066">
        <f t="shared" si="13"/>
        <v>1.0999999999999999E-2</v>
      </c>
      <c r="I62" s="3366">
        <v>0.26</v>
      </c>
      <c r="J62" s="1064">
        <f t="shared" si="14"/>
        <v>2.1999999999999999E-2</v>
      </c>
      <c r="K62" s="1064">
        <f t="shared" si="15"/>
        <v>1.0999999999999999E-2</v>
      </c>
      <c r="L62" s="1064">
        <v>0</v>
      </c>
      <c r="M62" s="1064">
        <f t="shared" si="16"/>
        <v>-1.0999999999999999E-2</v>
      </c>
      <c r="N62" s="1064">
        <f t="shared" si="16"/>
        <v>-2.1999999999999999E-2</v>
      </c>
      <c r="AA62" s="1120"/>
      <c r="AB62" s="1120"/>
      <c r="AC62" s="1120"/>
      <c r="AD62" s="1120"/>
      <c r="AE62" s="1120"/>
      <c r="AF62" s="1120"/>
      <c r="AG62" s="1120"/>
      <c r="AH62" s="1120"/>
      <c r="AI62" s="1120"/>
      <c r="AJ62" s="1120"/>
      <c r="AK62" s="1120"/>
    </row>
    <row r="63" spans="1:37" s="1119" customFormat="1" ht="36">
      <c r="A63" s="3368" t="s">
        <v>3268</v>
      </c>
      <c r="B63" s="2134">
        <f>估价对象房地状况!C19</f>
        <v>0</v>
      </c>
      <c r="C63" s="2044" t="s">
        <v>3467</v>
      </c>
      <c r="D63" s="1065">
        <f t="shared" si="12"/>
        <v>4.5999999999999999E-3</v>
      </c>
      <c r="E63" s="745"/>
      <c r="F63" s="1814"/>
      <c r="G63" s="1063">
        <f t="shared" si="17"/>
        <v>4.5999999999999999E-3</v>
      </c>
      <c r="H63" s="1066">
        <f t="shared" si="13"/>
        <v>4.5999999999999999E-3</v>
      </c>
      <c r="I63" s="3366">
        <v>0.11</v>
      </c>
      <c r="J63" s="1064">
        <f t="shared" si="14"/>
        <v>9.1999999999999998E-3</v>
      </c>
      <c r="K63" s="1064">
        <f t="shared" si="15"/>
        <v>4.5999999999999999E-3</v>
      </c>
      <c r="L63" s="1064">
        <v>0</v>
      </c>
      <c r="M63" s="1064">
        <f t="shared" si="16"/>
        <v>-4.5999999999999999E-3</v>
      </c>
      <c r="N63" s="1064">
        <f t="shared" si="16"/>
        <v>-9.1999999999999998E-3</v>
      </c>
      <c r="AA63" s="1120"/>
      <c r="AB63" s="1120"/>
      <c r="AC63" s="1120"/>
      <c r="AD63" s="1120"/>
      <c r="AE63" s="1120"/>
      <c r="AF63" s="1120"/>
      <c r="AG63" s="1120"/>
      <c r="AH63" s="1120"/>
      <c r="AI63" s="1120"/>
      <c r="AJ63" s="1120"/>
      <c r="AK63" s="1120"/>
    </row>
    <row r="64" spans="1:37" s="1119" customFormat="1" ht="36.75">
      <c r="A64" s="2130" t="s">
        <v>2054</v>
      </c>
      <c r="B64" s="2135" t="s">
        <v>2055</v>
      </c>
      <c r="C64" s="2044" t="s">
        <v>3467</v>
      </c>
      <c r="D64" s="1065">
        <f t="shared" si="12"/>
        <v>2.0999999999999999E-3</v>
      </c>
      <c r="E64" s="745"/>
      <c r="F64" s="1814"/>
      <c r="G64" s="1063">
        <f t="shared" si="17"/>
        <v>2.0999999999999999E-3</v>
      </c>
      <c r="H64" s="1066">
        <f t="shared" si="13"/>
        <v>2.0999999999999999E-3</v>
      </c>
      <c r="I64" s="3366">
        <v>0.05</v>
      </c>
      <c r="J64" s="1064">
        <f t="shared" si="14"/>
        <v>4.1999999999999997E-3</v>
      </c>
      <c r="K64" s="1064">
        <f t="shared" si="15"/>
        <v>2.0999999999999999E-3</v>
      </c>
      <c r="L64" s="1064">
        <v>0</v>
      </c>
      <c r="M64" s="1064">
        <f t="shared" si="16"/>
        <v>-2.0999999999999999E-3</v>
      </c>
      <c r="N64" s="1064">
        <f t="shared" si="16"/>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3478</v>
      </c>
      <c r="D65" s="1065">
        <f t="shared" si="12"/>
        <v>-2.0999999999999999E-3</v>
      </c>
      <c r="E65" s="745"/>
      <c r="F65" s="1814"/>
      <c r="G65" s="1063">
        <f t="shared" si="17"/>
        <v>2.0999999999999999E-3</v>
      </c>
      <c r="H65" s="1066">
        <f t="shared" si="13"/>
        <v>2.0999999999999999E-3</v>
      </c>
      <c r="I65" s="3366">
        <v>0.05</v>
      </c>
      <c r="J65" s="1064">
        <f t="shared" si="14"/>
        <v>4.1999999999999997E-3</v>
      </c>
      <c r="K65" s="1064">
        <f t="shared" si="15"/>
        <v>2.0999999999999999E-3</v>
      </c>
      <c r="L65" s="1064">
        <v>0</v>
      </c>
      <c r="M65" s="1064">
        <f t="shared" si="16"/>
        <v>-2.0999999999999999E-3</v>
      </c>
      <c r="N65" s="1064">
        <f t="shared" si="16"/>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3467</v>
      </c>
      <c r="D66" s="1065">
        <f t="shared" si="12"/>
        <v>2.5000000000000001E-3</v>
      </c>
      <c r="E66" s="745"/>
      <c r="F66" s="1814"/>
      <c r="G66" s="1063">
        <f t="shared" si="17"/>
        <v>2.5000000000000001E-3</v>
      </c>
      <c r="H66" s="1066">
        <f t="shared" si="13"/>
        <v>2.5000000000000001E-3</v>
      </c>
      <c r="I66" s="3366">
        <v>0.06</v>
      </c>
      <c r="J66" s="1064">
        <f t="shared" si="14"/>
        <v>5.0000000000000001E-3</v>
      </c>
      <c r="K66" s="1064">
        <f t="shared" si="15"/>
        <v>2.5000000000000001E-3</v>
      </c>
      <c r="L66" s="1064">
        <v>0</v>
      </c>
      <c r="M66" s="1064">
        <f t="shared" si="16"/>
        <v>-2.5000000000000001E-3</v>
      </c>
      <c r="N66" s="1064">
        <f t="shared" si="16"/>
        <v>-5.0000000000000001E-3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3467</v>
      </c>
      <c r="D67" s="1065">
        <f t="shared" si="12"/>
        <v>2.5000000000000001E-3</v>
      </c>
      <c r="E67" s="745"/>
      <c r="F67" s="1814"/>
      <c r="G67" s="1063">
        <f t="shared" si="17"/>
        <v>2.5000000000000001E-3</v>
      </c>
      <c r="H67" s="1066">
        <f t="shared" si="13"/>
        <v>2.5000000000000001E-3</v>
      </c>
      <c r="I67" s="3366">
        <v>0.06</v>
      </c>
      <c r="J67" s="1064">
        <f t="shared" si="14"/>
        <v>5.0000000000000001E-3</v>
      </c>
      <c r="K67" s="1064">
        <f t="shared" si="15"/>
        <v>2.5000000000000001E-3</v>
      </c>
      <c r="L67" s="1064">
        <v>0</v>
      </c>
      <c r="M67" s="1064">
        <f t="shared" si="16"/>
        <v>-2.5000000000000001E-3</v>
      </c>
      <c r="N67" s="1064">
        <f t="shared" si="16"/>
        <v>-5.0000000000000001E-3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3496</v>
      </c>
      <c r="D68" s="1065">
        <f t="shared" si="12"/>
        <v>7.6E-3</v>
      </c>
      <c r="E68" s="745"/>
      <c r="F68" s="1814"/>
      <c r="G68" s="1063">
        <f t="shared" si="17"/>
        <v>3.8E-3</v>
      </c>
      <c r="H68" s="1066">
        <f t="shared" si="13"/>
        <v>3.8E-3</v>
      </c>
      <c r="I68" s="3366">
        <v>0.09</v>
      </c>
      <c r="J68" s="1064">
        <f t="shared" si="14"/>
        <v>7.6E-3</v>
      </c>
      <c r="K68" s="1064">
        <f t="shared" si="15"/>
        <v>3.8E-3</v>
      </c>
      <c r="L68" s="1064">
        <v>0</v>
      </c>
      <c r="M68" s="1064">
        <f t="shared" si="16"/>
        <v>-3.8E-3</v>
      </c>
      <c r="N68" s="1064">
        <f t="shared" si="16"/>
        <v>-7.6E-3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3467</v>
      </c>
      <c r="D69" s="1065">
        <f t="shared" si="12"/>
        <v>2.8999999999999998E-3</v>
      </c>
      <c r="E69" s="746"/>
      <c r="F69" s="1814"/>
      <c r="G69" s="1063">
        <f t="shared" si="17"/>
        <v>2.8999999999999998E-3</v>
      </c>
      <c r="H69" s="1066">
        <f t="shared" si="13"/>
        <v>2.8999999999999998E-3</v>
      </c>
      <c r="I69" s="3367">
        <v>7.0000000000000007E-2</v>
      </c>
      <c r="J69" s="1064">
        <f t="shared" si="14"/>
        <v>5.7999999999999996E-3</v>
      </c>
      <c r="K69" s="1064">
        <f t="shared" si="15"/>
        <v>2.8999999999999998E-3</v>
      </c>
      <c r="L69" s="1064">
        <v>0</v>
      </c>
      <c r="M69" s="1064">
        <f t="shared" si="16"/>
        <v>-2.8999999999999998E-3</v>
      </c>
      <c r="N69" s="1064">
        <f t="shared" si="16"/>
        <v>-5.7999999999999996E-3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3269</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3272</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3268</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3273</v>
      </c>
      <c r="B96" s="3384" t="s">
        <v>3284</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3274</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3275</v>
      </c>
      <c r="B98" s="3385" t="s">
        <v>3285</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3276</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3277</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3278</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88" t="s">
        <v>3293</v>
      </c>
      <c r="B103" s="3688"/>
      <c r="C103" s="3688"/>
      <c r="D103" s="3688"/>
      <c r="E103" s="3688"/>
      <c r="F103" s="3688"/>
      <c r="G103" s="3688"/>
      <c r="H103" s="3688"/>
      <c r="I103" s="3688"/>
      <c r="J103" s="3688"/>
      <c r="K103" s="3389"/>
      <c r="L103" s="3389"/>
      <c r="M103" s="3389"/>
      <c r="N103" s="3389"/>
    </row>
    <row r="104" spans="1:14">
      <c r="A104" s="3689" t="s">
        <v>3294</v>
      </c>
      <c r="B104" s="3689" t="s">
        <v>3295</v>
      </c>
      <c r="C104" s="3390" t="s">
        <v>3296</v>
      </c>
      <c r="D104" s="3391"/>
      <c r="E104" s="3391"/>
      <c r="F104" s="3391"/>
      <c r="G104" s="3391"/>
      <c r="H104" s="3391"/>
      <c r="I104" s="3391"/>
      <c r="J104" s="3392"/>
      <c r="K104" s="3393"/>
      <c r="L104" s="3393"/>
      <c r="M104" s="3393"/>
      <c r="N104" s="3393"/>
    </row>
    <row r="105" spans="1:14">
      <c r="A105" s="3689"/>
      <c r="B105" s="3689"/>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675"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7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7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7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7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76"/>
      <c r="B111" s="3394" t="s">
        <v>3267</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7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78" t="s">
        <v>3310</v>
      </c>
      <c r="B113" s="3678"/>
      <c r="C113" s="3678"/>
      <c r="D113" s="3678"/>
      <c r="E113" s="3678"/>
      <c r="F113" s="3678"/>
      <c r="G113" s="3678"/>
      <c r="H113" s="3678"/>
      <c r="I113" s="3678"/>
      <c r="J113" s="367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5.68</v>
      </c>
      <c r="C116" s="3399" t="s">
        <v>3312</v>
      </c>
      <c r="D116" s="3400">
        <f>SUMPRODUCT((A118:A122=F116)*(B117:M117=H116)*B118:M122)</f>
        <v>0.86080000000000001</v>
      </c>
      <c r="E116" s="2000" t="s">
        <v>3313</v>
      </c>
      <c r="F116" s="3401" t="str">
        <f>E2</f>
        <v>办公</v>
      </c>
      <c r="G116" s="2000" t="s">
        <v>3314</v>
      </c>
      <c r="H116" s="3401" t="str">
        <f>G2</f>
        <v>四级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0.93430000000000002</v>
      </c>
      <c r="C118" s="3387">
        <f>B118</f>
        <v>0.93430000000000002</v>
      </c>
      <c r="D118" s="3387">
        <f>ROUND(0.949-0.014*B116,4)</f>
        <v>0.86950000000000005</v>
      </c>
      <c r="E118" s="3387">
        <f>D118</f>
        <v>0.86950000000000005</v>
      </c>
      <c r="F118" s="3387">
        <f>E118</f>
        <v>0.86950000000000005</v>
      </c>
      <c r="G118" s="3387">
        <f>F118</f>
        <v>0.86950000000000005</v>
      </c>
      <c r="H118" s="3387">
        <f>G118</f>
        <v>0.86950000000000005</v>
      </c>
      <c r="I118" s="3387">
        <f>ROUND(0.8486-0.018*B116,4)</f>
        <v>0.74639999999999995</v>
      </c>
      <c r="J118" s="3387">
        <f t="shared" ref="J118:M122" si="36">I118</f>
        <v>0.74639999999999995</v>
      </c>
      <c r="K118" s="3387">
        <f t="shared" si="36"/>
        <v>0.74639999999999995</v>
      </c>
      <c r="L118" s="3387">
        <f t="shared" si="36"/>
        <v>0.74639999999999995</v>
      </c>
      <c r="M118" s="3410">
        <f t="shared" si="36"/>
        <v>0.74639999999999995</v>
      </c>
      <c r="N118" s="3397"/>
    </row>
    <row r="119" spans="1:14">
      <c r="A119" s="3409" t="s">
        <v>3328</v>
      </c>
      <c r="B119" s="3387">
        <f>ROUND(0.993-0.0112*B116,4)</f>
        <v>0.9294</v>
      </c>
      <c r="C119" s="3387">
        <f>B119</f>
        <v>0.9294</v>
      </c>
      <c r="D119" s="3387">
        <f>ROUND(0.9415-0.0142*B116,4)</f>
        <v>0.86080000000000001</v>
      </c>
      <c r="E119" s="3387">
        <f t="shared" ref="E119:H120" si="37">D119</f>
        <v>0.86080000000000001</v>
      </c>
      <c r="F119" s="3387">
        <f t="shared" si="37"/>
        <v>0.86080000000000001</v>
      </c>
      <c r="G119" s="3387">
        <f t="shared" si="37"/>
        <v>0.86080000000000001</v>
      </c>
      <c r="H119" s="3387">
        <f t="shared" si="37"/>
        <v>0.86080000000000001</v>
      </c>
      <c r="I119" s="3387">
        <f>ROUND(0.838-0.0182*B116,4)</f>
        <v>0.73460000000000003</v>
      </c>
      <c r="J119" s="3387">
        <f t="shared" si="36"/>
        <v>0.73460000000000003</v>
      </c>
      <c r="K119" s="3387">
        <f t="shared" si="36"/>
        <v>0.73460000000000003</v>
      </c>
      <c r="L119" s="3387">
        <f t="shared" si="36"/>
        <v>0.73460000000000003</v>
      </c>
      <c r="M119" s="3410">
        <f t="shared" si="36"/>
        <v>0.73460000000000003</v>
      </c>
      <c r="N119" s="3397"/>
    </row>
    <row r="120" spans="1:14">
      <c r="A120" s="3409" t="s">
        <v>3329</v>
      </c>
      <c r="B120" s="3387">
        <f>ROUND(0.9448-0.0115*B116,4)</f>
        <v>0.87949999999999995</v>
      </c>
      <c r="C120" s="3387">
        <f>B120</f>
        <v>0.87949999999999995</v>
      </c>
      <c r="D120" s="3387">
        <f>ROUND(0.937-0.0145*B116,4)</f>
        <v>0.85460000000000003</v>
      </c>
      <c r="E120" s="3387">
        <f t="shared" si="37"/>
        <v>0.85460000000000003</v>
      </c>
      <c r="F120" s="3387">
        <f t="shared" si="37"/>
        <v>0.85460000000000003</v>
      </c>
      <c r="G120" s="3387">
        <f t="shared" si="37"/>
        <v>0.85460000000000003</v>
      </c>
      <c r="H120" s="3387">
        <f t="shared" si="37"/>
        <v>0.85460000000000003</v>
      </c>
      <c r="I120" s="3387">
        <f>ROUND(0.7965-0.0185*B116,4)</f>
        <v>0.69140000000000001</v>
      </c>
      <c r="J120" s="3387">
        <f t="shared" si="36"/>
        <v>0.69140000000000001</v>
      </c>
      <c r="K120" s="3387">
        <f t="shared" si="36"/>
        <v>0.69140000000000001</v>
      </c>
      <c r="L120" s="3387">
        <f t="shared" si="36"/>
        <v>0.69140000000000001</v>
      </c>
      <c r="M120" s="3410">
        <f t="shared" si="36"/>
        <v>0.69140000000000001</v>
      </c>
      <c r="N120" s="3397"/>
    </row>
    <row r="121" spans="1:14" ht="13.5" thickBot="1">
      <c r="A121" s="3411" t="s">
        <v>3330</v>
      </c>
      <c r="B121" s="3412">
        <f>ROUND(0.7836-0.012*B116,4)</f>
        <v>0.71540000000000004</v>
      </c>
      <c r="C121" s="3412">
        <f>B121</f>
        <v>0.71540000000000004</v>
      </c>
      <c r="D121" s="3412">
        <f>ROUND(0.753-0.015*B116,4)</f>
        <v>0.66779999999999995</v>
      </c>
      <c r="E121" s="3412">
        <f>D121</f>
        <v>0.66779999999999995</v>
      </c>
      <c r="F121" s="3412">
        <f>E121</f>
        <v>0.66779999999999995</v>
      </c>
      <c r="G121" s="3412">
        <f>ROUND(0.6612-0.018*B116,4)</f>
        <v>0.55900000000000005</v>
      </c>
      <c r="H121" s="3412">
        <f>G121</f>
        <v>0.55900000000000005</v>
      </c>
      <c r="I121" s="3412">
        <f>ROUND(0.5905-0.019*B116,4)</f>
        <v>0.48259999999999997</v>
      </c>
      <c r="J121" s="3412">
        <f t="shared" si="36"/>
        <v>0.48259999999999997</v>
      </c>
      <c r="K121" s="3412">
        <f t="shared" si="36"/>
        <v>0.48259999999999997</v>
      </c>
      <c r="L121" s="3412">
        <f t="shared" si="36"/>
        <v>0.48259999999999997</v>
      </c>
      <c r="M121" s="3413">
        <f t="shared" si="36"/>
        <v>0.48259999999999997</v>
      </c>
      <c r="N121" s="3397"/>
    </row>
    <row r="122" spans="1:14">
      <c r="A122" s="3414" t="s">
        <v>2612</v>
      </c>
      <c r="B122" s="3387">
        <f>ROUND(0.9404-0.0106*B116,4)</f>
        <v>0.88019999999999998</v>
      </c>
      <c r="C122" s="3387">
        <f>B122</f>
        <v>0.88019999999999998</v>
      </c>
      <c r="D122" s="3387">
        <f>ROUND(0.8955-0.0135*B116,4)</f>
        <v>0.81879999999999997</v>
      </c>
      <c r="E122" s="3387">
        <f t="shared" ref="E122:H122" si="38">D122</f>
        <v>0.81879999999999997</v>
      </c>
      <c r="F122" s="3387">
        <f t="shared" si="38"/>
        <v>0.81879999999999997</v>
      </c>
      <c r="G122" s="3387">
        <f t="shared" si="38"/>
        <v>0.81879999999999997</v>
      </c>
      <c r="H122" s="3387">
        <f t="shared" si="38"/>
        <v>0.81879999999999997</v>
      </c>
      <c r="I122" s="3387">
        <f>ROUND(0.7632-0.0166*B116,4)</f>
        <v>0.66890000000000005</v>
      </c>
      <c r="J122" s="3387">
        <f t="shared" si="36"/>
        <v>0.66890000000000005</v>
      </c>
      <c r="K122" s="3387">
        <f t="shared" si="36"/>
        <v>0.66890000000000005</v>
      </c>
      <c r="L122" s="3387">
        <f t="shared" si="36"/>
        <v>0.66890000000000005</v>
      </c>
      <c r="M122" s="3410">
        <f t="shared" si="36"/>
        <v>0.66890000000000005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53" sqref="K53:L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3489</v>
      </c>
      <c r="D1" s="1362" t="s">
        <v>43</v>
      </c>
      <c r="E1" s="1363" t="s">
        <v>678</v>
      </c>
      <c r="F1" s="1062">
        <f ca="1">J53</f>
        <v>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7267</v>
      </c>
      <c r="C2" s="1387" t="s">
        <v>805</v>
      </c>
      <c r="D2" s="1387"/>
      <c r="E2" s="1388"/>
      <c r="F2" s="1389"/>
      <c r="G2" s="2705"/>
      <c r="H2" s="2694"/>
      <c r="I2" s="2694"/>
      <c r="J2" s="2694"/>
      <c r="K2" s="2695"/>
      <c r="L2" s="2694"/>
      <c r="M2" s="2694"/>
    </row>
    <row r="3" spans="1:37" ht="18" customHeight="1" thickBot="1">
      <c r="A3" s="1390" t="s">
        <v>806</v>
      </c>
      <c r="B3" s="1391">
        <f ca="1">IF(ISERROR(B2*10000/F43),0,ROUND(B2*10000/F43,0))</f>
        <v>16851</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462</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461</v>
      </c>
      <c r="D6" s="155" t="s">
        <v>2109</v>
      </c>
      <c r="E6" s="302" t="s">
        <v>696</v>
      </c>
      <c r="F6" s="303">
        <f ca="1">INDIRECT("'数据-取费表'!u"&amp;$G$1)</f>
        <v>4.2</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3344.01</v>
      </c>
      <c r="G7" s="1384"/>
      <c r="H7" s="304"/>
      <c r="I7" s="3673"/>
      <c r="J7" s="306"/>
      <c r="K7" s="307"/>
      <c r="L7" s="302" t="s">
        <v>697</v>
      </c>
      <c r="M7" s="303">
        <f ca="1">F7</f>
        <v>3344.01</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2052</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1941</v>
      </c>
      <c r="D14" s="1345" t="s">
        <v>708</v>
      </c>
      <c r="E14" s="1342"/>
      <c r="F14" s="319"/>
      <c r="G14" s="1384"/>
      <c r="H14" s="982" t="s">
        <v>398</v>
      </c>
      <c r="I14" s="302" t="s">
        <v>709</v>
      </c>
      <c r="J14" s="21">
        <f ca="1">C29</f>
        <v>2850</v>
      </c>
      <c r="K14" s="12"/>
      <c r="L14" s="807"/>
      <c r="M14" s="808"/>
    </row>
    <row r="15" spans="1:37" s="1397" customFormat="1" ht="18" customHeight="1" thickBot="1">
      <c r="A15" s="982" t="s">
        <v>399</v>
      </c>
      <c r="B15" s="302" t="s">
        <v>710</v>
      </c>
      <c r="C15" s="21">
        <f ca="1">ROUND(C14*F15,0)</f>
        <v>97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86</v>
      </c>
      <c r="D17" s="302" t="s">
        <v>717</v>
      </c>
      <c r="E17" s="302" t="s">
        <v>718</v>
      </c>
      <c r="F17" s="23">
        <f>'数据-取费表'!B35</f>
        <v>200</v>
      </c>
      <c r="G17" s="1396"/>
      <c r="H17" s="982" t="s">
        <v>398</v>
      </c>
      <c r="I17" s="302" t="s">
        <v>719</v>
      </c>
      <c r="J17" s="2316">
        <f ca="1">ROUND(IF(AND(项目基本情况!B11="自然人",项目基本情况!B10="北京市"),J6*M17/(1+'数据-取费表'!C42),J18+J19+J20),2)</f>
        <v>0.71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2163</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65</v>
      </c>
      <c r="D20" s="323" t="s">
        <v>729</v>
      </c>
      <c r="E20" s="302" t="s">
        <v>712</v>
      </c>
      <c r="F20" s="322">
        <f>'数据-取费表'!B37</f>
        <v>0.03</v>
      </c>
      <c r="G20" s="1396"/>
      <c r="H20" s="982" t="s">
        <v>680</v>
      </c>
      <c r="I20" s="155" t="s">
        <v>730</v>
      </c>
      <c r="J20" s="22">
        <f ca="1">ROUND(M20*M21/10000,2)</f>
        <v>0.71</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588.41999999999996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14.25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334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2850</v>
      </c>
      <c r="D29" s="1092"/>
      <c r="E29" s="1090"/>
      <c r="F29" s="1093"/>
      <c r="G29" s="1396"/>
      <c r="H29" s="334" t="s">
        <v>396</v>
      </c>
      <c r="I29" s="335" t="s">
        <v>768</v>
      </c>
      <c r="J29" s="336">
        <f ca="1">ROUND(J26/(1+F40)^F41,0)</f>
        <v>0</v>
      </c>
      <c r="K29" s="337" t="s">
        <v>769</v>
      </c>
      <c r="L29" s="338"/>
      <c r="M29" s="339">
        <f ca="1">INDIRECT("'数据-取费表'!k"&amp;$G$1)</f>
        <v>4312.4800000000005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99</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77.989999999999995</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24.59</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52.69</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0.71</v>
      </c>
      <c r="D34" s="324" t="s">
        <v>731</v>
      </c>
      <c r="E34" s="302" t="s">
        <v>732</v>
      </c>
      <c r="F34" s="325">
        <f>'数据-取费表'!B52</f>
        <v>12</v>
      </c>
      <c r="G34" s="1384"/>
      <c r="H34" s="2696"/>
      <c r="I34" s="1398"/>
      <c r="J34" s="1399"/>
      <c r="K34" s="2701"/>
      <c r="L34" s="2702"/>
      <c r="M34" s="2702"/>
    </row>
    <row r="35" spans="1:18" ht="18" customHeight="1">
      <c r="A35" s="1103"/>
      <c r="B35" s="1101"/>
      <c r="C35" s="26"/>
      <c r="D35" s="327"/>
      <c r="E35" s="302" t="s">
        <v>736</v>
      </c>
      <c r="F35" s="303">
        <f ca="1">INDIRECT("'数据-取费表'!r"&amp;$G$1)</f>
        <v>588.41999999999996</v>
      </c>
      <c r="G35" s="1384"/>
      <c r="H35" s="2696"/>
      <c r="I35" s="1398"/>
      <c r="J35" s="1399"/>
      <c r="K35" s="2700"/>
      <c r="L35" s="2699"/>
      <c r="M35" s="2699"/>
    </row>
    <row r="36" spans="1:18" ht="18" customHeight="1">
      <c r="A36" s="1102" t="s">
        <v>402</v>
      </c>
      <c r="B36" s="302" t="s">
        <v>738</v>
      </c>
      <c r="C36" s="21">
        <f ca="1">ROUND(C29*F36,2)</f>
        <v>14.25</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2.0499999999999998</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4.62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363</v>
      </c>
      <c r="D39" s="1095" t="s">
        <v>773</v>
      </c>
      <c r="E39" s="1096"/>
      <c r="F39" s="1097"/>
      <c r="G39" s="1384"/>
      <c r="H39" s="2699"/>
      <c r="I39" s="1398"/>
      <c r="J39" s="1399"/>
      <c r="K39" s="2703"/>
      <c r="L39" s="2699"/>
      <c r="M39" s="2699"/>
    </row>
    <row r="40" spans="1:18" ht="18" customHeight="1">
      <c r="A40" s="299" t="s">
        <v>395</v>
      </c>
      <c r="B40" s="300" t="s">
        <v>774</v>
      </c>
      <c r="C40" s="301">
        <f ca="1">ROUND(C39*(1-((1+F42)/(1+F40))^F41)/(F40-F42),0)</f>
        <v>7187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16666</v>
      </c>
      <c r="D43" s="337" t="s">
        <v>777</v>
      </c>
      <c r="E43" s="338" t="s">
        <v>778</v>
      </c>
      <c r="F43" s="339">
        <f ca="1">INDIRECT("'数据-取费表'!k"&amp;$G$1)</f>
        <v>4312.4800000000005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-7449</v>
      </c>
      <c r="D46" s="1406" t="str">
        <f>C2</f>
        <v>万元</v>
      </c>
      <c r="E46" s="1400"/>
      <c r="F46" s="1400"/>
      <c r="I46" s="1407" t="s">
        <v>810</v>
      </c>
      <c r="J46" s="1408"/>
      <c r="K46" s="1409"/>
      <c r="L46" s="1410">
        <f ca="1">IF(M47="住宅",0,IF(L48&gt;J51,L60,J60))</f>
        <v>80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3424</v>
      </c>
      <c r="K47" s="1416" t="s">
        <v>816</v>
      </c>
      <c r="L47" s="1417">
        <f ca="1">INDIRECT("'数据-取费表'!d"&amp;$G$1)</f>
        <v>50</v>
      </c>
      <c r="M47" s="1380" t="str">
        <f>IF(ISNUMBER(FIND("住宅",C1)),"住宅","非住宅")</f>
        <v>非住宅</v>
      </c>
      <c r="O47" s="1418" t="s">
        <v>403</v>
      </c>
      <c r="P47" s="1419" t="s">
        <v>817</v>
      </c>
      <c r="Q47" s="1420">
        <f ca="1">C40+J29</f>
        <v>7187</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37.46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'数据-取费表'!N19</f>
        <v>2000</v>
      </c>
      <c r="K49" s="1423" t="s">
        <v>824</v>
      </c>
      <c r="L49" s="1427"/>
      <c r="O49" s="1428" t="s">
        <v>405</v>
      </c>
      <c r="P49" s="1419" t="s">
        <v>825</v>
      </c>
      <c r="Q49" s="1420">
        <f ca="1">C29</f>
        <v>2850</v>
      </c>
      <c r="R49" s="1420" t="s">
        <v>818</v>
      </c>
    </row>
    <row r="50" spans="1:18" s="1384" customFormat="1" ht="13.5" thickBot="1">
      <c r="A50" s="976"/>
      <c r="B50" s="979"/>
      <c r="C50" s="1118"/>
      <c r="D50" s="953"/>
      <c r="E50" s="1056" t="s">
        <v>697</v>
      </c>
      <c r="F50" s="1057">
        <f ca="1">F7</f>
        <v>3344.01</v>
      </c>
      <c r="H50" s="723"/>
      <c r="I50" s="1421" t="s">
        <v>826</v>
      </c>
      <c r="J50" s="1429">
        <f>SUMPRODUCT((I63:I65=J47)*(J62:L62=J48)*(J63:L65))</f>
        <v>60</v>
      </c>
      <c r="K50" s="1423" t="s">
        <v>827</v>
      </c>
      <c r="L50" s="1427">
        <f>基准地价修正!E33+基准地价修正!E40</f>
        <v>6022</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3592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基准地价修正!E44</f>
        <v>5.5E-2</v>
      </c>
      <c r="O52" s="1428" t="s">
        <v>408</v>
      </c>
      <c r="P52" s="1419" t="s">
        <v>834</v>
      </c>
      <c r="Q52" s="1420">
        <f ca="1">J53</f>
        <v>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35</v>
      </c>
      <c r="K53" s="3670" t="s">
        <v>837</v>
      </c>
      <c r="L53" s="3671"/>
      <c r="O53" s="1418" t="s">
        <v>409</v>
      </c>
      <c r="P53" s="1419" t="s">
        <v>838</v>
      </c>
      <c r="Q53" s="1420">
        <f ca="1">Q47+Q48</f>
        <v>7187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2052</v>
      </c>
      <c r="D56" s="1447"/>
      <c r="E56" s="1448"/>
      <c r="F56" s="1440"/>
      <c r="I56" s="1449" t="s">
        <v>842</v>
      </c>
      <c r="J56" s="1450" t="s">
        <v>3417</v>
      </c>
      <c r="K56" s="1421" t="s">
        <v>843</v>
      </c>
      <c r="L56" s="1424">
        <f ca="1">IF(L48&lt;J51,"——",L48-J53)</f>
        <v>2.4600000000000009</v>
      </c>
      <c r="O56" s="1418" t="s">
        <v>403</v>
      </c>
      <c r="P56" s="1419" t="s">
        <v>817</v>
      </c>
      <c r="Q56" s="1420">
        <f ca="1">C40+J29</f>
        <v>7187</v>
      </c>
      <c r="R56" s="1420" t="s">
        <v>818</v>
      </c>
    </row>
    <row r="57" spans="1:18" s="1384" customFormat="1" ht="24.75" thickBot="1">
      <c r="A57" s="1451"/>
      <c r="B57" s="950" t="s">
        <v>767</v>
      </c>
      <c r="C57" s="238">
        <f ca="1">C29</f>
        <v>2850</v>
      </c>
      <c r="D57" s="1452"/>
      <c r="E57" s="1453"/>
      <c r="F57" s="1454"/>
      <c r="I57" s="1455" t="s">
        <v>844</v>
      </c>
      <c r="J57" s="1456" t="str">
        <f ca="1">IF(OR(M47="住宅",J51&lt;L48,J56="是"),"——",J51-L48)</f>
        <v>——</v>
      </c>
      <c r="K57" s="1421" t="s">
        <v>845</v>
      </c>
      <c r="L57" s="1424">
        <f ca="1">IF(L48&lt;J51,"——",IF(L55="比较法",L49,IF(L55="基准地价",L50,L51)))</f>
        <v>3592</v>
      </c>
      <c r="O57" s="1418" t="s">
        <v>404</v>
      </c>
      <c r="P57" s="1419" t="s">
        <v>846</v>
      </c>
      <c r="Q57" s="1420">
        <f ca="1">L60</f>
        <v>80</v>
      </c>
      <c r="R57" s="1420" t="s">
        <v>847</v>
      </c>
    </row>
    <row r="58" spans="1:18" s="1384" customFormat="1" ht="24.75" thickBot="1">
      <c r="A58" s="315" t="s">
        <v>393</v>
      </c>
      <c r="B58" s="958" t="s">
        <v>714</v>
      </c>
      <c r="C58" s="316">
        <f ca="1">ROUND(C59+C64+C65+C66,0)</f>
        <v>17</v>
      </c>
      <c r="D58" s="960" t="s">
        <v>715</v>
      </c>
      <c r="E58" s="961"/>
      <c r="F58" s="962"/>
      <c r="I58" s="1455" t="s">
        <v>848</v>
      </c>
      <c r="J58" s="1457" t="e">
        <f ca="1">IF(J55&lt;0.4,0.4,J55)</f>
        <v>#VALUE!</v>
      </c>
      <c r="K58" s="1434" t="s">
        <v>849</v>
      </c>
      <c r="L58" s="1424">
        <f ca="1">ROUND(POWER(1+L52,L47-L48)*(POWER(1+L52,L48)-1)/(POWER(1+L52,L47)-1),4)</f>
        <v>0.92930000000000001</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0.90900000000000003</v>
      </c>
      <c r="M59" s="1380">
        <f ca="1">ROUND(POWER(1+L52,L47-(J51+'数据-取费表'!B24))*(POWER(1+L52,(J51+'数据-取费表'!B24))-1)/(POWER(1+L52,L47)-1),4)</f>
        <v>0.90900000000000003</v>
      </c>
      <c r="N59" s="1380">
        <f ca="1">ROUND(POWER(1+L52,L47-(J51+'数据-取费表'!B20))*(POWER(1+L52,(J51+'数据-取费表'!B20))-1)/(POWER(1+L52,L47)-1),4)</f>
        <v>0.92569999999999997</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80</v>
      </c>
      <c r="O60" s="1428" t="s">
        <v>407</v>
      </c>
      <c r="P60" s="1419" t="s">
        <v>855</v>
      </c>
      <c r="Q60" s="1420">
        <f ca="1">L58</f>
        <v>0.92930000000000001</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f ca="1">L59</f>
        <v>0.90900000000000003</v>
      </c>
      <c r="R61" s="1420" t="s">
        <v>857</v>
      </c>
    </row>
    <row r="62" spans="1:18" s="1384" customFormat="1" ht="13.5" thickBot="1">
      <c r="A62" s="982" t="s">
        <v>784</v>
      </c>
      <c r="B62" s="949" t="s">
        <v>785</v>
      </c>
      <c r="C62" s="22">
        <f ca="1">IF(项目基本情况!B11="自然人","——",ROUND(F62*F63/10000,2))</f>
        <v>0.71</v>
      </c>
      <c r="D62" s="965" t="s">
        <v>786</v>
      </c>
      <c r="E62" s="950" t="s">
        <v>787</v>
      </c>
      <c r="F62" s="325">
        <f t="shared" si="0"/>
        <v>12</v>
      </c>
      <c r="I62" s="1462" t="s">
        <v>858</v>
      </c>
      <c r="J62" s="1463" t="s">
        <v>859</v>
      </c>
      <c r="K62" s="1463" t="s">
        <v>860</v>
      </c>
      <c r="L62" s="1463" t="s">
        <v>861</v>
      </c>
      <c r="M62" s="1464" t="s">
        <v>862</v>
      </c>
      <c r="O62" s="1418" t="s">
        <v>409</v>
      </c>
      <c r="P62" s="1419" t="s">
        <v>863</v>
      </c>
      <c r="Q62" s="1420">
        <f ca="1">Q56+Q57</f>
        <v>7267</v>
      </c>
      <c r="R62" s="1420" t="s">
        <v>410</v>
      </c>
    </row>
    <row r="63" spans="1:18" s="1384" customFormat="1" ht="13.5" thickBot="1">
      <c r="A63" s="326"/>
      <c r="B63" s="956"/>
      <c r="C63" s="26"/>
      <c r="D63" s="966"/>
      <c r="E63" s="950" t="s">
        <v>788</v>
      </c>
      <c r="F63" s="303">
        <f t="shared" ca="1" si="0"/>
        <v>588.41999999999996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14.25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2.0499999999999998</v>
      </c>
      <c r="D65" s="964" t="s">
        <v>743</v>
      </c>
      <c r="E65" s="950" t="s">
        <v>744</v>
      </c>
      <c r="F65" s="330">
        <f t="shared" ca="1" si="0"/>
        <v>1E-3</v>
      </c>
      <c r="I65" s="1462" t="s">
        <v>867</v>
      </c>
      <c r="J65" s="1463">
        <v>40</v>
      </c>
      <c r="K65" s="1463">
        <v>30</v>
      </c>
      <c r="L65" s="1463">
        <v>50</v>
      </c>
      <c r="M65" s="1465">
        <v>0.02</v>
      </c>
      <c r="O65" s="1418" t="s">
        <v>403</v>
      </c>
      <c r="P65" s="1419" t="s">
        <v>868</v>
      </c>
      <c r="Q65" s="1420">
        <f ca="1">C40+J29</f>
        <v>7187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80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3592</v>
      </c>
      <c r="R67" s="1420" t="s">
        <v>870</v>
      </c>
    </row>
    <row r="68" spans="1:18" s="1384" customFormat="1" ht="16.5" thickBot="1">
      <c r="A68" s="947" t="s">
        <v>395</v>
      </c>
      <c r="B68" s="948" t="s">
        <v>774</v>
      </c>
      <c r="C68" s="301">
        <f ca="1">ROUND(C67*(1-((1+F70)/(1+F68))^F69)/(F68-F70),0)</f>
        <v>-262</v>
      </c>
      <c r="D68" s="965" t="s">
        <v>758</v>
      </c>
      <c r="E68" s="950" t="s">
        <v>759</v>
      </c>
      <c r="F68" s="312">
        <f ca="1">F40</f>
        <v>5.5E-2</v>
      </c>
      <c r="O68" s="1428" t="s">
        <v>406</v>
      </c>
      <c r="P68" s="1467" t="s">
        <v>871</v>
      </c>
      <c r="Q68" s="1420">
        <f ca="1">ROUND(Q69-Q70*Q71,0)</f>
        <v>219</v>
      </c>
      <c r="R68" s="1420" t="s">
        <v>414</v>
      </c>
    </row>
    <row r="69" spans="1:18" s="1384" customFormat="1" ht="13.5" thickBot="1">
      <c r="A69" s="951"/>
      <c r="B69" s="952"/>
      <c r="C69" s="306"/>
      <c r="D69" s="970" t="s">
        <v>762</v>
      </c>
      <c r="E69" s="950" t="s">
        <v>763</v>
      </c>
      <c r="F69" s="333">
        <f ca="1">F41</f>
        <v>35</v>
      </c>
      <c r="O69" s="1428" t="s">
        <v>411</v>
      </c>
      <c r="P69" s="1467" t="s">
        <v>872</v>
      </c>
      <c r="Q69" s="1420">
        <f ca="1">C39</f>
        <v>363</v>
      </c>
      <c r="R69" s="1420" t="s">
        <v>818</v>
      </c>
    </row>
    <row r="70" spans="1:18" s="1384" customFormat="1" ht="13.5" thickBot="1">
      <c r="A70" s="954"/>
      <c r="B70" s="955"/>
      <c r="C70" s="310"/>
      <c r="D70" s="966"/>
      <c r="E70" s="950" t="s">
        <v>766</v>
      </c>
      <c r="F70" s="1054"/>
      <c r="O70" s="1428" t="s">
        <v>412</v>
      </c>
      <c r="P70" s="1467" t="s">
        <v>873</v>
      </c>
      <c r="Q70" s="1420">
        <f ca="1">C13</f>
        <v>2052</v>
      </c>
      <c r="R70" s="1420" t="s">
        <v>818</v>
      </c>
    </row>
    <row r="71" spans="1:18" s="1384" customFormat="1" ht="13.5" thickBot="1">
      <c r="A71" s="971" t="s">
        <v>396</v>
      </c>
      <c r="B71" s="972" t="s">
        <v>776</v>
      </c>
      <c r="C71" s="336">
        <f ca="1">ROUND(C68*10000/F71,0)</f>
        <v>-608</v>
      </c>
      <c r="D71" s="973" t="s">
        <v>777</v>
      </c>
      <c r="E71" s="974" t="s">
        <v>778</v>
      </c>
      <c r="F71" s="339">
        <f ca="1">F43</f>
        <v>4312.4800000000005</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0.92930000000000001</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0.90900000000000003</v>
      </c>
      <c r="R74" s="1420" t="s">
        <v>857</v>
      </c>
    </row>
    <row r="75" spans="1:18" ht="13.5" thickBot="1">
      <c r="A75" s="1384"/>
      <c r="B75" s="340" t="s">
        <v>795</v>
      </c>
      <c r="C75" s="341">
        <f ca="1">ROUND(C13*C76,0)</f>
        <v>144</v>
      </c>
      <c r="D75" s="1384"/>
      <c r="E75" s="1384"/>
      <c r="F75" s="1384"/>
      <c r="K75" s="1402"/>
      <c r="L75" s="1384"/>
      <c r="O75" s="1418" t="s">
        <v>409</v>
      </c>
      <c r="P75" s="1419" t="s">
        <v>838</v>
      </c>
      <c r="Q75" s="1420">
        <f ca="1">Q65+Q66</f>
        <v>7267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0.60299999999999998</v>
      </c>
    </row>
    <row r="80" spans="1:18">
      <c r="B80" s="340" t="s">
        <v>800</v>
      </c>
      <c r="C80" s="274">
        <f ca="1">ROUND(C75/C39,3)</f>
        <v>0.39700000000000002</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#N/A</v>
      </c>
      <c r="C2" s="1387" t="s">
        <v>879</v>
      </c>
      <c r="D2" s="1471" t="e">
        <f ca="1">C40+J29+L46</f>
        <v>#N/A</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72" t="s">
        <v>694</v>
      </c>
      <c r="C6" s="1074" t="e">
        <f ca="1">ROUND(F6*F8*F7*(1-F9),0)</f>
        <v>#N/A</v>
      </c>
      <c r="D6" s="155" t="s">
        <v>2106</v>
      </c>
      <c r="E6" s="302" t="s">
        <v>696</v>
      </c>
      <c r="F6" s="303" t="e">
        <f ca="1">INDIRECT("'数据-取费表'!u"&amp;$G$1)</f>
        <v>#N/A</v>
      </c>
      <c r="G6" s="1384"/>
      <c r="H6" s="1069" t="s">
        <v>398</v>
      </c>
      <c r="I6" s="3672" t="s">
        <v>694</v>
      </c>
      <c r="J6" s="301" t="e">
        <f ca="1">ROUND(M6*M8*M7*(1-M9),0)</f>
        <v>#N/A</v>
      </c>
      <c r="K6" s="1376" t="s">
        <v>2107</v>
      </c>
      <c r="L6" s="302" t="s">
        <v>696</v>
      </c>
      <c r="M6" s="303" t="e">
        <f ca="1">INDIRECT("'数据-取费表'!z"&amp;$G$1)</f>
        <v>#N/A</v>
      </c>
    </row>
    <row r="7" spans="1:37" ht="18" customHeight="1">
      <c r="A7" s="1073"/>
      <c r="B7" s="3673"/>
      <c r="C7" s="1075"/>
      <c r="D7" s="307"/>
      <c r="E7" s="1076" t="s">
        <v>697</v>
      </c>
      <c r="F7" s="303" t="e">
        <f ca="1">IF(INDIRECT("'数据-取费表'!ah"&amp;$G$1)="",INDIRECT("'数据-取费表'!k"&amp;$G$1),INDIRECT("'数据-取费表'!ah"&amp;$G$1))</f>
        <v>#N/A</v>
      </c>
      <c r="G7" s="1384"/>
      <c r="H7" s="304"/>
      <c r="I7" s="3673"/>
      <c r="J7" s="306"/>
      <c r="K7" s="307"/>
      <c r="L7" s="302" t="s">
        <v>697</v>
      </c>
      <c r="M7" s="303" t="e">
        <f ca="1">F7</f>
        <v>#N/A</v>
      </c>
    </row>
    <row r="8" spans="1:37" ht="18" customHeight="1">
      <c r="A8" s="304"/>
      <c r="B8" s="3673"/>
      <c r="C8" s="306"/>
      <c r="D8" s="307"/>
      <c r="E8" s="302" t="s">
        <v>698</v>
      </c>
      <c r="F8" s="303" t="e">
        <f ca="1">INDIRECT("'数据-取费表'!ai"&amp;$G$1)</f>
        <v>#N/A</v>
      </c>
      <c r="G8" s="1384"/>
      <c r="H8" s="304"/>
      <c r="I8" s="3673"/>
      <c r="J8" s="306"/>
      <c r="K8" s="307"/>
      <c r="L8" s="302" t="s">
        <v>698</v>
      </c>
      <c r="M8" s="303" t="e">
        <f ca="1">INDIRECT("'数据-取费表'!ai"&amp;$G$1)</f>
        <v>#N/A</v>
      </c>
    </row>
    <row r="9" spans="1:37" ht="18" customHeight="1">
      <c r="A9" s="304"/>
      <c r="B9" s="3674"/>
      <c r="C9" s="306"/>
      <c r="D9" s="307"/>
      <c r="E9" s="302" t="s">
        <v>699</v>
      </c>
      <c r="F9" s="312" t="e">
        <f ca="1">INDIRECT("'数据-取费表'!w"&amp;$G$1)</f>
        <v>#N/A</v>
      </c>
      <c r="G9" s="1384"/>
      <c r="H9" s="304"/>
      <c r="I9" s="367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3423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ROUND(J6*M18/(1+'数据-取费表'!C42),0)</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3335</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0.03</v>
      </c>
      <c r="G20" s="1396"/>
      <c r="H20" s="982" t="s">
        <v>680</v>
      </c>
      <c r="I20" s="155" t="s">
        <v>730</v>
      </c>
      <c r="J20" s="22" t="e">
        <f ca="1">ROUND(M20*M21,0)</f>
        <v>#N/A</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5"/>
      <c r="L30" s="2697"/>
      <c r="M30" s="2698"/>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t="e">
        <f ca="1">IF(项目基本情况!B11="自然人","——",ROUND(C6*F32/(1+'数据-取费表'!C42),0))</f>
        <v>#N/A</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IF(项目基本情况!B11="自然人","——",ROUND(F34*F35,0))</f>
        <v>#N/A</v>
      </c>
      <c r="D34" s="324" t="s">
        <v>731</v>
      </c>
      <c r="E34" s="302" t="s">
        <v>732</v>
      </c>
      <c r="F34" s="325">
        <f>'数据-取费表'!B52</f>
        <v>12</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ROUND(C29*F36,0)</f>
        <v>#N/A</v>
      </c>
      <c r="D36" s="1344" t="s">
        <v>771</v>
      </c>
      <c r="E36" s="302" t="s">
        <v>712</v>
      </c>
      <c r="F36" s="328" t="e">
        <f ca="1">INDIRECT("'数据-取费表'!Ak"&amp;$G$1)</f>
        <v>#N/A</v>
      </c>
      <c r="G36" s="1384"/>
      <c r="H36" s="2699"/>
      <c r="I36" s="1398"/>
      <c r="J36" s="1399"/>
      <c r="K36" s="2544"/>
      <c r="L36" s="2699"/>
      <c r="M36" s="2699"/>
    </row>
    <row r="37" spans="1:18" ht="18" customHeight="1">
      <c r="A37" s="982" t="s">
        <v>437</v>
      </c>
      <c r="B37" s="302" t="s">
        <v>742</v>
      </c>
      <c r="C37" s="21" t="e">
        <f ca="1">ROUND(C13*F37,0)</f>
        <v>#N/A</v>
      </c>
      <c r="D37" s="1344" t="s">
        <v>743</v>
      </c>
      <c r="E37" s="302" t="s">
        <v>744</v>
      </c>
      <c r="F37" s="330" t="e">
        <f ca="1">INDIRECT("'数据-取费表'!Al"&amp;$G$1)</f>
        <v>#N/A</v>
      </c>
      <c r="G37" s="1384"/>
      <c r="H37" s="2699"/>
      <c r="I37" s="1398"/>
      <c r="J37" s="1399"/>
      <c r="K37" s="2544"/>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t="e">
        <f ca="1">ROUND((C68-C40)/10000,4)</f>
        <v>#N/A</v>
      </c>
      <c r="D45" s="3431" t="s">
        <v>3352</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3424</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3425</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f>'数据-取费表'!N19</f>
        <v>2000</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35</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670" t="s">
        <v>837</v>
      </c>
      <c r="L53" s="3671"/>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3417</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3335</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90" zoomScaleNormal="70" zoomScaleSheetLayoutView="90" workbookViewId="0">
      <selection activeCell="I5" sqref="I5:J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3430</v>
      </c>
      <c r="F1" s="1879" t="s">
        <v>3429</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2.7</v>
      </c>
      <c r="C3" s="354" t="s">
        <v>1665</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1666</v>
      </c>
      <c r="B4" s="356"/>
      <c r="C4" s="3727" t="s">
        <v>1667</v>
      </c>
      <c r="D4" s="3728"/>
      <c r="E4" s="3729" t="s">
        <v>1668</v>
      </c>
      <c r="F4" s="3730"/>
      <c r="G4" s="3727" t="s">
        <v>1669</v>
      </c>
      <c r="H4" s="3728"/>
      <c r="I4" s="3727" t="s">
        <v>1670</v>
      </c>
      <c r="J4" s="3728"/>
      <c r="K4" s="559" t="s">
        <v>1671</v>
      </c>
      <c r="L4" s="2714"/>
      <c r="M4" s="2715"/>
      <c r="N4" s="2715"/>
      <c r="O4" s="2715"/>
      <c r="P4" s="3731" t="s">
        <v>1672</v>
      </c>
      <c r="Q4" s="3732"/>
      <c r="R4" s="3713" t="s">
        <v>1668</v>
      </c>
      <c r="S4" s="3714"/>
      <c r="T4" s="3713" t="s">
        <v>1669</v>
      </c>
      <c r="U4" s="3714"/>
      <c r="V4" s="3719" t="s">
        <v>1670</v>
      </c>
      <c r="W4" s="3719"/>
      <c r="X4" s="3473"/>
      <c r="Y4" s="3713" t="s">
        <v>1672</v>
      </c>
      <c r="Z4" s="3714"/>
      <c r="AA4" s="3721" t="s">
        <v>1668</v>
      </c>
      <c r="AB4" s="3721" t="s">
        <v>1669</v>
      </c>
      <c r="AC4" s="3724" t="s">
        <v>1670</v>
      </c>
    </row>
    <row r="5" spans="1:29" ht="15">
      <c r="A5" s="358"/>
      <c r="B5" s="359"/>
      <c r="C5" s="3737" t="s">
        <v>3431</v>
      </c>
      <c r="D5" s="3738"/>
      <c r="E5" s="3737" t="s">
        <v>3431</v>
      </c>
      <c r="F5" s="3738"/>
      <c r="G5" s="3737" t="s">
        <v>3484</v>
      </c>
      <c r="H5" s="3738"/>
      <c r="I5" s="3737" t="s">
        <v>3481</v>
      </c>
      <c r="J5" s="3738"/>
      <c r="K5" s="559"/>
      <c r="L5" s="2714"/>
      <c r="M5" s="2715"/>
      <c r="N5" s="2715"/>
      <c r="O5" s="2715"/>
      <c r="P5" s="3733"/>
      <c r="Q5" s="3734"/>
      <c r="R5" s="3715"/>
      <c r="S5" s="3716"/>
      <c r="T5" s="3715"/>
      <c r="U5" s="3716"/>
      <c r="V5" s="3720"/>
      <c r="W5" s="3720"/>
      <c r="X5" s="3468"/>
      <c r="Y5" s="3715"/>
      <c r="Z5" s="3716"/>
      <c r="AA5" s="3722"/>
      <c r="AB5" s="3722"/>
      <c r="AC5" s="3725"/>
    </row>
    <row r="6" spans="1:29" ht="15.75" thickBot="1">
      <c r="A6" s="360"/>
      <c r="B6" s="361"/>
      <c r="C6" s="3739" t="s">
        <v>1677</v>
      </c>
      <c r="D6" s="3740"/>
      <c r="E6" s="3741" t="s">
        <v>1677</v>
      </c>
      <c r="F6" s="3742"/>
      <c r="G6" s="3739" t="s">
        <v>1677</v>
      </c>
      <c r="H6" s="3740"/>
      <c r="I6" s="3739" t="s">
        <v>1677</v>
      </c>
      <c r="J6" s="3740"/>
      <c r="K6" s="559" t="s">
        <v>1678</v>
      </c>
      <c r="L6" s="2714"/>
      <c r="M6" s="2715"/>
      <c r="N6" s="2715"/>
      <c r="O6" s="2715"/>
      <c r="P6" s="3735"/>
      <c r="Q6" s="3736"/>
      <c r="R6" s="3715"/>
      <c r="S6" s="3716"/>
      <c r="T6" s="3717"/>
      <c r="U6" s="3718"/>
      <c r="V6" s="3720"/>
      <c r="W6" s="3720"/>
      <c r="X6" s="3468"/>
      <c r="Y6" s="3717"/>
      <c r="Z6" s="3718"/>
      <c r="AA6" s="3723"/>
      <c r="AB6" s="3723"/>
      <c r="AC6" s="3726"/>
    </row>
    <row r="7" spans="1:29" s="108" customFormat="1" ht="15.75" thickBot="1">
      <c r="A7" s="362" t="s">
        <v>1679</v>
      </c>
      <c r="B7" s="363"/>
      <c r="C7" s="364">
        <f>'数据-取费表'!B2</f>
        <v>45756</v>
      </c>
      <c r="D7" s="365">
        <v>100</v>
      </c>
      <c r="E7" s="366">
        <f>C7</f>
        <v>45756</v>
      </c>
      <c r="F7" s="367">
        <f>SUMIF(59:59,YEAR(E7)&amp;"-"&amp;MONTH(E7),60:60)</f>
        <v>100</v>
      </c>
      <c r="G7" s="366">
        <f>C7</f>
        <v>45756</v>
      </c>
      <c r="H7" s="365">
        <f>SUMIF(59:59,YEAR(G7)&amp;"-"&amp;MONTH(G7),60:60)</f>
        <v>100</v>
      </c>
      <c r="I7" s="366">
        <f>C7</f>
        <v>45756</v>
      </c>
      <c r="J7" s="365">
        <f>SUMIF(59:59,YEAR(I7)&amp;"-"&amp;MONTH(I7),60:60)</f>
        <v>100</v>
      </c>
      <c r="K7" s="560"/>
      <c r="L7" s="2716"/>
      <c r="M7" s="2717"/>
      <c r="N7" s="2717"/>
      <c r="O7" s="2717"/>
      <c r="P7" s="3709" t="s">
        <v>1680</v>
      </c>
      <c r="Q7" s="3710"/>
      <c r="R7" s="701" t="s">
        <v>14</v>
      </c>
      <c r="S7" s="702">
        <f t="shared" ref="S7:S15" si="0">F7</f>
        <v>100</v>
      </c>
      <c r="T7" s="701" t="s">
        <v>14</v>
      </c>
      <c r="U7" s="702">
        <f t="shared" ref="U7:U15" si="1">H7</f>
        <v>100</v>
      </c>
      <c r="V7" s="701" t="s">
        <v>14</v>
      </c>
      <c r="W7" s="702">
        <f t="shared" ref="W7:W15" si="2">J7</f>
        <v>100</v>
      </c>
      <c r="X7" s="703"/>
      <c r="Y7" s="3712" t="s">
        <v>1680</v>
      </c>
      <c r="Z7" s="3711"/>
      <c r="AA7" s="704">
        <f>D7/F7</f>
        <v>1</v>
      </c>
      <c r="AB7" s="704">
        <f>D7/H7</f>
        <v>1</v>
      </c>
      <c r="AC7" s="1959">
        <f>D7/J7</f>
        <v>1</v>
      </c>
    </row>
    <row r="8" spans="1:29" s="108" customFormat="1" ht="15.75" thickBot="1">
      <c r="A8" s="362" t="s">
        <v>1681</v>
      </c>
      <c r="B8" s="363"/>
      <c r="C8" s="368" t="s">
        <v>3432</v>
      </c>
      <c r="D8" s="365">
        <v>100</v>
      </c>
      <c r="E8" s="368" t="s">
        <v>3439</v>
      </c>
      <c r="F8" s="367">
        <f>SUMIF(62:62,E8,63:63)-SUMIF(62:62,C8,63:63)+100</f>
        <v>103</v>
      </c>
      <c r="G8" s="368" t="s">
        <v>3439</v>
      </c>
      <c r="H8" s="365">
        <f>SUMIF(62:62,G8,63:63)-SUMIF(62:62,C8,63:63)+100</f>
        <v>103</v>
      </c>
      <c r="I8" s="368" t="s">
        <v>3439</v>
      </c>
      <c r="J8" s="365">
        <f>SUMIF(62:62,I8,63:63)-SUMIF(62:62,C8,63:63)+100</f>
        <v>103</v>
      </c>
      <c r="K8" s="560"/>
      <c r="L8" s="2716"/>
      <c r="M8" s="2717"/>
      <c r="N8" s="2717"/>
      <c r="O8" s="2717"/>
      <c r="P8" s="3709" t="s">
        <v>1683</v>
      </c>
      <c r="Q8" s="3711"/>
      <c r="R8" s="701" t="s">
        <v>14</v>
      </c>
      <c r="S8" s="702">
        <f t="shared" si="0"/>
        <v>103</v>
      </c>
      <c r="T8" s="701" t="s">
        <v>14</v>
      </c>
      <c r="U8" s="702">
        <f t="shared" si="1"/>
        <v>103</v>
      </c>
      <c r="V8" s="701" t="s">
        <v>14</v>
      </c>
      <c r="W8" s="702">
        <f t="shared" si="2"/>
        <v>103</v>
      </c>
      <c r="X8" s="703"/>
      <c r="Y8" s="3712" t="s">
        <v>1683</v>
      </c>
      <c r="Z8" s="3711"/>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77"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94" t="s">
        <v>1686</v>
      </c>
      <c r="Q9" s="3467" t="str">
        <f t="shared" ref="Q9:Q15" si="6">B9</f>
        <v>用途</v>
      </c>
      <c r="R9" s="701" t="s">
        <v>14</v>
      </c>
      <c r="S9" s="702">
        <f t="shared" si="0"/>
        <v>100</v>
      </c>
      <c r="T9" s="701" t="s">
        <v>14</v>
      </c>
      <c r="U9" s="702">
        <f t="shared" si="1"/>
        <v>100</v>
      </c>
      <c r="V9" s="701" t="s">
        <v>14</v>
      </c>
      <c r="W9" s="702">
        <f t="shared" si="2"/>
        <v>100</v>
      </c>
      <c r="X9" s="703"/>
      <c r="Y9" s="3643" t="s">
        <v>1687</v>
      </c>
      <c r="Z9" s="3466"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3467" t="str">
        <f t="shared" si="6"/>
        <v>土地使用年限（年）</v>
      </c>
      <c r="R10" s="701" t="s">
        <v>14</v>
      </c>
      <c r="S10" s="702">
        <f t="shared" si="0"/>
        <v>100</v>
      </c>
      <c r="T10" s="701" t="s">
        <v>14</v>
      </c>
      <c r="U10" s="702">
        <f t="shared" si="1"/>
        <v>100</v>
      </c>
      <c r="V10" s="701" t="s">
        <v>14</v>
      </c>
      <c r="W10" s="702">
        <f t="shared" si="2"/>
        <v>100</v>
      </c>
      <c r="X10" s="703"/>
      <c r="Y10" s="3643"/>
      <c r="Z10" s="3466"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3467" t="str">
        <f t="shared" si="6"/>
        <v>容积率</v>
      </c>
      <c r="R11" s="701" t="s">
        <v>14</v>
      </c>
      <c r="S11" s="702">
        <f t="shared" si="0"/>
        <v>100</v>
      </c>
      <c r="T11" s="701" t="s">
        <v>14</v>
      </c>
      <c r="U11" s="702">
        <f t="shared" si="1"/>
        <v>100</v>
      </c>
      <c r="V11" s="701" t="s">
        <v>14</v>
      </c>
      <c r="W11" s="702">
        <f t="shared" si="2"/>
        <v>100</v>
      </c>
      <c r="X11" s="703"/>
      <c r="Y11" s="3643"/>
      <c r="Z11" s="3466"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3467">
        <f t="shared" si="6"/>
        <v>111</v>
      </c>
      <c r="R12" s="701" t="s">
        <v>14</v>
      </c>
      <c r="S12" s="702">
        <f t="shared" si="0"/>
        <v>100</v>
      </c>
      <c r="T12" s="701" t="s">
        <v>14</v>
      </c>
      <c r="U12" s="702">
        <f t="shared" si="1"/>
        <v>100</v>
      </c>
      <c r="V12" s="701" t="s">
        <v>14</v>
      </c>
      <c r="W12" s="702">
        <f t="shared" si="2"/>
        <v>100</v>
      </c>
      <c r="X12" s="703"/>
      <c r="Y12" s="3643"/>
      <c r="Z12" s="3466">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3467">
        <f t="shared" si="6"/>
        <v>111</v>
      </c>
      <c r="R13" s="701" t="s">
        <v>14</v>
      </c>
      <c r="S13" s="702">
        <f t="shared" si="0"/>
        <v>100</v>
      </c>
      <c r="T13" s="701" t="s">
        <v>14</v>
      </c>
      <c r="U13" s="702">
        <f t="shared" si="1"/>
        <v>100</v>
      </c>
      <c r="V13" s="701" t="s">
        <v>14</v>
      </c>
      <c r="W13" s="702">
        <f t="shared" si="2"/>
        <v>100</v>
      </c>
      <c r="X13" s="703"/>
      <c r="Y13" s="3643"/>
      <c r="Z13" s="3466">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3467">
        <f t="shared" si="6"/>
        <v>111</v>
      </c>
      <c r="R14" s="701" t="s">
        <v>14</v>
      </c>
      <c r="S14" s="702">
        <f t="shared" si="0"/>
        <v>100</v>
      </c>
      <c r="T14" s="701" t="s">
        <v>14</v>
      </c>
      <c r="U14" s="702">
        <f t="shared" si="1"/>
        <v>100</v>
      </c>
      <c r="V14" s="701" t="s">
        <v>14</v>
      </c>
      <c r="W14" s="702">
        <f t="shared" si="2"/>
        <v>100</v>
      </c>
      <c r="X14" s="703"/>
      <c r="Y14" s="3643"/>
      <c r="Z14" s="3466">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0" t="s">
        <v>1691</v>
      </c>
      <c r="Q15" s="3471" t="str">
        <f t="shared" si="6"/>
        <v>办公集聚程度</v>
      </c>
      <c r="R15" s="705" t="s">
        <v>14</v>
      </c>
      <c r="S15" s="706">
        <f t="shared" si="0"/>
        <v>100</v>
      </c>
      <c r="T15" s="705" t="s">
        <v>14</v>
      </c>
      <c r="U15" s="706">
        <f t="shared" si="1"/>
        <v>100</v>
      </c>
      <c r="V15" s="705" t="s">
        <v>14</v>
      </c>
      <c r="W15" s="706">
        <f t="shared" si="2"/>
        <v>100</v>
      </c>
      <c r="X15" s="3468"/>
      <c r="Y15" s="3702" t="s">
        <v>1691</v>
      </c>
      <c r="Z15" s="3469" t="str">
        <f t="shared" si="7"/>
        <v>办公集聚程度</v>
      </c>
      <c r="AA15" s="3472">
        <f t="shared" si="3"/>
        <v>1</v>
      </c>
      <c r="AB15" s="3472">
        <f t="shared" si="4"/>
        <v>1</v>
      </c>
      <c r="AC15" s="1962">
        <f t="shared" si="5"/>
        <v>1</v>
      </c>
    </row>
    <row r="16" spans="1:29" ht="15">
      <c r="A16" s="379"/>
      <c r="B16" s="578"/>
      <c r="C16" s="1904" t="s">
        <v>3466</v>
      </c>
      <c r="D16" s="399"/>
      <c r="E16" s="1904" t="s">
        <v>3466</v>
      </c>
      <c r="F16" s="399"/>
      <c r="G16" s="1904" t="s">
        <v>3466</v>
      </c>
      <c r="H16" s="401"/>
      <c r="I16" s="1904" t="s">
        <v>3466</v>
      </c>
      <c r="J16" s="399"/>
      <c r="K16" s="564"/>
      <c r="L16" s="2721"/>
      <c r="M16" s="2715"/>
      <c r="N16" s="2715"/>
      <c r="O16" s="2715"/>
      <c r="P16" s="3701"/>
      <c r="Q16" s="3471"/>
      <c r="R16" s="705"/>
      <c r="S16" s="706"/>
      <c r="T16" s="705"/>
      <c r="U16" s="706"/>
      <c r="V16" s="705"/>
      <c r="W16" s="706"/>
      <c r="X16" s="3468"/>
      <c r="Y16" s="3703"/>
      <c r="Z16" s="3469"/>
      <c r="AA16" s="3472">
        <v>1</v>
      </c>
      <c r="AB16" s="3472">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1"/>
      <c r="Q17" s="3471" t="str">
        <f>B17</f>
        <v>交通便捷度</v>
      </c>
      <c r="R17" s="705" t="s">
        <v>14</v>
      </c>
      <c r="S17" s="706">
        <f>F17</f>
        <v>100</v>
      </c>
      <c r="T17" s="705" t="s">
        <v>14</v>
      </c>
      <c r="U17" s="706">
        <f>H17</f>
        <v>100</v>
      </c>
      <c r="V17" s="705" t="s">
        <v>14</v>
      </c>
      <c r="W17" s="706">
        <f>J17</f>
        <v>100</v>
      </c>
      <c r="X17" s="3468"/>
      <c r="Y17" s="3703"/>
      <c r="Z17" s="3469" t="str">
        <f>Q17</f>
        <v>交通便捷度</v>
      </c>
      <c r="AA17" s="3472">
        <f t="shared" si="3"/>
        <v>1</v>
      </c>
      <c r="AB17" s="3472">
        <f t="shared" si="4"/>
        <v>1</v>
      </c>
      <c r="AC17" s="1962">
        <f t="shared" si="5"/>
        <v>1</v>
      </c>
    </row>
    <row r="18" spans="1:29" ht="15">
      <c r="A18" s="379"/>
      <c r="B18" s="580"/>
      <c r="C18" s="1964" t="s">
        <v>3466</v>
      </c>
      <c r="D18" s="401"/>
      <c r="E18" s="1964" t="s">
        <v>3466</v>
      </c>
      <c r="F18" s="401"/>
      <c r="G18" s="1964" t="s">
        <v>3466</v>
      </c>
      <c r="H18" s="399"/>
      <c r="I18" s="1964" t="s">
        <v>3466</v>
      </c>
      <c r="J18" s="399"/>
      <c r="K18" s="564"/>
      <c r="L18" s="2721"/>
      <c r="M18" s="2715"/>
      <c r="N18" s="2715"/>
      <c r="O18" s="2715"/>
      <c r="P18" s="3701"/>
      <c r="Q18" s="3471"/>
      <c r="R18" s="705"/>
      <c r="S18" s="706"/>
      <c r="T18" s="705"/>
      <c r="U18" s="706"/>
      <c r="V18" s="705"/>
      <c r="W18" s="706"/>
      <c r="X18" s="3468"/>
      <c r="Y18" s="3703"/>
      <c r="Z18" s="3469"/>
      <c r="AA18" s="3472">
        <v>1</v>
      </c>
      <c r="AB18" s="3472">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01"/>
      <c r="Q19" s="3471" t="str">
        <f>B19</f>
        <v>公共配套设施</v>
      </c>
      <c r="R19" s="705" t="s">
        <v>14</v>
      </c>
      <c r="S19" s="706">
        <f>F19</f>
        <v>100</v>
      </c>
      <c r="T19" s="705" t="s">
        <v>14</v>
      </c>
      <c r="U19" s="706">
        <f>H19</f>
        <v>100</v>
      </c>
      <c r="V19" s="705" t="s">
        <v>14</v>
      </c>
      <c r="W19" s="706">
        <f>J19</f>
        <v>100</v>
      </c>
      <c r="X19" s="3468"/>
      <c r="Y19" s="3703"/>
      <c r="Z19" s="3469" t="str">
        <f>Q19</f>
        <v>公共配套设施</v>
      </c>
      <c r="AA19" s="3472">
        <f t="shared" si="3"/>
        <v>1</v>
      </c>
      <c r="AB19" s="3472">
        <f t="shared" si="4"/>
        <v>1</v>
      </c>
      <c r="AC19" s="1962">
        <f t="shared" si="5"/>
        <v>1</v>
      </c>
    </row>
    <row r="20" spans="1:29" ht="15">
      <c r="A20" s="379"/>
      <c r="B20" s="580"/>
      <c r="C20" s="1904" t="s">
        <v>3466</v>
      </c>
      <c r="D20" s="399"/>
      <c r="E20" s="1904" t="s">
        <v>3466</v>
      </c>
      <c r="F20" s="399"/>
      <c r="G20" s="1904" t="s">
        <v>3466</v>
      </c>
      <c r="H20" s="399"/>
      <c r="I20" s="1904" t="s">
        <v>3466</v>
      </c>
      <c r="J20" s="399"/>
      <c r="K20" s="564"/>
      <c r="L20" s="2721"/>
      <c r="M20" s="2715"/>
      <c r="N20" s="2715"/>
      <c r="O20" s="2715"/>
      <c r="P20" s="3701"/>
      <c r="Q20" s="3471"/>
      <c r="R20" s="705"/>
      <c r="S20" s="706"/>
      <c r="T20" s="705"/>
      <c r="U20" s="706"/>
      <c r="V20" s="705"/>
      <c r="W20" s="706"/>
      <c r="X20" s="3468"/>
      <c r="Y20" s="3703"/>
      <c r="Z20" s="3469"/>
      <c r="AA20" s="3472">
        <v>1</v>
      </c>
      <c r="AB20" s="3472">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701"/>
      <c r="Q21" s="3471" t="str">
        <f>B21</f>
        <v>基础设施水平</v>
      </c>
      <c r="R21" s="705" t="s">
        <v>14</v>
      </c>
      <c r="S21" s="706">
        <f>F21</f>
        <v>100</v>
      </c>
      <c r="T21" s="705" t="s">
        <v>14</v>
      </c>
      <c r="U21" s="706">
        <f>H21</f>
        <v>100</v>
      </c>
      <c r="V21" s="705" t="s">
        <v>14</v>
      </c>
      <c r="W21" s="706">
        <f>J21</f>
        <v>100</v>
      </c>
      <c r="X21" s="3468"/>
      <c r="Y21" s="3703"/>
      <c r="Z21" s="3469" t="str">
        <f>Q21</f>
        <v>基础设施水平</v>
      </c>
      <c r="AA21" s="3472">
        <f t="shared" ref="AA21" si="8">D21/F21</f>
        <v>1</v>
      </c>
      <c r="AB21" s="3472">
        <f t="shared" ref="AB21" si="9">D21/H21</f>
        <v>1</v>
      </c>
      <c r="AC21" s="1962">
        <f t="shared" ref="AC21" si="10">D21/J21</f>
        <v>1</v>
      </c>
    </row>
    <row r="22" spans="1:29" ht="15">
      <c r="A22" s="379"/>
      <c r="B22" s="581"/>
      <c r="C22" s="1964" t="s">
        <v>3460</v>
      </c>
      <c r="D22" s="399"/>
      <c r="E22" s="1964" t="s">
        <v>3460</v>
      </c>
      <c r="F22" s="399"/>
      <c r="G22" s="1964" t="s">
        <v>3460</v>
      </c>
      <c r="H22" s="399"/>
      <c r="I22" s="1964" t="s">
        <v>3460</v>
      </c>
      <c r="J22" s="399"/>
      <c r="K22" s="1130"/>
      <c r="L22" s="2721"/>
      <c r="M22" s="2715"/>
      <c r="N22" s="2715"/>
      <c r="O22" s="2715"/>
      <c r="P22" s="3701"/>
      <c r="Q22" s="3471"/>
      <c r="R22" s="705"/>
      <c r="S22" s="706"/>
      <c r="T22" s="705"/>
      <c r="U22" s="706"/>
      <c r="V22" s="705"/>
      <c r="W22" s="706"/>
      <c r="X22" s="3468"/>
      <c r="Y22" s="3703"/>
      <c r="Z22" s="3469"/>
      <c r="AA22" s="3472">
        <v>1</v>
      </c>
      <c r="AB22" s="3472">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01"/>
      <c r="Q23" s="3471" t="str">
        <f>B23</f>
        <v>环境质量</v>
      </c>
      <c r="R23" s="705" t="s">
        <v>14</v>
      </c>
      <c r="S23" s="706">
        <f>F23</f>
        <v>100</v>
      </c>
      <c r="T23" s="705" t="s">
        <v>14</v>
      </c>
      <c r="U23" s="706">
        <f>H23</f>
        <v>100</v>
      </c>
      <c r="V23" s="705" t="s">
        <v>14</v>
      </c>
      <c r="W23" s="706">
        <f>J23</f>
        <v>100</v>
      </c>
      <c r="X23" s="3468"/>
      <c r="Y23" s="3703"/>
      <c r="Z23" s="3469" t="str">
        <f>Q23</f>
        <v>环境质量</v>
      </c>
      <c r="AA23" s="3472">
        <f t="shared" si="3"/>
        <v>1</v>
      </c>
      <c r="AB23" s="3472">
        <f t="shared" si="4"/>
        <v>1</v>
      </c>
      <c r="AC23" s="1962">
        <f t="shared" si="5"/>
        <v>1</v>
      </c>
    </row>
    <row r="24" spans="1:29" ht="15">
      <c r="A24" s="379"/>
      <c r="B24" s="581"/>
      <c r="C24" s="1904" t="s">
        <v>3466</v>
      </c>
      <c r="D24" s="399"/>
      <c r="E24" s="1904" t="s">
        <v>3466</v>
      </c>
      <c r="F24" s="399"/>
      <c r="G24" s="1904" t="s">
        <v>3466</v>
      </c>
      <c r="H24" s="399"/>
      <c r="I24" s="1904" t="s">
        <v>3466</v>
      </c>
      <c r="J24" s="399"/>
      <c r="K24" s="564"/>
      <c r="L24" s="2721"/>
      <c r="M24" s="2715"/>
      <c r="N24" s="2715"/>
      <c r="O24" s="2715"/>
      <c r="P24" s="3701"/>
      <c r="Q24" s="3471"/>
      <c r="R24" s="705"/>
      <c r="S24" s="706"/>
      <c r="T24" s="705"/>
      <c r="U24" s="706"/>
      <c r="V24" s="705"/>
      <c r="W24" s="706"/>
      <c r="X24" s="3468"/>
      <c r="Y24" s="3703"/>
      <c r="Z24" s="3469"/>
      <c r="AA24" s="3472">
        <v>1</v>
      </c>
      <c r="AB24" s="3472">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1"/>
      <c r="Q25" s="3471" t="str">
        <f>B25</f>
        <v>毗邻道路的类型与等级</v>
      </c>
      <c r="R25" s="705" t="s">
        <v>14</v>
      </c>
      <c r="S25" s="706">
        <f>F25</f>
        <v>100</v>
      </c>
      <c r="T25" s="705" t="s">
        <v>14</v>
      </c>
      <c r="U25" s="706">
        <f>H25</f>
        <v>100</v>
      </c>
      <c r="V25" s="705" t="s">
        <v>14</v>
      </c>
      <c r="W25" s="706">
        <f>J25</f>
        <v>100</v>
      </c>
      <c r="X25" s="3468"/>
      <c r="Y25" s="3703"/>
      <c r="Z25" s="3469" t="str">
        <f>Q25</f>
        <v>毗邻道路的类型与等级</v>
      </c>
      <c r="AA25" s="3472">
        <f t="shared" si="3"/>
        <v>1</v>
      </c>
      <c r="AB25" s="3472">
        <f t="shared" si="4"/>
        <v>1</v>
      </c>
      <c r="AC25" s="1962">
        <f t="shared" si="5"/>
        <v>1</v>
      </c>
    </row>
    <row r="26" spans="1:29" ht="15">
      <c r="A26" s="358"/>
      <c r="B26" s="580"/>
      <c r="C26" s="582"/>
      <c r="D26" s="386"/>
      <c r="E26" s="565"/>
      <c r="F26" s="386"/>
      <c r="G26" s="582"/>
      <c r="H26" s="386"/>
      <c r="I26" s="565"/>
      <c r="J26" s="386"/>
      <c r="K26" s="564"/>
      <c r="L26" s="2721"/>
      <c r="M26" s="2715"/>
      <c r="N26" s="2715"/>
      <c r="O26" s="2715"/>
      <c r="P26" s="3701"/>
      <c r="Q26" s="3471"/>
      <c r="R26" s="705"/>
      <c r="S26" s="706"/>
      <c r="T26" s="705"/>
      <c r="U26" s="706"/>
      <c r="V26" s="705"/>
      <c r="W26" s="706"/>
      <c r="X26" s="3468"/>
      <c r="Y26" s="3703"/>
      <c r="Z26" s="3469"/>
      <c r="AA26" s="3472">
        <v>1</v>
      </c>
      <c r="AB26" s="3472">
        <v>1</v>
      </c>
      <c r="AC26" s="1962">
        <v>1</v>
      </c>
    </row>
    <row r="27" spans="1:29" ht="15">
      <c r="A27" s="379"/>
      <c r="B27" s="580" t="s">
        <v>1783</v>
      </c>
      <c r="C27" s="582" t="s">
        <v>3444</v>
      </c>
      <c r="D27" s="386">
        <v>100</v>
      </c>
      <c r="E27" s="565" t="s">
        <v>3441</v>
      </c>
      <c r="F27" s="386">
        <f>SUMIF(89:89,E27,90:90)-SUMIF(89:89,C27,90:90)+100</f>
        <v>102</v>
      </c>
      <c r="G27" s="582" t="s">
        <v>3441</v>
      </c>
      <c r="H27" s="386">
        <f>SUMIF(89:89,G27,90:90)-SUMIF(89:89,C27,90:90)+100</f>
        <v>102</v>
      </c>
      <c r="I27" s="565" t="s">
        <v>3444</v>
      </c>
      <c r="J27" s="386">
        <f>SUMIF(89:89,I27,90:90)-SUMIF(89:89,C27,90:90)+100</f>
        <v>100</v>
      </c>
      <c r="K27" s="561">
        <v>1</v>
      </c>
      <c r="L27" s="2721"/>
      <c r="M27" s="2715"/>
      <c r="N27" s="2715"/>
      <c r="O27" s="2715"/>
      <c r="P27" s="3701"/>
      <c r="Q27" s="3471" t="str">
        <f t="shared" ref="Q27:Q47" si="11">B27</f>
        <v>楼层</v>
      </c>
      <c r="R27" s="705" t="s">
        <v>14</v>
      </c>
      <c r="S27" s="706">
        <f>F27</f>
        <v>102</v>
      </c>
      <c r="T27" s="705" t="s">
        <v>14</v>
      </c>
      <c r="U27" s="706">
        <f>H27</f>
        <v>102</v>
      </c>
      <c r="V27" s="705" t="s">
        <v>14</v>
      </c>
      <c r="W27" s="706">
        <f>J27</f>
        <v>100</v>
      </c>
      <c r="X27" s="3468"/>
      <c r="Y27" s="3703"/>
      <c r="Z27" s="3469" t="str">
        <f>Q27</f>
        <v>楼层</v>
      </c>
      <c r="AA27" s="3472">
        <f t="shared" si="3"/>
        <v>0.98039215686274506</v>
      </c>
      <c r="AB27" s="3472">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1"/>
      <c r="Q28" s="3467" t="str">
        <f t="shared" si="11"/>
        <v>朝向</v>
      </c>
      <c r="R28" s="701" t="s">
        <v>14</v>
      </c>
      <c r="S28" s="702">
        <f>F28</f>
        <v>100</v>
      </c>
      <c r="T28" s="701" t="s">
        <v>14</v>
      </c>
      <c r="U28" s="702">
        <f>H28</f>
        <v>100</v>
      </c>
      <c r="V28" s="701" t="s">
        <v>14</v>
      </c>
      <c r="W28" s="702">
        <f>J28</f>
        <v>100</v>
      </c>
      <c r="X28" s="703"/>
      <c r="Y28" s="3703"/>
      <c r="Z28" s="3466" t="str">
        <f>Q28</f>
        <v>朝向</v>
      </c>
      <c r="AA28" s="3472">
        <f>D28/F28</f>
        <v>1</v>
      </c>
      <c r="AB28" s="3472">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1"/>
      <c r="Q29" s="3471">
        <f t="shared" si="11"/>
        <v>111</v>
      </c>
      <c r="R29" s="705" t="s">
        <v>14</v>
      </c>
      <c r="S29" s="706">
        <f t="shared" ref="S29:S47" si="12">F29</f>
        <v>100</v>
      </c>
      <c r="T29" s="705" t="s">
        <v>14</v>
      </c>
      <c r="U29" s="706">
        <f t="shared" ref="U29:U47" si="13">H29</f>
        <v>100</v>
      </c>
      <c r="V29" s="705" t="s">
        <v>14</v>
      </c>
      <c r="W29" s="706">
        <f t="shared" ref="W29:W47" si="14">J29</f>
        <v>100</v>
      </c>
      <c r="X29" s="3468"/>
      <c r="Y29" s="3703"/>
      <c r="Z29" s="3469">
        <f t="shared" ref="Z29:Z47" si="15">Q29</f>
        <v>111</v>
      </c>
      <c r="AA29" s="3472">
        <f t="shared" si="3"/>
        <v>1</v>
      </c>
      <c r="AB29" s="3472">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1"/>
      <c r="Q30" s="3471">
        <f t="shared" si="11"/>
        <v>111</v>
      </c>
      <c r="R30" s="705" t="s">
        <v>14</v>
      </c>
      <c r="S30" s="706">
        <f t="shared" si="12"/>
        <v>100</v>
      </c>
      <c r="T30" s="705" t="s">
        <v>14</v>
      </c>
      <c r="U30" s="706">
        <f t="shared" si="13"/>
        <v>100</v>
      </c>
      <c r="V30" s="705" t="s">
        <v>14</v>
      </c>
      <c r="W30" s="706">
        <f t="shared" si="14"/>
        <v>100</v>
      </c>
      <c r="X30" s="3468"/>
      <c r="Y30" s="3703"/>
      <c r="Z30" s="3469">
        <f t="shared" si="15"/>
        <v>111</v>
      </c>
      <c r="AA30" s="3472">
        <f t="shared" si="3"/>
        <v>1</v>
      </c>
      <c r="AB30" s="3472">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1"/>
      <c r="Q31" s="3471">
        <f t="shared" si="11"/>
        <v>111</v>
      </c>
      <c r="R31" s="705" t="s">
        <v>14</v>
      </c>
      <c r="S31" s="706">
        <f t="shared" si="12"/>
        <v>100</v>
      </c>
      <c r="T31" s="705" t="s">
        <v>14</v>
      </c>
      <c r="U31" s="706">
        <f t="shared" si="13"/>
        <v>100</v>
      </c>
      <c r="V31" s="705" t="s">
        <v>14</v>
      </c>
      <c r="W31" s="706">
        <f t="shared" si="14"/>
        <v>100</v>
      </c>
      <c r="X31" s="3468"/>
      <c r="Y31" s="3703"/>
      <c r="Z31" s="3469">
        <f t="shared" si="15"/>
        <v>111</v>
      </c>
      <c r="AA31" s="3472">
        <f t="shared" si="3"/>
        <v>1</v>
      </c>
      <c r="AB31" s="3472">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1"/>
      <c r="Q32" s="3471">
        <f t="shared" si="11"/>
        <v>111</v>
      </c>
      <c r="R32" s="705" t="s">
        <v>14</v>
      </c>
      <c r="S32" s="706">
        <f t="shared" si="12"/>
        <v>100</v>
      </c>
      <c r="T32" s="705" t="s">
        <v>14</v>
      </c>
      <c r="U32" s="706">
        <f t="shared" si="13"/>
        <v>100</v>
      </c>
      <c r="V32" s="705" t="s">
        <v>14</v>
      </c>
      <c r="W32" s="706">
        <f t="shared" si="14"/>
        <v>100</v>
      </c>
      <c r="X32" s="3468"/>
      <c r="Y32" s="3703"/>
      <c r="Z32" s="3469">
        <f t="shared" si="15"/>
        <v>111</v>
      </c>
      <c r="AA32" s="3472">
        <f t="shared" si="3"/>
        <v>1</v>
      </c>
      <c r="AB32" s="3472">
        <f t="shared" si="4"/>
        <v>1</v>
      </c>
      <c r="AC32" s="1962">
        <f t="shared" si="5"/>
        <v>1</v>
      </c>
    </row>
    <row r="33" spans="1:29" ht="15">
      <c r="A33" s="391" t="s">
        <v>1694</v>
      </c>
      <c r="B33" s="63" t="s">
        <v>1817</v>
      </c>
      <c r="C33" s="1967" t="s">
        <v>3446</v>
      </c>
      <c r="D33" s="418">
        <v>100</v>
      </c>
      <c r="E33" s="1967" t="s">
        <v>3446</v>
      </c>
      <c r="F33" s="412">
        <f>SUMIF(101:101,E33,102:102)-SUMIF(101:101,C33,102:102)+100</f>
        <v>100</v>
      </c>
      <c r="G33" s="1967" t="s">
        <v>3446</v>
      </c>
      <c r="H33" s="386">
        <f>SUMIF(101:101,G33,102:102)-SUMIF(101:101,C33,102:102)+100</f>
        <v>100</v>
      </c>
      <c r="I33" s="1967" t="s">
        <v>3446</v>
      </c>
      <c r="J33" s="418">
        <f>SUMIF(101:101,I33,102:102)-SUMIF(101:101,C33,102:102)+100</f>
        <v>100</v>
      </c>
      <c r="K33" s="561">
        <v>2</v>
      </c>
      <c r="L33" s="2721"/>
      <c r="M33" s="2715"/>
      <c r="N33" s="2715"/>
      <c r="O33" s="2715"/>
      <c r="P33" s="3704" t="s">
        <v>1696</v>
      </c>
      <c r="Q33" s="3471" t="str">
        <f t="shared" si="11"/>
        <v>建筑类型</v>
      </c>
      <c r="R33" s="705" t="s">
        <v>14</v>
      </c>
      <c r="S33" s="706">
        <f t="shared" si="12"/>
        <v>100</v>
      </c>
      <c r="T33" s="705" t="s">
        <v>14</v>
      </c>
      <c r="U33" s="706">
        <f t="shared" si="13"/>
        <v>100</v>
      </c>
      <c r="V33" s="705" t="s">
        <v>14</v>
      </c>
      <c r="W33" s="706">
        <f t="shared" si="14"/>
        <v>100</v>
      </c>
      <c r="X33" s="3468"/>
      <c r="Y33" s="3707" t="s">
        <v>1696</v>
      </c>
      <c r="Z33" s="3469" t="str">
        <f t="shared" si="15"/>
        <v>建筑类型</v>
      </c>
      <c r="AA33" s="3472">
        <f t="shared" si="3"/>
        <v>1</v>
      </c>
      <c r="AB33" s="3472">
        <f t="shared" si="4"/>
        <v>1</v>
      </c>
      <c r="AC33" s="1962">
        <f t="shared" si="5"/>
        <v>1</v>
      </c>
    </row>
    <row r="34" spans="1:29" s="422" customFormat="1" ht="15">
      <c r="A34" s="419"/>
      <c r="B34" s="375" t="s">
        <v>1697</v>
      </c>
      <c r="C34" s="420">
        <f>'数据-汇总表'!E3</f>
        <v>4312.4800000000005</v>
      </c>
      <c r="D34" s="127">
        <v>100</v>
      </c>
      <c r="E34" s="420">
        <v>184.55</v>
      </c>
      <c r="F34" s="376">
        <f>LOOKUP(E34,104:104,105:105)-LOOKUP(C34,104:104,105:105)+100</f>
        <v>102</v>
      </c>
      <c r="G34" s="420">
        <v>76</v>
      </c>
      <c r="H34" s="127">
        <f>LOOKUP(G34,104:104,105:105)-LOOKUP(C34,104:104,105:105)+100</f>
        <v>102</v>
      </c>
      <c r="I34" s="420">
        <v>67.959999999999994</v>
      </c>
      <c r="J34" s="127">
        <f>LOOKUP(I34,104:104,105:105)-LOOKUP(C34,104:104,105:105)+100</f>
        <v>102</v>
      </c>
      <c r="K34" s="562"/>
      <c r="L34" s="2720"/>
      <c r="M34" s="2722"/>
      <c r="N34" s="2722"/>
      <c r="O34" s="2722"/>
      <c r="P34" s="3705"/>
      <c r="Q34" s="707" t="str">
        <f t="shared" si="11"/>
        <v>项目建筑规模</v>
      </c>
      <c r="R34" s="708" t="s">
        <v>14</v>
      </c>
      <c r="S34" s="709">
        <f t="shared" si="12"/>
        <v>102</v>
      </c>
      <c r="T34" s="708" t="s">
        <v>14</v>
      </c>
      <c r="U34" s="709">
        <f t="shared" si="13"/>
        <v>102</v>
      </c>
      <c r="V34" s="708" t="s">
        <v>14</v>
      </c>
      <c r="W34" s="709">
        <f t="shared" si="14"/>
        <v>102</v>
      </c>
      <c r="X34" s="710"/>
      <c r="Y34" s="3707"/>
      <c r="Z34" s="711" t="str">
        <f t="shared" si="15"/>
        <v>项目建筑规模</v>
      </c>
      <c r="AA34" s="3472">
        <f t="shared" si="3"/>
        <v>0.98039215686274506</v>
      </c>
      <c r="AB34" s="3472">
        <f t="shared" si="4"/>
        <v>0.98039215686274506</v>
      </c>
      <c r="AC34" s="1962">
        <f t="shared" si="5"/>
        <v>0.98039215686274506</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1"/>
      <c r="M35" s="2715"/>
      <c r="N35" s="2715"/>
      <c r="O35" s="2715"/>
      <c r="P35" s="3705"/>
      <c r="Q35" s="3471" t="str">
        <f t="shared" si="11"/>
        <v>建筑结构</v>
      </c>
      <c r="R35" s="705" t="s">
        <v>14</v>
      </c>
      <c r="S35" s="706">
        <f t="shared" si="12"/>
        <v>100</v>
      </c>
      <c r="T35" s="705" t="s">
        <v>14</v>
      </c>
      <c r="U35" s="706">
        <f t="shared" si="13"/>
        <v>100</v>
      </c>
      <c r="V35" s="705" t="s">
        <v>14</v>
      </c>
      <c r="W35" s="706">
        <f t="shared" si="14"/>
        <v>100</v>
      </c>
      <c r="X35" s="3468"/>
      <c r="Y35" s="3707"/>
      <c r="Z35" s="3469" t="str">
        <f t="shared" si="15"/>
        <v>建筑结构</v>
      </c>
      <c r="AA35" s="3472">
        <f t="shared" si="3"/>
        <v>1</v>
      </c>
      <c r="AB35" s="3472">
        <f t="shared" si="4"/>
        <v>1</v>
      </c>
      <c r="AC35" s="1962">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1"/>
      <c r="M36" s="2715"/>
      <c r="N36" s="2715"/>
      <c r="O36" s="2715"/>
      <c r="P36" s="3705"/>
      <c r="Q36" s="3471" t="str">
        <f t="shared" si="11"/>
        <v>公共部分装修</v>
      </c>
      <c r="R36" s="705" t="s">
        <v>14</v>
      </c>
      <c r="S36" s="706">
        <f t="shared" si="12"/>
        <v>100</v>
      </c>
      <c r="T36" s="705" t="s">
        <v>14</v>
      </c>
      <c r="U36" s="706">
        <f t="shared" si="13"/>
        <v>100</v>
      </c>
      <c r="V36" s="705" t="s">
        <v>14</v>
      </c>
      <c r="W36" s="706">
        <f t="shared" si="14"/>
        <v>100</v>
      </c>
      <c r="X36" s="3468"/>
      <c r="Y36" s="3707"/>
      <c r="Z36" s="3469" t="str">
        <f t="shared" si="15"/>
        <v>公共部分装修</v>
      </c>
      <c r="AA36" s="3472">
        <f t="shared" si="3"/>
        <v>1</v>
      </c>
      <c r="AB36" s="3472">
        <f t="shared" si="4"/>
        <v>1</v>
      </c>
      <c r="AC36" s="1962">
        <f t="shared" si="5"/>
        <v>1</v>
      </c>
    </row>
    <row r="37" spans="1:29" ht="15">
      <c r="A37" s="423"/>
      <c r="B37" s="375" t="s">
        <v>1786</v>
      </c>
      <c r="C37" s="425">
        <f>'数据-取费表'!N6</f>
        <v>0.72</v>
      </c>
      <c r="D37" s="386">
        <v>100</v>
      </c>
      <c r="E37" s="425">
        <v>0.85</v>
      </c>
      <c r="F37" s="412">
        <f>LOOKUP(E37,111:111,112:112)-LOOKUP(C37,111:111,112:112)+100</f>
        <v>101</v>
      </c>
      <c r="G37" s="425">
        <v>0.85</v>
      </c>
      <c r="H37" s="412">
        <f>LOOKUP(G37,111:111,112:112)-LOOKUP(C37,111:111,112:112)+100</f>
        <v>101</v>
      </c>
      <c r="I37" s="425">
        <v>0.85</v>
      </c>
      <c r="J37" s="386">
        <f>LOOKUP(I37,111:111,112:112)-LOOKUP(C37,111:111,112:112)+100</f>
        <v>101</v>
      </c>
      <c r="K37" s="561">
        <v>1</v>
      </c>
      <c r="L37" s="2721"/>
      <c r="M37" s="2715"/>
      <c r="N37" s="2715"/>
      <c r="O37" s="2715"/>
      <c r="P37" s="3705"/>
      <c r="Q37" s="3471" t="str">
        <f t="shared" si="11"/>
        <v>成新度</v>
      </c>
      <c r="R37" s="705" t="s">
        <v>14</v>
      </c>
      <c r="S37" s="706">
        <f t="shared" si="12"/>
        <v>101</v>
      </c>
      <c r="T37" s="705" t="s">
        <v>14</v>
      </c>
      <c r="U37" s="706">
        <f t="shared" si="13"/>
        <v>101</v>
      </c>
      <c r="V37" s="705" t="s">
        <v>14</v>
      </c>
      <c r="W37" s="706">
        <f t="shared" si="14"/>
        <v>101</v>
      </c>
      <c r="X37" s="3468"/>
      <c r="Y37" s="3707"/>
      <c r="Z37" s="3469" t="str">
        <f t="shared" si="15"/>
        <v>成新度</v>
      </c>
      <c r="AA37" s="3472">
        <f t="shared" si="3"/>
        <v>0.99009900990099009</v>
      </c>
      <c r="AB37" s="3472">
        <f t="shared" si="4"/>
        <v>0.99009900990099009</v>
      </c>
      <c r="AC37" s="1962">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5"/>
      <c r="Q38" s="3467" t="str">
        <f t="shared" si="11"/>
        <v>写字楼等级</v>
      </c>
      <c r="R38" s="701" t="s">
        <v>14</v>
      </c>
      <c r="S38" s="702">
        <f t="shared" si="12"/>
        <v>100</v>
      </c>
      <c r="T38" s="701" t="s">
        <v>14</v>
      </c>
      <c r="U38" s="702">
        <f t="shared" si="13"/>
        <v>100</v>
      </c>
      <c r="V38" s="701" t="s">
        <v>14</v>
      </c>
      <c r="W38" s="702">
        <f t="shared" si="14"/>
        <v>100</v>
      </c>
      <c r="X38" s="703"/>
      <c r="Y38" s="3707"/>
      <c r="Z38" s="3466" t="str">
        <f t="shared" si="15"/>
        <v>写字楼等级</v>
      </c>
      <c r="AA38" s="704">
        <f t="shared" si="3"/>
        <v>1</v>
      </c>
      <c r="AB38" s="704">
        <f t="shared" si="4"/>
        <v>1</v>
      </c>
      <c r="AC38" s="1959">
        <f t="shared" si="5"/>
        <v>1</v>
      </c>
    </row>
    <row r="39" spans="1:29" ht="15">
      <c r="A39" s="423"/>
      <c r="B39" s="375" t="s">
        <v>1819</v>
      </c>
      <c r="C39" s="411" t="s">
        <v>3457</v>
      </c>
      <c r="D39" s="386">
        <v>100</v>
      </c>
      <c r="E39" s="411" t="s">
        <v>3457</v>
      </c>
      <c r="F39" s="412">
        <f>SUMIF(115:115,E39,116:116)-SUMIF(115:115,C39,116:116)+100</f>
        <v>100</v>
      </c>
      <c r="G39" s="411" t="s">
        <v>3457</v>
      </c>
      <c r="H39" s="386">
        <f>SUMIF(115:115,G39,116:116)-SUMIF(115:115,C39,116:116)+100</f>
        <v>100</v>
      </c>
      <c r="I39" s="411" t="s">
        <v>3457</v>
      </c>
      <c r="J39" s="386">
        <f>SUMIF(115:115,I39,116:116)-SUMIF(115:115,C39,116:116)+100</f>
        <v>100</v>
      </c>
      <c r="K39" s="561">
        <v>1</v>
      </c>
      <c r="L39" s="2721"/>
      <c r="M39" s="2715"/>
      <c r="N39" s="2715"/>
      <c r="O39" s="2715"/>
      <c r="P39" s="3705" t="s">
        <v>1696</v>
      </c>
      <c r="Q39" s="3471" t="str">
        <f t="shared" si="11"/>
        <v>物业管理</v>
      </c>
      <c r="R39" s="705" t="s">
        <v>14</v>
      </c>
      <c r="S39" s="706">
        <f t="shared" si="12"/>
        <v>100</v>
      </c>
      <c r="T39" s="705" t="s">
        <v>14</v>
      </c>
      <c r="U39" s="706">
        <f t="shared" si="13"/>
        <v>100</v>
      </c>
      <c r="V39" s="705" t="s">
        <v>14</v>
      </c>
      <c r="W39" s="706">
        <f t="shared" si="14"/>
        <v>100</v>
      </c>
      <c r="X39" s="3468"/>
      <c r="Y39" s="3707" t="s">
        <v>1696</v>
      </c>
      <c r="Z39" s="3469" t="str">
        <f t="shared" si="15"/>
        <v>物业管理</v>
      </c>
      <c r="AA39" s="3472">
        <f t="shared" si="3"/>
        <v>1</v>
      </c>
      <c r="AB39" s="3472">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5"/>
      <c r="Q40" s="3471" t="str">
        <f t="shared" si="11"/>
        <v>市政基础设施</v>
      </c>
      <c r="R40" s="705" t="s">
        <v>14</v>
      </c>
      <c r="S40" s="706">
        <f t="shared" si="12"/>
        <v>100</v>
      </c>
      <c r="T40" s="705" t="s">
        <v>14</v>
      </c>
      <c r="U40" s="706">
        <f t="shared" si="13"/>
        <v>100</v>
      </c>
      <c r="V40" s="705" t="s">
        <v>14</v>
      </c>
      <c r="W40" s="706">
        <f t="shared" si="14"/>
        <v>100</v>
      </c>
      <c r="X40" s="3468"/>
      <c r="Y40" s="3707"/>
      <c r="Z40" s="3469" t="str">
        <f t="shared" si="15"/>
        <v>市政基础设施</v>
      </c>
      <c r="AA40" s="3472">
        <f t="shared" si="3"/>
        <v>1</v>
      </c>
      <c r="AB40" s="3472">
        <f t="shared" si="4"/>
        <v>1</v>
      </c>
      <c r="AC40" s="1962">
        <f t="shared" si="5"/>
        <v>1</v>
      </c>
    </row>
    <row r="41" spans="1:29" ht="15">
      <c r="A41" s="423"/>
      <c r="B41" s="375" t="s">
        <v>1789</v>
      </c>
      <c r="C41" s="565" t="s">
        <v>3464</v>
      </c>
      <c r="D41" s="386">
        <v>100</v>
      </c>
      <c r="E41" s="565" t="s">
        <v>3464</v>
      </c>
      <c r="F41" s="412">
        <f>SUMIF(119:119,E41,120:120)-SUMIF(119:119,C41,120:120)+100</f>
        <v>100</v>
      </c>
      <c r="G41" s="565" t="s">
        <v>3464</v>
      </c>
      <c r="H41" s="386">
        <f>SUMIF(119:119,G41,120:120)-SUMIF(119:119,C41,120:120)+100</f>
        <v>100</v>
      </c>
      <c r="I41" s="565" t="s">
        <v>3464</v>
      </c>
      <c r="J41" s="386">
        <f>SUMIF(119:119,I41,120:120)-SUMIF(119:119,C41,120:120)+100</f>
        <v>100</v>
      </c>
      <c r="K41" s="561">
        <v>2</v>
      </c>
      <c r="L41" s="2721"/>
      <c r="M41" s="2715"/>
      <c r="N41" s="2715"/>
      <c r="O41" s="2715"/>
      <c r="P41" s="3705"/>
      <c r="Q41" s="3471" t="str">
        <f t="shared" si="11"/>
        <v>层高</v>
      </c>
      <c r="R41" s="705" t="s">
        <v>14</v>
      </c>
      <c r="S41" s="706">
        <f t="shared" si="12"/>
        <v>100</v>
      </c>
      <c r="T41" s="705" t="s">
        <v>14</v>
      </c>
      <c r="U41" s="706">
        <f t="shared" si="13"/>
        <v>100</v>
      </c>
      <c r="V41" s="705" t="s">
        <v>14</v>
      </c>
      <c r="W41" s="706">
        <f t="shared" si="14"/>
        <v>100</v>
      </c>
      <c r="X41" s="3468"/>
      <c r="Y41" s="3707"/>
      <c r="Z41" s="3469" t="str">
        <f t="shared" si="15"/>
        <v>层高</v>
      </c>
      <c r="AA41" s="3472">
        <f t="shared" si="3"/>
        <v>1</v>
      </c>
      <c r="AB41" s="3472">
        <f t="shared" si="4"/>
        <v>1</v>
      </c>
      <c r="AC41" s="1962">
        <f t="shared" si="5"/>
        <v>1</v>
      </c>
    </row>
    <row r="42" spans="1:29" s="422" customFormat="1" ht="15" hidden="1">
      <c r="A42" s="419"/>
      <c r="B42" s="347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72">
        <f t="shared" si="3"/>
        <v>1</v>
      </c>
      <c r="AB42" s="3472">
        <f t="shared" si="4"/>
        <v>1</v>
      </c>
      <c r="AC42" s="1962">
        <f t="shared" si="5"/>
        <v>1</v>
      </c>
    </row>
    <row r="43" spans="1:29" ht="15">
      <c r="A43" s="423"/>
      <c r="B43" s="375" t="s">
        <v>1792</v>
      </c>
      <c r="C43" s="411" t="s">
        <v>3453</v>
      </c>
      <c r="D43" s="386">
        <v>100</v>
      </c>
      <c r="E43" s="411" t="s">
        <v>3449</v>
      </c>
      <c r="F43" s="412">
        <f>SUMIF(123:123,E43,124:124)-SUMIF(123:123,C43,124:124)+100</f>
        <v>102</v>
      </c>
      <c r="G43" s="411" t="s">
        <v>3451</v>
      </c>
      <c r="H43" s="386">
        <f>SUMIF(123:123,G43,124:124)-SUMIF(123:123,C43,124:124)+100</f>
        <v>101</v>
      </c>
      <c r="I43" s="411" t="s">
        <v>3449</v>
      </c>
      <c r="J43" s="386">
        <f>SUMIF(123:123,I43,124:124)-SUMIF(123:123,C43,124:124)+100</f>
        <v>102</v>
      </c>
      <c r="K43" s="561">
        <v>1</v>
      </c>
      <c r="L43" s="2721"/>
      <c r="M43" s="2715"/>
      <c r="N43" s="2715"/>
      <c r="O43" s="2715"/>
      <c r="P43" s="3705"/>
      <c r="Q43" s="3471" t="str">
        <f t="shared" si="11"/>
        <v>内部装修</v>
      </c>
      <c r="R43" s="705" t="s">
        <v>14</v>
      </c>
      <c r="S43" s="706">
        <f t="shared" si="12"/>
        <v>102</v>
      </c>
      <c r="T43" s="705" t="s">
        <v>14</v>
      </c>
      <c r="U43" s="706">
        <f t="shared" si="13"/>
        <v>101</v>
      </c>
      <c r="V43" s="705" t="s">
        <v>14</v>
      </c>
      <c r="W43" s="706">
        <f t="shared" si="14"/>
        <v>102</v>
      </c>
      <c r="X43" s="3468"/>
      <c r="Y43" s="3707"/>
      <c r="Z43" s="3469" t="str">
        <f t="shared" si="15"/>
        <v>内部装修</v>
      </c>
      <c r="AA43" s="3472">
        <f t="shared" si="3"/>
        <v>0.98039215686274506</v>
      </c>
      <c r="AB43" s="3472">
        <f t="shared" si="4"/>
        <v>0.99009900990099009</v>
      </c>
      <c r="AC43" s="1962">
        <f t="shared" si="5"/>
        <v>0.98039215686274506</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05"/>
      <c r="Q44" s="3471" t="str">
        <f t="shared" si="11"/>
        <v>内部装修维护情况</v>
      </c>
      <c r="R44" s="705" t="s">
        <v>14</v>
      </c>
      <c r="S44" s="706">
        <f t="shared" si="12"/>
        <v>100</v>
      </c>
      <c r="T44" s="705" t="s">
        <v>14</v>
      </c>
      <c r="U44" s="706">
        <f t="shared" si="13"/>
        <v>100</v>
      </c>
      <c r="V44" s="705" t="s">
        <v>14</v>
      </c>
      <c r="W44" s="706">
        <f t="shared" si="14"/>
        <v>100</v>
      </c>
      <c r="X44" s="3468"/>
      <c r="Y44" s="3707"/>
      <c r="Z44" s="3469" t="str">
        <f t="shared" si="15"/>
        <v>内部装修维护情况</v>
      </c>
      <c r="AA44" s="3472">
        <f t="shared" si="3"/>
        <v>1</v>
      </c>
      <c r="AB44" s="3472">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3467">
        <f t="shared" si="11"/>
        <v>111</v>
      </c>
      <c r="R45" s="701" t="s">
        <v>14</v>
      </c>
      <c r="S45" s="702">
        <f t="shared" si="12"/>
        <v>100</v>
      </c>
      <c r="T45" s="701" t="s">
        <v>14</v>
      </c>
      <c r="U45" s="702">
        <f t="shared" si="13"/>
        <v>100</v>
      </c>
      <c r="V45" s="701" t="s">
        <v>14</v>
      </c>
      <c r="W45" s="702">
        <f t="shared" si="14"/>
        <v>100</v>
      </c>
      <c r="X45" s="703"/>
      <c r="Y45" s="3707"/>
      <c r="Z45" s="3466">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3471">
        <f t="shared" si="11"/>
        <v>111</v>
      </c>
      <c r="R46" s="705" t="s">
        <v>14</v>
      </c>
      <c r="S46" s="706">
        <f t="shared" si="12"/>
        <v>100</v>
      </c>
      <c r="T46" s="705" t="s">
        <v>14</v>
      </c>
      <c r="U46" s="706">
        <f t="shared" si="13"/>
        <v>100</v>
      </c>
      <c r="V46" s="705" t="s">
        <v>14</v>
      </c>
      <c r="W46" s="706">
        <f t="shared" si="14"/>
        <v>100</v>
      </c>
      <c r="X46" s="3468"/>
      <c r="Y46" s="3707"/>
      <c r="Z46" s="3469">
        <f t="shared" si="15"/>
        <v>111</v>
      </c>
      <c r="AA46" s="3472">
        <f t="shared" si="3"/>
        <v>1</v>
      </c>
      <c r="AB46" s="3472">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3471">
        <f t="shared" si="11"/>
        <v>111</v>
      </c>
      <c r="R47" s="705" t="s">
        <v>14</v>
      </c>
      <c r="S47" s="706">
        <f t="shared" si="12"/>
        <v>100</v>
      </c>
      <c r="T47" s="705" t="s">
        <v>14</v>
      </c>
      <c r="U47" s="706">
        <f t="shared" si="13"/>
        <v>100</v>
      </c>
      <c r="V47" s="705" t="s">
        <v>14</v>
      </c>
      <c r="W47" s="706">
        <f t="shared" si="14"/>
        <v>100</v>
      </c>
      <c r="X47" s="3468"/>
      <c r="Y47" s="3708"/>
      <c r="Z47" s="3469">
        <f t="shared" si="15"/>
        <v>111</v>
      </c>
      <c r="AA47" s="3472">
        <f t="shared" si="3"/>
        <v>1</v>
      </c>
      <c r="AB47" s="3472">
        <f t="shared" si="4"/>
        <v>1</v>
      </c>
      <c r="AC47" s="1962">
        <f t="shared" si="5"/>
        <v>1</v>
      </c>
    </row>
    <row r="48" spans="1:29" ht="15">
      <c r="A48" s="430" t="s">
        <v>1708</v>
      </c>
      <c r="B48" s="431"/>
      <c r="C48" s="1154" t="s">
        <v>0</v>
      </c>
      <c r="D48" s="1155"/>
      <c r="E48" s="1156">
        <v>3</v>
      </c>
      <c r="F48" s="1157"/>
      <c r="G48" s="1158">
        <v>2.8</v>
      </c>
      <c r="H48" s="1159"/>
      <c r="I48" s="1156">
        <v>3.1</v>
      </c>
      <c r="J48" s="436"/>
      <c r="K48" s="714"/>
      <c r="L48" s="2723"/>
      <c r="M48" s="2715"/>
      <c r="N48" s="2715"/>
      <c r="O48" s="2715"/>
      <c r="P48" s="3694" t="str">
        <f>A48</f>
        <v>成交单价（元/平方米）</v>
      </c>
      <c r="Q48" s="3695"/>
      <c r="R48" s="3696">
        <f>E48</f>
        <v>3</v>
      </c>
      <c r="S48" s="3696"/>
      <c r="T48" s="3696">
        <f>G48</f>
        <v>2.8</v>
      </c>
      <c r="U48" s="3696"/>
      <c r="V48" s="3696">
        <f>I48</f>
        <v>3.1</v>
      </c>
      <c r="W48" s="3696"/>
      <c r="X48" s="397"/>
      <c r="Y48" s="712"/>
      <c r="Z48" s="397"/>
      <c r="AA48" s="397"/>
      <c r="AB48" s="397"/>
      <c r="AC48" s="578"/>
    </row>
    <row r="49" spans="1:29" ht="15.75" thickBot="1">
      <c r="A49" s="437" t="s">
        <v>1709</v>
      </c>
      <c r="B49" s="438"/>
      <c r="C49" s="1160">
        <f>R50</f>
        <v>2.7</v>
      </c>
      <c r="D49" s="2317" t="s">
        <v>2138</v>
      </c>
      <c r="E49" s="1161">
        <f>R49</f>
        <v>2.7</v>
      </c>
      <c r="F49" s="2318"/>
      <c r="G49" s="1160">
        <f>T49</f>
        <v>2.6</v>
      </c>
      <c r="H49" s="2318"/>
      <c r="I49" s="1161">
        <f>V49</f>
        <v>2.9</v>
      </c>
      <c r="J49" s="2318"/>
      <c r="K49" s="2320">
        <f>F49+H49+J49</f>
        <v>0</v>
      </c>
      <c r="L49" s="2723"/>
      <c r="M49" s="2715"/>
      <c r="N49" s="2715"/>
      <c r="O49" s="2715"/>
      <c r="P49" s="3694" t="str">
        <f>A49</f>
        <v>比较价值（元/平方米）</v>
      </c>
      <c r="Q49" s="3695"/>
      <c r="R49" s="3696">
        <f>IF(F1="售价",ROUND(PRODUCT(R48,AA7:AA47),0),ROUND(PRODUCT(R48,AA7:AA47),1))</f>
        <v>2.7</v>
      </c>
      <c r="S49" s="3696"/>
      <c r="T49" s="3696">
        <f>IF(F1="售价",ROUND(PRODUCT(T48,AB7:AB47),0),ROUND(PRODUCT(T48,AB7:AB47),1))</f>
        <v>2.6</v>
      </c>
      <c r="U49" s="3696"/>
      <c r="V49" s="3696">
        <f>IF(F1="售价",ROUND(PRODUCT(V48,AC7:AC47),0),ROUND(PRODUCT(V48,AC7:AC47),1))</f>
        <v>2.9</v>
      </c>
      <c r="W49" s="3696"/>
      <c r="X49" s="397"/>
      <c r="Y49" s="397"/>
      <c r="Z49" s="397"/>
      <c r="AA49" s="397"/>
      <c r="AB49" s="397"/>
      <c r="AC49" s="578"/>
    </row>
    <row r="50" spans="1:29" ht="15.75" thickBot="1">
      <c r="A50" s="441" t="s">
        <v>1710</v>
      </c>
      <c r="B50" s="442"/>
      <c r="C50" s="1163">
        <f>R50</f>
        <v>2.7</v>
      </c>
      <c r="D50" s="1163"/>
      <c r="E50" s="1163"/>
      <c r="F50" s="1163"/>
      <c r="G50" s="1163"/>
      <c r="H50" s="1163"/>
      <c r="I50" s="1163"/>
      <c r="J50" s="443"/>
      <c r="K50" s="715"/>
      <c r="L50" s="2723"/>
      <c r="M50" s="2715"/>
      <c r="N50" s="2715"/>
      <c r="O50" s="2715"/>
      <c r="P50" s="3697" t="str">
        <f>A50</f>
        <v>估价对象XX用房的比较价值（楼面单价，元/平方米）</v>
      </c>
      <c r="Q50" s="3698"/>
      <c r="R50" s="3699">
        <f>IF(F1="售价",ROUND(IF(D49="简单平均",AVERAGE(R49:V49),R49*F49+T49*H49+V49*J49),0),ROUND(IF(D49="简单平均",AVERAGE(R49:V49),R49*F49+T49*H49+V49*J49),1))</f>
        <v>2.7</v>
      </c>
      <c r="S50" s="3699"/>
      <c r="T50" s="3699"/>
      <c r="U50" s="3699"/>
      <c r="V50" s="3699"/>
      <c r="W50" s="36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0.11111111111111094</v>
      </c>
      <c r="F53" s="449" t="str">
        <f>IF(OR(E53&gt;=0.3,E53&lt;=-0.3),"超过30%","")</f>
        <v/>
      </c>
      <c r="G53" s="448">
        <f>IF(G48&lt;G49,G49/G48-1,G48/G49-1)</f>
        <v>7.6923076923076872E-2</v>
      </c>
      <c r="H53" s="449" t="str">
        <f>IF(OR(G53&gt;=0.3,G53&lt;=-0.3),"超过30%","")</f>
        <v/>
      </c>
      <c r="I53" s="448">
        <f>IF(I48&lt;I49,I49/I48-1,I48/I49-1)</f>
        <v>6.8965517241379448E-2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3.8461538461538547E-2</v>
      </c>
      <c r="F54" s="449" t="str">
        <f>IF(OR(E54&gt;=0.2,E54&lt;=-0.2),"超过20%","")</f>
        <v/>
      </c>
      <c r="G54" s="448">
        <f>IF(G49&lt;I49,I49/G49-1,G49/I49-1)</f>
        <v>0.11538461538461542</v>
      </c>
      <c r="H54" s="449" t="str">
        <f>IF(OR(G54&gt;=0.2,G54&lt;=-0.2),"超过20%","")</f>
        <v/>
      </c>
      <c r="I54" s="448">
        <f>IF(I49&lt;E49,E49/I49-1,I49/E49-1)</f>
        <v>7.4074074074073959E-2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7.1428571428571397E-2</v>
      </c>
      <c r="F55" s="449" t="str">
        <f>IF(OR(E55&gt;=0.3,E55&lt;=-0.3),"超过30%","")</f>
        <v/>
      </c>
      <c r="G55" s="448">
        <f>IF(G48&lt;I48,I48/G48-1,G48/I48-1)</f>
        <v>0.10714285714285721</v>
      </c>
      <c r="H55" s="449" t="str">
        <f>IF(OR(G55&gt;=0.3,G55&lt;=-0.3),"超过30%","")</f>
        <v/>
      </c>
      <c r="I55" s="448">
        <f>IF(I48&lt;E48,E48/I48-1,I48/E48-1)</f>
        <v>3.3333333333333437E-2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1714</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1718</v>
      </c>
      <c r="D62" s="3478" t="s">
        <v>3440</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3434</v>
      </c>
      <c r="D66" s="532" t="s">
        <v>3435</v>
      </c>
      <c r="E66" s="532" t="s">
        <v>3436</v>
      </c>
      <c r="F66" s="532" t="s">
        <v>3437</v>
      </c>
      <c r="G66" s="532" t="s">
        <v>3438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79" t="s">
        <v>3442</v>
      </c>
      <c r="D89" s="3479" t="s">
        <v>3443</v>
      </c>
      <c r="E89" s="3479" t="s">
        <v>3445</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80" t="s">
        <v>3447</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79" t="s">
        <v>3448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79" t="s">
        <v>3450</v>
      </c>
      <c r="D108" s="3479" t="s">
        <v>3452</v>
      </c>
      <c r="E108" s="3479" t="s">
        <v>3454</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79" t="s">
        <v>3458</v>
      </c>
      <c r="D115" s="3479" t="s">
        <v>3459</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79" t="s">
        <v>3461</v>
      </c>
      <c r="D117" s="3479" t="s">
        <v>3462</v>
      </c>
      <c r="E117" s="3479" t="s">
        <v>3463</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3465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9" t="s">
        <v>3450</v>
      </c>
      <c r="D123" s="3479" t="s">
        <v>3452</v>
      </c>
      <c r="E123" s="3479" t="s">
        <v>3454</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3430</v>
      </c>
      <c r="F1" s="1879" t="s">
        <v>3428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15204</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31" t="s">
        <v>1775</v>
      </c>
      <c r="Q4" s="3732"/>
      <c r="R4" s="3713" t="s">
        <v>1771</v>
      </c>
      <c r="S4" s="3714"/>
      <c r="T4" s="3713" t="s">
        <v>1772</v>
      </c>
      <c r="U4" s="3714"/>
      <c r="V4" s="3719" t="s">
        <v>1773</v>
      </c>
      <c r="W4" s="3719"/>
      <c r="X4" s="1958"/>
      <c r="Y4" s="3713" t="s">
        <v>1775</v>
      </c>
      <c r="Z4" s="3714"/>
      <c r="AA4" s="3721" t="s">
        <v>1771</v>
      </c>
      <c r="AB4" s="3721" t="s">
        <v>1772</v>
      </c>
      <c r="AC4" s="3724" t="s">
        <v>1773</v>
      </c>
    </row>
    <row r="5" spans="1:29" ht="15">
      <c r="A5" s="358"/>
      <c r="B5" s="359"/>
      <c r="C5" s="3737" t="s">
        <v>3431</v>
      </c>
      <c r="D5" s="3738"/>
      <c r="E5" s="3737" t="s">
        <v>3431</v>
      </c>
      <c r="F5" s="3738"/>
      <c r="G5" s="3737" t="s">
        <v>3431</v>
      </c>
      <c r="H5" s="3738"/>
      <c r="I5" s="3737" t="s">
        <v>3431</v>
      </c>
      <c r="J5" s="3738"/>
      <c r="K5" s="559"/>
      <c r="L5" s="2714"/>
      <c r="M5" s="2715"/>
      <c r="N5" s="2715"/>
      <c r="O5" s="2715"/>
      <c r="P5" s="3733"/>
      <c r="Q5" s="3734"/>
      <c r="R5" s="3715"/>
      <c r="S5" s="3716"/>
      <c r="T5" s="3715"/>
      <c r="U5" s="3716"/>
      <c r="V5" s="3720"/>
      <c r="W5" s="3720"/>
      <c r="X5" s="1355"/>
      <c r="Y5" s="3715"/>
      <c r="Z5" s="3716"/>
      <c r="AA5" s="3722"/>
      <c r="AB5" s="3722"/>
      <c r="AC5" s="3725"/>
    </row>
    <row r="6" spans="1:29" ht="15.75" thickBot="1">
      <c r="A6" s="360"/>
      <c r="B6" s="361"/>
      <c r="C6" s="3739" t="s">
        <v>1677</v>
      </c>
      <c r="D6" s="3740"/>
      <c r="E6" s="3741" t="s">
        <v>1677</v>
      </c>
      <c r="F6" s="3742"/>
      <c r="G6" s="3739" t="s">
        <v>1677</v>
      </c>
      <c r="H6" s="3740"/>
      <c r="I6" s="3739" t="s">
        <v>1677</v>
      </c>
      <c r="J6" s="3740"/>
      <c r="K6" s="559" t="s">
        <v>1678</v>
      </c>
      <c r="L6" s="2714"/>
      <c r="M6" s="2715"/>
      <c r="N6" s="2715"/>
      <c r="O6" s="2715"/>
      <c r="P6" s="3735"/>
      <c r="Q6" s="3736"/>
      <c r="R6" s="3715"/>
      <c r="S6" s="3716"/>
      <c r="T6" s="3717"/>
      <c r="U6" s="3718"/>
      <c r="V6" s="3720"/>
      <c r="W6" s="3720"/>
      <c r="X6" s="1355"/>
      <c r="Y6" s="3717"/>
      <c r="Z6" s="3718"/>
      <c r="AA6" s="3723"/>
      <c r="AB6" s="3723"/>
      <c r="AC6" s="3726"/>
    </row>
    <row r="7" spans="1:29" s="108" customFormat="1" ht="15.75" thickBot="1">
      <c r="A7" s="362" t="s">
        <v>1679</v>
      </c>
      <c r="B7" s="363"/>
      <c r="C7" s="364">
        <f>'数据-取费表'!B2</f>
        <v>45756</v>
      </c>
      <c r="D7" s="365">
        <v>100</v>
      </c>
      <c r="E7" s="366">
        <f>C7</f>
        <v>45756</v>
      </c>
      <c r="F7" s="367">
        <f>SUMIF(59:59,YEAR(E7)&amp;"-"&amp;MONTH(E7),60:60)</f>
        <v>100</v>
      </c>
      <c r="G7" s="366">
        <f>C7</f>
        <v>45756</v>
      </c>
      <c r="H7" s="365">
        <f>SUMIF(59:59,YEAR(G7)&amp;"-"&amp;MONTH(G7),60:60)</f>
        <v>100</v>
      </c>
      <c r="I7" s="366">
        <f>C7</f>
        <v>45756</v>
      </c>
      <c r="J7" s="365">
        <f>SUMIF(59:59,YEAR(I7)&amp;"-"&amp;MONTH(I7),60:60)</f>
        <v>100</v>
      </c>
      <c r="K7" s="560"/>
      <c r="L7" s="2716"/>
      <c r="M7" s="2717"/>
      <c r="N7" s="2717"/>
      <c r="O7" s="2717"/>
      <c r="P7" s="3709" t="s">
        <v>1680</v>
      </c>
      <c r="Q7" s="3710"/>
      <c r="R7" s="701" t="s">
        <v>14</v>
      </c>
      <c r="S7" s="702">
        <f t="shared" ref="S7:S15" si="0">F7</f>
        <v>100</v>
      </c>
      <c r="T7" s="701" t="s">
        <v>14</v>
      </c>
      <c r="U7" s="702">
        <f t="shared" ref="U7:U15" si="1">H7</f>
        <v>100</v>
      </c>
      <c r="V7" s="701" t="s">
        <v>14</v>
      </c>
      <c r="W7" s="702">
        <f t="shared" ref="W7:W15" si="2">J7</f>
        <v>100</v>
      </c>
      <c r="X7" s="703"/>
      <c r="Y7" s="3712" t="s">
        <v>1680</v>
      </c>
      <c r="Z7" s="3711"/>
      <c r="AA7" s="704">
        <f>D7/F7</f>
        <v>1</v>
      </c>
      <c r="AB7" s="704">
        <f>D7/H7</f>
        <v>1</v>
      </c>
      <c r="AC7" s="1959">
        <f>D7/J7</f>
        <v>1</v>
      </c>
    </row>
    <row r="8" spans="1:29" s="108" customFormat="1" ht="15.75" thickBot="1">
      <c r="A8" s="362" t="s">
        <v>1681</v>
      </c>
      <c r="B8" s="363"/>
      <c r="C8" s="368" t="s">
        <v>3432</v>
      </c>
      <c r="D8" s="365">
        <v>100</v>
      </c>
      <c r="E8" s="368" t="s">
        <v>3439</v>
      </c>
      <c r="F8" s="367">
        <f>SUMIF(62:62,E8,63:63)-SUMIF(62:62,C8,63:63)+100</f>
        <v>102</v>
      </c>
      <c r="G8" s="368" t="s">
        <v>3439</v>
      </c>
      <c r="H8" s="365">
        <f>SUMIF(62:62,G8,63:63)-SUMIF(62:62,C8,63:63)+100</f>
        <v>102</v>
      </c>
      <c r="I8" s="368" t="s">
        <v>3439</v>
      </c>
      <c r="J8" s="365">
        <f>SUMIF(62:62,I8,63:63)-SUMIF(62:62,C8,63:63)+100</f>
        <v>102</v>
      </c>
      <c r="K8" s="560"/>
      <c r="L8" s="2716"/>
      <c r="M8" s="2717"/>
      <c r="N8" s="2717"/>
      <c r="O8" s="2717"/>
      <c r="P8" s="3709" t="s">
        <v>1683</v>
      </c>
      <c r="Q8" s="3711"/>
      <c r="R8" s="701" t="s">
        <v>14</v>
      </c>
      <c r="S8" s="702">
        <f t="shared" si="0"/>
        <v>102</v>
      </c>
      <c r="T8" s="701" t="s">
        <v>14</v>
      </c>
      <c r="U8" s="702">
        <f t="shared" si="1"/>
        <v>102</v>
      </c>
      <c r="V8" s="701" t="s">
        <v>14</v>
      </c>
      <c r="W8" s="702">
        <f t="shared" si="2"/>
        <v>102</v>
      </c>
      <c r="X8" s="703"/>
      <c r="Y8" s="3712" t="s">
        <v>1683</v>
      </c>
      <c r="Z8" s="3711"/>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7"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7">
      <c r="A10" s="374"/>
      <c r="B10" s="375" t="s">
        <v>1688</v>
      </c>
      <c r="C10" s="3433" t="str">
        <f>D66</f>
        <v>40（含）~30</v>
      </c>
      <c r="D10" s="127">
        <v>100</v>
      </c>
      <c r="E10" s="3433" t="str">
        <f>D66</f>
        <v>40（含）~30</v>
      </c>
      <c r="F10" s="127">
        <f>SUMIF(66:66,E10,67:67)-SUMIF(66:66,C10,67:67)+100</f>
        <v>100</v>
      </c>
      <c r="G10" s="3434" t="str">
        <f>D66</f>
        <v>40（含）~30</v>
      </c>
      <c r="H10" s="127">
        <f>SUMIF(66:66,G10,67:67)-SUMIF(66:66,C10,67:67)+100</f>
        <v>100</v>
      </c>
      <c r="I10" s="3433" t="str">
        <f>D66</f>
        <v>40（含）~30</v>
      </c>
      <c r="J10" s="127">
        <f>SUMIF(66:66,I10,67:67)-SUMIF(66:66,C10,67:67)+100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0"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t="s">
        <v>3466</v>
      </c>
      <c r="D16" s="399"/>
      <c r="E16" s="1904" t="s">
        <v>3466</v>
      </c>
      <c r="F16" s="399"/>
      <c r="G16" s="1904" t="s">
        <v>3466</v>
      </c>
      <c r="H16" s="401"/>
      <c r="I16" s="1904" t="s">
        <v>3466</v>
      </c>
      <c r="J16" s="399"/>
      <c r="K16" s="564"/>
      <c r="L16" s="2721"/>
      <c r="M16" s="2715"/>
      <c r="N16" s="2715"/>
      <c r="O16" s="2715"/>
      <c r="P16" s="3701"/>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t="s">
        <v>3466</v>
      </c>
      <c r="D18" s="401"/>
      <c r="E18" s="1964" t="s">
        <v>3466</v>
      </c>
      <c r="F18" s="401"/>
      <c r="G18" s="1964" t="s">
        <v>3466</v>
      </c>
      <c r="H18" s="399"/>
      <c r="I18" s="1964" t="s">
        <v>3466</v>
      </c>
      <c r="J18" s="399"/>
      <c r="K18" s="564"/>
      <c r="L18" s="2721"/>
      <c r="M18" s="2715"/>
      <c r="N18" s="2715"/>
      <c r="O18" s="2715"/>
      <c r="P18" s="3701"/>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t="s">
        <v>3466</v>
      </c>
      <c r="D20" s="399"/>
      <c r="E20" s="1904" t="s">
        <v>3466</v>
      </c>
      <c r="F20" s="399"/>
      <c r="G20" s="1904" t="s">
        <v>3466</v>
      </c>
      <c r="H20" s="399"/>
      <c r="I20" s="1904" t="s">
        <v>3466</v>
      </c>
      <c r="J20" s="399"/>
      <c r="K20" s="564"/>
      <c r="L20" s="2721"/>
      <c r="M20" s="2715"/>
      <c r="N20" s="2715"/>
      <c r="O20" s="2715"/>
      <c r="P20" s="3701"/>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t="s">
        <v>3460</v>
      </c>
      <c r="D22" s="399"/>
      <c r="E22" s="1964" t="s">
        <v>3460</v>
      </c>
      <c r="F22" s="399"/>
      <c r="G22" s="1964" t="s">
        <v>3460</v>
      </c>
      <c r="H22" s="399"/>
      <c r="I22" s="1964" t="s">
        <v>3460</v>
      </c>
      <c r="J22" s="399"/>
      <c r="K22" s="1130"/>
      <c r="L22" s="2721"/>
      <c r="M22" s="2715"/>
      <c r="N22" s="2715"/>
      <c r="O22" s="2715"/>
      <c r="P22" s="3701"/>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01"/>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t="s">
        <v>3466</v>
      </c>
      <c r="D24" s="399"/>
      <c r="E24" s="1904" t="s">
        <v>3466</v>
      </c>
      <c r="F24" s="399"/>
      <c r="G24" s="1904" t="s">
        <v>3466</v>
      </c>
      <c r="H24" s="399"/>
      <c r="I24" s="1904" t="s">
        <v>3466</v>
      </c>
      <c r="J24" s="399"/>
      <c r="K24" s="564"/>
      <c r="L24" s="2721"/>
      <c r="M24" s="2715"/>
      <c r="N24" s="2715"/>
      <c r="O24" s="2715"/>
      <c r="P24" s="3701"/>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1"/>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1"/>
      <c r="Q26" s="1352"/>
      <c r="R26" s="705"/>
      <c r="S26" s="706"/>
      <c r="T26" s="705"/>
      <c r="U26" s="706"/>
      <c r="V26" s="705"/>
      <c r="W26" s="706"/>
      <c r="X26" s="1355"/>
      <c r="Y26" s="3703"/>
      <c r="Z26" s="1356"/>
      <c r="AA26" s="1353">
        <v>1</v>
      </c>
      <c r="AB26" s="1353">
        <v>1</v>
      </c>
      <c r="AC26" s="1962">
        <v>1</v>
      </c>
    </row>
    <row r="27" spans="1:29" ht="15">
      <c r="A27" s="379"/>
      <c r="B27" s="580" t="s">
        <v>1783</v>
      </c>
      <c r="C27" s="582" t="s">
        <v>3444</v>
      </c>
      <c r="D27" s="386">
        <v>100</v>
      </c>
      <c r="E27" s="565" t="s">
        <v>3444</v>
      </c>
      <c r="F27" s="386">
        <f>SUMIF(89:89,E27,90:90)-SUMIF(89:89,C27,90:90)+100</f>
        <v>100</v>
      </c>
      <c r="G27" s="582" t="s">
        <v>3441</v>
      </c>
      <c r="H27" s="386">
        <f>SUMIF(89:89,G27,90:90)-SUMIF(89:89,C27,90:90)+100</f>
        <v>102</v>
      </c>
      <c r="I27" s="565" t="s">
        <v>3444</v>
      </c>
      <c r="J27" s="386">
        <f>SUMIF(89:89,I27,90:90)-SUMIF(89:89,C27,90:90)+100</f>
        <v>100</v>
      </c>
      <c r="K27" s="561">
        <v>1</v>
      </c>
      <c r="L27" s="2721"/>
      <c r="M27" s="2715"/>
      <c r="N27" s="2715"/>
      <c r="O27" s="2715"/>
      <c r="P27" s="3701"/>
      <c r="Q27" s="1352" t="str">
        <f t="shared" ref="Q27:Q47" si="11">B27</f>
        <v>楼层</v>
      </c>
      <c r="R27" s="705" t="s">
        <v>14</v>
      </c>
      <c r="S27" s="706">
        <f>F27</f>
        <v>100</v>
      </c>
      <c r="T27" s="705" t="s">
        <v>14</v>
      </c>
      <c r="U27" s="706">
        <f>H27</f>
        <v>102</v>
      </c>
      <c r="V27" s="705" t="s">
        <v>14</v>
      </c>
      <c r="W27" s="706">
        <f>J27</f>
        <v>100</v>
      </c>
      <c r="X27" s="1355"/>
      <c r="Y27" s="3703"/>
      <c r="Z27" s="1356" t="str">
        <f>Q27</f>
        <v>楼层</v>
      </c>
      <c r="AA27" s="1353">
        <f t="shared" si="3"/>
        <v>1</v>
      </c>
      <c r="AB27" s="1353">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1"/>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1"/>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t="s">
        <v>3446</v>
      </c>
      <c r="D33" s="418">
        <v>100</v>
      </c>
      <c r="E33" s="1967" t="s">
        <v>3446</v>
      </c>
      <c r="F33" s="412">
        <f>SUMIF(101:101,E33,102:102)-SUMIF(101:101,C33,102:102)+100</f>
        <v>100</v>
      </c>
      <c r="G33" s="1967" t="s">
        <v>3446</v>
      </c>
      <c r="H33" s="386">
        <f>SUMIF(101:101,G33,102:102)-SUMIF(101:101,C33,102:102)+100</f>
        <v>100</v>
      </c>
      <c r="I33" s="1967" t="s">
        <v>3446</v>
      </c>
      <c r="J33" s="418">
        <f>SUMIF(101:101,I33,102:102)-SUMIF(101:101,C33,102:102)+100</f>
        <v>100</v>
      </c>
      <c r="K33" s="561">
        <v>2</v>
      </c>
      <c r="L33" s="2721"/>
      <c r="M33" s="2715"/>
      <c r="N33" s="2715"/>
      <c r="O33" s="2715"/>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f>'数据-汇总表'!E3</f>
        <v>4312.4800000000005</v>
      </c>
      <c r="D34" s="127">
        <v>100</v>
      </c>
      <c r="E34" s="420">
        <v>149.46</v>
      </c>
      <c r="F34" s="376">
        <f>LOOKUP(E34,104:104,105:105)-LOOKUP(C34,104:104,105:105)+100</f>
        <v>102</v>
      </c>
      <c r="G34" s="420">
        <v>138.16</v>
      </c>
      <c r="H34" s="127">
        <f>LOOKUP(G34,104:104,105:105)-LOOKUP(C34,104:104,105:105)+100</f>
        <v>102</v>
      </c>
      <c r="I34" s="420">
        <v>172.56</v>
      </c>
      <c r="J34" s="127">
        <f>LOOKUP(I34,104:104,105:105)-LOOKUP(C34,104:104,105:105)+100</f>
        <v>102</v>
      </c>
      <c r="K34" s="562"/>
      <c r="L34" s="2720"/>
      <c r="M34" s="2722"/>
      <c r="N34" s="2722"/>
      <c r="O34" s="2722"/>
      <c r="P34" s="3705"/>
      <c r="Q34" s="707" t="str">
        <f t="shared" si="11"/>
        <v>项目建筑规模</v>
      </c>
      <c r="R34" s="708" t="s">
        <v>14</v>
      </c>
      <c r="S34" s="709">
        <f t="shared" si="12"/>
        <v>102</v>
      </c>
      <c r="T34" s="708" t="s">
        <v>14</v>
      </c>
      <c r="U34" s="709">
        <f t="shared" si="13"/>
        <v>102</v>
      </c>
      <c r="V34" s="708" t="s">
        <v>14</v>
      </c>
      <c r="W34" s="709">
        <f t="shared" si="14"/>
        <v>102</v>
      </c>
      <c r="X34" s="710"/>
      <c r="Y34" s="3707"/>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1"/>
      <c r="M35" s="2715"/>
      <c r="N35" s="2715"/>
      <c r="O35" s="2715"/>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1"/>
      <c r="M36" s="2715"/>
      <c r="N36" s="2715"/>
      <c r="O36" s="2715"/>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f>'数据-取费表'!N6</f>
        <v>0.72</v>
      </c>
      <c r="D37" s="386">
        <v>100</v>
      </c>
      <c r="E37" s="425">
        <v>0.85</v>
      </c>
      <c r="F37" s="412">
        <f>LOOKUP(E37,111:111,112:112)-LOOKUP(C37,111:111,112:112)+100</f>
        <v>101</v>
      </c>
      <c r="G37" s="425">
        <v>0.85</v>
      </c>
      <c r="H37" s="412">
        <f>LOOKUP(G37,111:111,112:112)-LOOKUP(C37,111:111,112:112)+100</f>
        <v>101</v>
      </c>
      <c r="I37" s="425">
        <v>0.85</v>
      </c>
      <c r="J37" s="386">
        <f>LOOKUP(I37,111:111,112:112)-LOOKUP(C37,111:111,112:112)+100</f>
        <v>101</v>
      </c>
      <c r="K37" s="561">
        <v>1</v>
      </c>
      <c r="L37" s="2721"/>
      <c r="M37" s="2715"/>
      <c r="N37" s="2715"/>
      <c r="O37" s="2715"/>
      <c r="P37" s="3705"/>
      <c r="Q37" s="1352" t="str">
        <f t="shared" si="11"/>
        <v>成新度</v>
      </c>
      <c r="R37" s="705" t="s">
        <v>14</v>
      </c>
      <c r="S37" s="706">
        <f t="shared" si="12"/>
        <v>101</v>
      </c>
      <c r="T37" s="705" t="s">
        <v>14</v>
      </c>
      <c r="U37" s="706">
        <f t="shared" si="13"/>
        <v>101</v>
      </c>
      <c r="V37" s="705" t="s">
        <v>14</v>
      </c>
      <c r="W37" s="706">
        <f t="shared" si="14"/>
        <v>101</v>
      </c>
      <c r="X37" s="1355"/>
      <c r="Y37" s="3707"/>
      <c r="Z37" s="1356" t="str">
        <f t="shared" si="15"/>
        <v>成新度</v>
      </c>
      <c r="AA37" s="1353">
        <f t="shared" si="3"/>
        <v>0.99009900990099009</v>
      </c>
      <c r="AB37" s="1353">
        <f t="shared" si="4"/>
        <v>0.99009900990099009</v>
      </c>
      <c r="AC37" s="1962">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t="s">
        <v>3457</v>
      </c>
      <c r="D39" s="386">
        <v>100</v>
      </c>
      <c r="E39" s="411" t="s">
        <v>3457</v>
      </c>
      <c r="F39" s="412">
        <f>SUMIF(115:115,E39,116:116)-SUMIF(115:115,C39,116:116)+100</f>
        <v>100</v>
      </c>
      <c r="G39" s="411" t="s">
        <v>3457</v>
      </c>
      <c r="H39" s="386">
        <f>SUMIF(115:115,G39,116:116)-SUMIF(115:115,C39,116:116)+100</f>
        <v>100</v>
      </c>
      <c r="I39" s="411" t="s">
        <v>3457</v>
      </c>
      <c r="J39" s="386">
        <f>SUMIF(115:115,I39,116:116)-SUMIF(115:115,C39,116:116)+100</f>
        <v>100</v>
      </c>
      <c r="K39" s="561">
        <v>1</v>
      </c>
      <c r="L39" s="2721"/>
      <c r="M39" s="2715"/>
      <c r="N39" s="2715"/>
      <c r="O39" s="2715"/>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t="s">
        <v>3464</v>
      </c>
      <c r="D41" s="386">
        <v>100</v>
      </c>
      <c r="E41" s="565" t="s">
        <v>3464</v>
      </c>
      <c r="F41" s="412">
        <f>SUMIF(119:119,E41,120:120)-SUMIF(119:119,C41,120:120)+100</f>
        <v>100</v>
      </c>
      <c r="G41" s="565" t="s">
        <v>3464</v>
      </c>
      <c r="H41" s="386">
        <f>SUMIF(119:119,G41,120:120)-SUMIF(119:119,C41,120:120)+100</f>
        <v>100</v>
      </c>
      <c r="I41" s="565" t="s">
        <v>3464</v>
      </c>
      <c r="J41" s="386">
        <f>SUMIF(119:119,I41,120:120)-SUMIF(119:119,C41,120:120)+100</f>
        <v>100</v>
      </c>
      <c r="K41" s="561">
        <v>2</v>
      </c>
      <c r="L41" s="2721"/>
      <c r="M41" s="2715"/>
      <c r="N41" s="2715"/>
      <c r="O41" s="2715"/>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t="s">
        <v>3453</v>
      </c>
      <c r="D43" s="386">
        <v>100</v>
      </c>
      <c r="E43" s="411" t="s">
        <v>3453</v>
      </c>
      <c r="F43" s="412">
        <f>SUMIF(123:123,E43,124:124)-SUMIF(123:123,C43,124:124)+100</f>
        <v>100</v>
      </c>
      <c r="G43" s="411" t="s">
        <v>3455</v>
      </c>
      <c r="H43" s="386">
        <f>SUMIF(123:123,G43,124:124)-SUMIF(123:123,C43,124:124)+100</f>
        <v>99</v>
      </c>
      <c r="I43" s="411" t="s">
        <v>3455</v>
      </c>
      <c r="J43" s="386">
        <f>SUMIF(123:123,I43,124:124)-SUMIF(123:123,C43,124:124)+100</f>
        <v>99</v>
      </c>
      <c r="K43" s="561">
        <v>1</v>
      </c>
      <c r="L43" s="2721"/>
      <c r="M43" s="2715"/>
      <c r="N43" s="2715"/>
      <c r="O43" s="2715"/>
      <c r="P43" s="3705"/>
      <c r="Q43" s="1352" t="str">
        <f t="shared" si="11"/>
        <v>内部装修</v>
      </c>
      <c r="R43" s="705" t="s">
        <v>14</v>
      </c>
      <c r="S43" s="706">
        <f t="shared" si="12"/>
        <v>100</v>
      </c>
      <c r="T43" s="705" t="s">
        <v>14</v>
      </c>
      <c r="U43" s="706">
        <f t="shared" si="13"/>
        <v>99</v>
      </c>
      <c r="V43" s="705" t="s">
        <v>14</v>
      </c>
      <c r="W43" s="706">
        <f t="shared" si="14"/>
        <v>99</v>
      </c>
      <c r="X43" s="1355"/>
      <c r="Y43" s="3707"/>
      <c r="Z43" s="1356" t="str">
        <f t="shared" si="15"/>
        <v>内部装修</v>
      </c>
      <c r="AA43" s="1353">
        <f t="shared" si="3"/>
        <v>1</v>
      </c>
      <c r="AB43" s="1353">
        <f t="shared" si="4"/>
        <v>1.0101010101010102</v>
      </c>
      <c r="AC43" s="1962">
        <f t="shared" si="5"/>
        <v>1.0101010101010102</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v>15523</v>
      </c>
      <c r="F48" s="1157"/>
      <c r="G48" s="1158">
        <v>15996</v>
      </c>
      <c r="H48" s="1159"/>
      <c r="I48" s="1156">
        <v>16401</v>
      </c>
      <c r="J48" s="436"/>
      <c r="K48" s="714"/>
      <c r="L48" s="2723"/>
      <c r="M48" s="2715"/>
      <c r="N48" s="2715"/>
      <c r="O48" s="2715"/>
      <c r="P48" s="3694" t="str">
        <f>A48</f>
        <v>成交单价（元/平方米）</v>
      </c>
      <c r="Q48" s="3695"/>
      <c r="R48" s="3696">
        <f>E48</f>
        <v>15523</v>
      </c>
      <c r="S48" s="3696"/>
      <c r="T48" s="3696">
        <f>G48</f>
        <v>15996</v>
      </c>
      <c r="U48" s="3696"/>
      <c r="V48" s="3696">
        <f>I48</f>
        <v>16401</v>
      </c>
      <c r="W48" s="3696"/>
      <c r="X48" s="397"/>
      <c r="Y48" s="712"/>
      <c r="Z48" s="397"/>
      <c r="AA48" s="397"/>
      <c r="AB48" s="397"/>
      <c r="AC48" s="578"/>
    </row>
    <row r="49" spans="1:29" ht="15.75" thickBot="1">
      <c r="A49" s="437" t="s">
        <v>1793</v>
      </c>
      <c r="B49" s="438"/>
      <c r="C49" s="1160">
        <f>R50</f>
        <v>15204</v>
      </c>
      <c r="D49" s="2317" t="s">
        <v>2138</v>
      </c>
      <c r="E49" s="1161">
        <f>R49</f>
        <v>14772</v>
      </c>
      <c r="F49" s="2318"/>
      <c r="G49" s="1160">
        <f>T49</f>
        <v>15075</v>
      </c>
      <c r="H49" s="2318"/>
      <c r="I49" s="1161">
        <f>V49</f>
        <v>15766</v>
      </c>
      <c r="J49" s="2318"/>
      <c r="K49" s="2320">
        <f>F49+H49+J49</f>
        <v>0</v>
      </c>
      <c r="L49" s="2723"/>
      <c r="M49" s="2715"/>
      <c r="N49" s="2715"/>
      <c r="O49" s="2715"/>
      <c r="P49" s="3694" t="str">
        <f>A49</f>
        <v>比较价值（元/平方米）</v>
      </c>
      <c r="Q49" s="3695"/>
      <c r="R49" s="3696">
        <f>IF(F1="售价",ROUND(PRODUCT(R48,AA7:AA47),0),ROUND(PRODUCT(R48,AA7:AA47),1))</f>
        <v>14772</v>
      </c>
      <c r="S49" s="3696"/>
      <c r="T49" s="3696">
        <f>IF(F1="售价",ROUND(PRODUCT(T48,AB7:AB47),0),ROUND(PRODUCT(T48,AB7:AB47),1))</f>
        <v>15075</v>
      </c>
      <c r="U49" s="3696"/>
      <c r="V49" s="3696">
        <f>IF(F1="售价",ROUND(PRODUCT(V48,AC7:AC47),0),ROUND(PRODUCT(V48,AC7:AC47),1))</f>
        <v>15766</v>
      </c>
      <c r="W49" s="3696"/>
      <c r="X49" s="397"/>
      <c r="Y49" s="397"/>
      <c r="Z49" s="397"/>
      <c r="AA49" s="397"/>
      <c r="AB49" s="397"/>
      <c r="AC49" s="578"/>
    </row>
    <row r="50" spans="1:29" ht="15.75" thickBot="1">
      <c r="A50" s="441" t="s">
        <v>1794</v>
      </c>
      <c r="B50" s="442"/>
      <c r="C50" s="1163">
        <f>R50</f>
        <v>15204</v>
      </c>
      <c r="D50" s="1163"/>
      <c r="E50" s="1163"/>
      <c r="F50" s="1163"/>
      <c r="G50" s="1163"/>
      <c r="H50" s="1163"/>
      <c r="I50" s="1163"/>
      <c r="J50" s="443"/>
      <c r="K50" s="715"/>
      <c r="L50" s="2723"/>
      <c r="M50" s="2715"/>
      <c r="N50" s="2715"/>
      <c r="O50" s="2715"/>
      <c r="P50" s="3697" t="str">
        <f>A50</f>
        <v>估价对象XX用房的比较价值（楼面单价，元/平方米）</v>
      </c>
      <c r="Q50" s="3698"/>
      <c r="R50" s="3699">
        <f>IF(F1="售价",ROUND(IF(D49="简单平均",AVERAGE(R49:V49),R49*F49+T49*H49+V49*J49),0),ROUND(IF(D49="简单平均",AVERAGE(R49:V49),R49*F49+T49*H49+V49*J49),1))</f>
        <v>15204</v>
      </c>
      <c r="S50" s="3699"/>
      <c r="T50" s="3699"/>
      <c r="U50" s="3699"/>
      <c r="V50" s="3699"/>
      <c r="W50" s="36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5.0839425940969463E-2</v>
      </c>
      <c r="F53" s="449" t="str">
        <f>IF(OR(E53&gt;=0.3,E53&lt;=-0.3),"超过30%","")</f>
        <v/>
      </c>
      <c r="G53" s="448">
        <f>IF(G48&lt;G49,G49/G48-1,G48/G49-1)</f>
        <v>6.1094527363183992E-2</v>
      </c>
      <c r="H53" s="449" t="str">
        <f>IF(OR(G53&gt;=0.3,G53&lt;=-0.3),"超过30%","")</f>
        <v/>
      </c>
      <c r="I53" s="448">
        <f>IF(I48&lt;I49,I49/I48-1,I48/I49-1)</f>
        <v>4.027654446276796E-2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2.0511779041429756E-2</v>
      </c>
      <c r="F54" s="449" t="str">
        <f>IF(OR(E54&gt;=0.2,E54&lt;=-0.2),"超过20%","")</f>
        <v/>
      </c>
      <c r="G54" s="448">
        <f>IF(G49&lt;I49,I49/G49-1,G49/I49-1)</f>
        <v>4.5837479270315118E-2</v>
      </c>
      <c r="H54" s="449" t="str">
        <f>IF(OR(G54&gt;=0.2,G54&lt;=-0.2),"超过20%","")</f>
        <v/>
      </c>
      <c r="I54" s="448">
        <f>IF(I49&lt;E49,E49/I49-1,I49/E49-1)</f>
        <v>6.7289466558353661E-2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3.0470914127423754E-2</v>
      </c>
      <c r="F55" s="449" t="str">
        <f>IF(OR(E55&gt;=0.3,E55&lt;=-0.3),"超过30%","")</f>
        <v/>
      </c>
      <c r="G55" s="448">
        <f>IF(G48&lt;I48,I48/G48-1,G48/I48-1)</f>
        <v>2.5318829707426938E-2</v>
      </c>
      <c r="H55" s="449" t="str">
        <f>IF(OR(G55&gt;=0.3,G55&lt;=-0.3),"超过30%","")</f>
        <v/>
      </c>
      <c r="I55" s="448">
        <f>IF(I48&lt;E48,E48/I48-1,I48/E48-1)</f>
        <v>5.6561231720672511E-2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3440</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3434</v>
      </c>
      <c r="D66" s="532" t="s">
        <v>3435</v>
      </c>
      <c r="E66" s="532" t="s">
        <v>3436</v>
      </c>
      <c r="F66" s="532" t="s">
        <v>3437</v>
      </c>
      <c r="G66" s="532" t="s">
        <v>3438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79" t="s">
        <v>3442</v>
      </c>
      <c r="D89" s="3479" t="s">
        <v>3443</v>
      </c>
      <c r="E89" s="3479" t="s">
        <v>3445</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80" t="s">
        <v>3447</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79" t="s">
        <v>3448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79" t="s">
        <v>3450</v>
      </c>
      <c r="D108" s="3479" t="s">
        <v>3452</v>
      </c>
      <c r="E108" s="3479" t="s">
        <v>3454</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79" t="s">
        <v>3458</v>
      </c>
      <c r="D115" s="3479" t="s">
        <v>3459</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79" t="s">
        <v>3461</v>
      </c>
      <c r="D117" s="3479" t="s">
        <v>3462</v>
      </c>
      <c r="E117" s="3479" t="s">
        <v>3463</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3465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9" t="s">
        <v>3450</v>
      </c>
      <c r="D123" s="3479" t="s">
        <v>3452</v>
      </c>
      <c r="E123" s="3479" t="s">
        <v>3454</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3358</v>
      </c>
      <c r="E2" s="3443"/>
      <c r="F2" s="2845"/>
      <c r="G2" s="2846"/>
      <c r="H2" s="2847"/>
      <c r="I2" s="2848"/>
      <c r="J2" s="3743" t="s">
        <v>2317</v>
      </c>
      <c r="K2" s="3744"/>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5" t="s">
        <v>2327</v>
      </c>
      <c r="K3" s="3746"/>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5" t="s">
        <v>2329</v>
      </c>
      <c r="K4" s="3746"/>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7" t="s">
        <v>2333</v>
      </c>
      <c r="B6" s="3748"/>
      <c r="C6" s="3749"/>
      <c r="D6" s="2869"/>
      <c r="E6" s="2870"/>
      <c r="F6" s="2871"/>
      <c r="G6" s="2872"/>
      <c r="H6" s="2847"/>
      <c r="I6" s="2848"/>
      <c r="J6" s="3750">
        <v>1</v>
      </c>
      <c r="K6" s="375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50"/>
      <c r="K7" s="375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4" t="s">
        <v>2347</v>
      </c>
      <c r="C8" s="3755"/>
      <c r="D8" s="2888" t="s">
        <v>2348</v>
      </c>
      <c r="E8" s="2889" t="s">
        <v>2349</v>
      </c>
      <c r="F8" s="2890" t="s">
        <v>2350</v>
      </c>
      <c r="G8" s="2891"/>
      <c r="H8" s="2847"/>
      <c r="I8" s="2848"/>
      <c r="J8" s="3750"/>
      <c r="K8" s="375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4" t="s">
        <v>2353</v>
      </c>
      <c r="C9" s="3755"/>
      <c r="D9" s="2888">
        <f>ROUND(D6*E9,0)</f>
        <v>0</v>
      </c>
      <c r="E9" s="2892"/>
      <c r="F9" s="2893" t="s">
        <v>2354</v>
      </c>
      <c r="G9" s="2872"/>
      <c r="H9" s="2847"/>
      <c r="I9" s="2848"/>
      <c r="J9" s="3750"/>
      <c r="K9" s="3752"/>
      <c r="L9" s="2882" t="s">
        <v>2355</v>
      </c>
      <c r="M9" s="2883"/>
      <c r="N9" s="2859"/>
      <c r="O9" s="2884"/>
      <c r="P9" s="2884"/>
      <c r="Q9" s="2885">
        <v>365</v>
      </c>
      <c r="R9" s="2886">
        <f t="shared" si="0"/>
        <v>0</v>
      </c>
      <c r="S9" s="2840"/>
      <c r="T9" s="2840"/>
      <c r="U9" s="2840"/>
      <c r="V9" s="2848"/>
    </row>
    <row r="10" spans="1:22" s="2852" customFormat="1" ht="13.15" customHeight="1">
      <c r="A10" s="2887">
        <v>2</v>
      </c>
      <c r="B10" s="3754" t="s">
        <v>2356</v>
      </c>
      <c r="C10" s="3755"/>
      <c r="D10" s="2888">
        <f>ROUND(D6*E10,0)</f>
        <v>0</v>
      </c>
      <c r="E10" s="2892"/>
      <c r="F10" s="2893" t="s">
        <v>2357</v>
      </c>
      <c r="G10" s="2872"/>
      <c r="H10" s="2847"/>
      <c r="I10" s="2848"/>
      <c r="J10" s="3750"/>
      <c r="K10" s="3752"/>
      <c r="L10" s="2882" t="s">
        <v>2358</v>
      </c>
      <c r="M10" s="2883"/>
      <c r="N10" s="2859"/>
      <c r="O10" s="2884"/>
      <c r="P10" s="2884"/>
      <c r="Q10" s="2885">
        <v>365</v>
      </c>
      <c r="R10" s="2886">
        <f t="shared" si="0"/>
        <v>0</v>
      </c>
      <c r="S10" s="2840"/>
      <c r="T10" s="2840"/>
      <c r="U10" s="2840"/>
      <c r="V10" s="2848"/>
    </row>
    <row r="11" spans="1:22" s="2852" customFormat="1" ht="13.15" customHeight="1">
      <c r="A11" s="2887">
        <v>3</v>
      </c>
      <c r="B11" s="3754" t="s">
        <v>2359</v>
      </c>
      <c r="C11" s="3755"/>
      <c r="D11" s="2888">
        <f>D12+D14+D15+D16</f>
        <v>0</v>
      </c>
      <c r="E11" s="2894" t="e">
        <f>D11/D6</f>
        <v>#DIV/0!</v>
      </c>
      <c r="F11" s="2890"/>
      <c r="G11" s="2891"/>
      <c r="H11" s="2847"/>
      <c r="I11" s="2848"/>
      <c r="J11" s="3750"/>
      <c r="K11" s="375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56" t="s">
        <v>2362</v>
      </c>
      <c r="C12" s="3757"/>
      <c r="D12" s="2896">
        <f>ROUND(D13*1.2%*(1-30%),0)</f>
        <v>0</v>
      </c>
      <c r="E12" s="2897">
        <v>1.2E-2</v>
      </c>
      <c r="F12" s="2890" t="s">
        <v>2363</v>
      </c>
      <c r="G12" s="2891"/>
      <c r="H12" s="2847"/>
      <c r="I12" s="2848"/>
      <c r="J12" s="3750"/>
      <c r="K12" s="375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50"/>
      <c r="K13" s="375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56" t="s">
        <v>2368</v>
      </c>
      <c r="C14" s="3757"/>
      <c r="D14" s="2896">
        <f>ROUND(E14*B5/10000,0)</f>
        <v>0</v>
      </c>
      <c r="E14" s="2885"/>
      <c r="F14" s="2890" t="s">
        <v>2369</v>
      </c>
      <c r="G14" s="2891"/>
      <c r="H14" s="2847"/>
      <c r="I14" s="2848"/>
      <c r="J14" s="3750"/>
      <c r="K14" s="375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56" t="s">
        <v>2372</v>
      </c>
      <c r="C15" s="3757"/>
      <c r="D15" s="2896">
        <f>ROUND(D6*E15,0)</f>
        <v>0</v>
      </c>
      <c r="E15" s="2897">
        <v>5.5E-2</v>
      </c>
      <c r="F15" s="2890" t="s">
        <v>2373</v>
      </c>
      <c r="G15" s="2872"/>
      <c r="H15" s="2847"/>
      <c r="I15" s="2848"/>
      <c r="J15" s="3750">
        <v>2</v>
      </c>
      <c r="K15" s="375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56" t="s">
        <v>2381</v>
      </c>
      <c r="C16" s="3757"/>
      <c r="D16" s="2907">
        <f>D6*E16</f>
        <v>0</v>
      </c>
      <c r="E16" s="2908"/>
      <c r="F16" s="2893" t="s">
        <v>2382</v>
      </c>
      <c r="G16" s="2872"/>
      <c r="H16" s="2847"/>
      <c r="I16" s="2848"/>
      <c r="J16" s="3750"/>
      <c r="K16" s="375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8" t="s">
        <v>2384</v>
      </c>
      <c r="C17" s="3759"/>
      <c r="D17" s="2910">
        <f>ROUND(D6*E17,0)</f>
        <v>0</v>
      </c>
      <c r="E17" s="2911"/>
      <c r="F17" s="2912" t="s">
        <v>2385</v>
      </c>
      <c r="G17" s="2872"/>
      <c r="H17" s="2847"/>
      <c r="I17" s="2848"/>
      <c r="J17" s="3750"/>
      <c r="K17" s="375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50"/>
      <c r="K18" s="375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50"/>
      <c r="K19" s="375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0">
        <v>3</v>
      </c>
      <c r="K20" s="375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50"/>
      <c r="K21" s="375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50"/>
      <c r="K22" s="375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50"/>
      <c r="K23" s="375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50"/>
      <c r="K24" s="375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6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6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43" t="s">
        <v>2317</v>
      </c>
      <c r="K32" s="3744"/>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5" t="s">
        <v>2327</v>
      </c>
      <c r="K33" s="3746"/>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5" t="s">
        <v>2329</v>
      </c>
      <c r="K34" s="374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50">
        <v>1</v>
      </c>
      <c r="K36" s="375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50"/>
      <c r="K37" s="375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0"/>
      <c r="K38" s="375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50"/>
      <c r="K39" s="375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50"/>
      <c r="K40" s="375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6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7267</v>
      </c>
      <c r="C2" s="1872" t="s">
        <v>1651</v>
      </c>
      <c r="D2" s="1873" t="s">
        <v>1652</v>
      </c>
      <c r="E2" s="2607">
        <f>SUM(E6:E13)</f>
        <v>4312.4800000000005</v>
      </c>
      <c r="F2" s="2706"/>
      <c r="G2" s="1489"/>
      <c r="H2" s="1489"/>
      <c r="I2" s="1489"/>
      <c r="J2" s="1489"/>
      <c r="K2" s="1489"/>
      <c r="L2" s="1489"/>
      <c r="M2" s="1489"/>
      <c r="N2" s="1489"/>
      <c r="O2" s="1489"/>
      <c r="P2" s="1489"/>
      <c r="Q2" s="1489"/>
      <c r="R2" s="1489"/>
      <c r="S2" s="1489"/>
    </row>
    <row r="3" spans="1:22" ht="15.75">
      <c r="A3" s="1870" t="s">
        <v>686</v>
      </c>
      <c r="B3" s="2601">
        <f ca="1">ROUND(B2*10000/E2,0)</f>
        <v>16851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62" t="s">
        <v>1654</v>
      </c>
      <c r="C5" s="376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7267</v>
      </c>
      <c r="C6" s="1872" t="s">
        <v>1651</v>
      </c>
      <c r="D6" s="2708"/>
      <c r="E6" s="2606">
        <f>IF(OR(A6=0,F6="否"),0,'数据-取费表'!K6+'数据-取费表'!S6)</f>
        <v>4312.4800000000005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4312.4800000000005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7" t="s">
        <v>1667</v>
      </c>
      <c r="D4" s="3728"/>
      <c r="E4" s="3729" t="s">
        <v>1668</v>
      </c>
      <c r="F4" s="3730"/>
      <c r="G4" s="3727" t="s">
        <v>1669</v>
      </c>
      <c r="H4" s="3728"/>
      <c r="I4" s="3727" t="s">
        <v>1670</v>
      </c>
      <c r="J4" s="3728"/>
      <c r="K4" s="1889" t="s">
        <v>1671</v>
      </c>
      <c r="L4" s="2714"/>
      <c r="M4" s="2715"/>
      <c r="N4" s="2715"/>
      <c r="O4" s="2715"/>
      <c r="P4" s="3770" t="s">
        <v>1672</v>
      </c>
      <c r="Q4" s="3771"/>
      <c r="R4" s="3765" t="s">
        <v>1668</v>
      </c>
      <c r="S4" s="3766"/>
      <c r="T4" s="3765" t="s">
        <v>1669</v>
      </c>
      <c r="U4" s="3766"/>
      <c r="V4" s="3720" t="s">
        <v>1670</v>
      </c>
      <c r="W4" s="3720"/>
      <c r="X4" s="1355"/>
      <c r="Y4" s="3765" t="s">
        <v>1672</v>
      </c>
      <c r="Z4" s="3766"/>
      <c r="AA4" s="3764" t="s">
        <v>1668</v>
      </c>
      <c r="AB4" s="3764" t="s">
        <v>1669</v>
      </c>
      <c r="AC4" s="3764" t="s">
        <v>1670</v>
      </c>
    </row>
    <row r="5" spans="1:29" ht="15">
      <c r="A5" s="358"/>
      <c r="B5" s="359"/>
      <c r="C5" s="3769" t="s">
        <v>1673</v>
      </c>
      <c r="D5" s="3738"/>
      <c r="E5" s="3767" t="s">
        <v>1674</v>
      </c>
      <c r="F5" s="3768"/>
      <c r="G5" s="3769" t="s">
        <v>1675</v>
      </c>
      <c r="H5" s="3738"/>
      <c r="I5" s="3769" t="s">
        <v>1676</v>
      </c>
      <c r="J5" s="3738"/>
      <c r="K5" s="1890"/>
      <c r="L5" s="2714"/>
      <c r="M5" s="2715"/>
      <c r="N5" s="2715"/>
      <c r="O5" s="2715"/>
      <c r="P5" s="3772"/>
      <c r="Q5" s="3734"/>
      <c r="R5" s="3715"/>
      <c r="S5" s="3716"/>
      <c r="T5" s="3715"/>
      <c r="U5" s="3716"/>
      <c r="V5" s="3720"/>
      <c r="W5" s="3720"/>
      <c r="X5" s="1355"/>
      <c r="Y5" s="3715"/>
      <c r="Z5" s="3716"/>
      <c r="AA5" s="3722"/>
      <c r="AB5" s="3722"/>
      <c r="AC5" s="3722"/>
    </row>
    <row r="6" spans="1:29" ht="15.75" thickBot="1">
      <c r="A6" s="360"/>
      <c r="B6" s="361"/>
      <c r="C6" s="3739" t="s">
        <v>1677</v>
      </c>
      <c r="D6" s="3740"/>
      <c r="E6" s="3741" t="s">
        <v>1677</v>
      </c>
      <c r="F6" s="3742"/>
      <c r="G6" s="3739" t="s">
        <v>1677</v>
      </c>
      <c r="H6" s="3740"/>
      <c r="I6" s="3739" t="s">
        <v>1677</v>
      </c>
      <c r="J6" s="3740"/>
      <c r="K6" s="1890" t="s">
        <v>1678</v>
      </c>
      <c r="L6" s="2714"/>
      <c r="M6" s="2715"/>
      <c r="N6" s="2715"/>
      <c r="O6" s="2715"/>
      <c r="P6" s="3773"/>
      <c r="Q6" s="3736"/>
      <c r="R6" s="3715"/>
      <c r="S6" s="3716"/>
      <c r="T6" s="3717"/>
      <c r="U6" s="3718"/>
      <c r="V6" s="3720"/>
      <c r="W6" s="3720"/>
      <c r="X6" s="1355"/>
      <c r="Y6" s="3717"/>
      <c r="Z6" s="3718"/>
      <c r="AA6" s="3723"/>
      <c r="AB6" s="3723"/>
      <c r="AC6" s="3723"/>
    </row>
    <row r="7" spans="1:29" s="108" customFormat="1" ht="15.75" thickBot="1">
      <c r="A7" s="362" t="s">
        <v>1679</v>
      </c>
      <c r="B7" s="363"/>
      <c r="C7" s="364">
        <f>'数据-取费表'!B2</f>
        <v>45756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2" t="s">
        <v>1680</v>
      </c>
      <c r="Q7" s="3710"/>
      <c r="R7" s="701" t="s">
        <v>20</v>
      </c>
      <c r="S7" s="702">
        <f t="shared" ref="S7:S15" si="0">F7</f>
        <v>0</v>
      </c>
      <c r="T7" s="701" t="s">
        <v>20</v>
      </c>
      <c r="U7" s="702">
        <f t="shared" ref="U7:U15" si="1">H7</f>
        <v>0</v>
      </c>
      <c r="V7" s="701" t="s">
        <v>20</v>
      </c>
      <c r="W7" s="702">
        <f t="shared" ref="W7:W15" si="2">J7</f>
        <v>0</v>
      </c>
      <c r="X7" s="703"/>
      <c r="Y7" s="3712"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2" t="s">
        <v>1683</v>
      </c>
      <c r="Q8" s="3711"/>
      <c r="R8" s="701" t="s">
        <v>20</v>
      </c>
      <c r="S8" s="702">
        <f t="shared" si="0"/>
        <v>100</v>
      </c>
      <c r="T8" s="701" t="s">
        <v>20</v>
      </c>
      <c r="U8" s="702">
        <f t="shared" si="1"/>
        <v>100</v>
      </c>
      <c r="V8" s="701" t="s">
        <v>20</v>
      </c>
      <c r="W8" s="702">
        <f t="shared" si="2"/>
        <v>100</v>
      </c>
      <c r="X8" s="703"/>
      <c r="Y8" s="3712"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4"/>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4"/>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4"/>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0"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1"/>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1"/>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1"/>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1"/>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1"/>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1"/>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1"/>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1"/>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1"/>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1"/>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1"/>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1"/>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1"/>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1"/>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受贵公司委托，我公司对北京市朝阳区安慧东里16号楼-1至4层综合用房房地产抵押价值进行了预评估。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估价对象为北京市朝阳区安慧东里16号楼-1至4层综合用房房地产，为所有。根据《国有土地使用证》[]，估价对象（分摊）出让国有建设用地使用权面积为588.42平方米，建筑面积为4312.48平方米。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安慧东里16号楼-1至4层综合用房房地产,属开发建设的办公项目，该项目尚在开发建设中。根据《国有土地使用证》[]，估价对象（分摊）出让国有建设用地使用权面积为588.42平方米，规划建筑面积为4312.48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安慧东里16号楼-1至4层综合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4312.4800000000005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70" t="s">
        <v>1775</v>
      </c>
      <c r="Q4" s="3771"/>
      <c r="R4" s="3765" t="s">
        <v>1771</v>
      </c>
      <c r="S4" s="3766"/>
      <c r="T4" s="3765" t="s">
        <v>1772</v>
      </c>
      <c r="U4" s="3766"/>
      <c r="V4" s="3720" t="s">
        <v>1773</v>
      </c>
      <c r="W4" s="3720"/>
      <c r="X4" s="1355"/>
      <c r="Y4" s="3765" t="s">
        <v>1775</v>
      </c>
      <c r="Z4" s="3766"/>
      <c r="AA4" s="3764" t="s">
        <v>1771</v>
      </c>
      <c r="AB4" s="3720" t="s">
        <v>1772</v>
      </c>
      <c r="AC4" s="3764" t="s">
        <v>1773</v>
      </c>
    </row>
    <row r="5" spans="1:29" ht="15">
      <c r="A5" s="358"/>
      <c r="B5" s="359"/>
      <c r="C5" s="3769" t="s">
        <v>1673</v>
      </c>
      <c r="D5" s="3738"/>
      <c r="E5" s="3767" t="s">
        <v>1674</v>
      </c>
      <c r="F5" s="3768"/>
      <c r="G5" s="3769" t="s">
        <v>1675</v>
      </c>
      <c r="H5" s="3738"/>
      <c r="I5" s="3769" t="s">
        <v>1676</v>
      </c>
      <c r="J5" s="3738"/>
      <c r="K5" s="559"/>
      <c r="L5" s="2714"/>
      <c r="M5" s="2715"/>
      <c r="N5" s="2715"/>
      <c r="O5" s="2715"/>
      <c r="P5" s="3772"/>
      <c r="Q5" s="3734"/>
      <c r="R5" s="3715"/>
      <c r="S5" s="3716"/>
      <c r="T5" s="3715"/>
      <c r="U5" s="3716"/>
      <c r="V5" s="3720"/>
      <c r="W5" s="3720"/>
      <c r="X5" s="1355"/>
      <c r="Y5" s="3715"/>
      <c r="Z5" s="3716"/>
      <c r="AA5" s="3722"/>
      <c r="AB5" s="3720"/>
      <c r="AC5" s="3722"/>
    </row>
    <row r="6" spans="1:29" ht="15.75" thickBot="1">
      <c r="A6" s="360"/>
      <c r="B6" s="361"/>
      <c r="C6" s="3739" t="s">
        <v>1677</v>
      </c>
      <c r="D6" s="3740"/>
      <c r="E6" s="3741" t="s">
        <v>1677</v>
      </c>
      <c r="F6" s="3742"/>
      <c r="G6" s="3739" t="s">
        <v>1677</v>
      </c>
      <c r="H6" s="3740"/>
      <c r="I6" s="3739" t="s">
        <v>1677</v>
      </c>
      <c r="J6" s="3740"/>
      <c r="K6" s="559" t="s">
        <v>1678</v>
      </c>
      <c r="L6" s="2714"/>
      <c r="M6" s="2715"/>
      <c r="N6" s="2715"/>
      <c r="O6" s="2715"/>
      <c r="P6" s="3773"/>
      <c r="Q6" s="3736"/>
      <c r="R6" s="3715"/>
      <c r="S6" s="3716"/>
      <c r="T6" s="3717"/>
      <c r="U6" s="3718"/>
      <c r="V6" s="3720"/>
      <c r="W6" s="3720"/>
      <c r="X6" s="1355"/>
      <c r="Y6" s="3717"/>
      <c r="Z6" s="3718"/>
      <c r="AA6" s="3723"/>
      <c r="AB6" s="3720"/>
      <c r="AC6" s="3723"/>
    </row>
    <row r="7" spans="1:29" s="108" customFormat="1" ht="15.75" thickBot="1">
      <c r="A7" s="362" t="s">
        <v>1679</v>
      </c>
      <c r="B7" s="363"/>
      <c r="C7" s="364">
        <f>'数据-取费表'!B2</f>
        <v>45756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2" t="s">
        <v>1680</v>
      </c>
      <c r="Q7" s="3710"/>
      <c r="R7" s="701" t="s">
        <v>14</v>
      </c>
      <c r="S7" s="702">
        <f t="shared" ref="S7:S15" si="0">F7</f>
        <v>0</v>
      </c>
      <c r="T7" s="701" t="s">
        <v>14</v>
      </c>
      <c r="U7" s="702">
        <f t="shared" ref="U7:U15" si="1">H7</f>
        <v>0</v>
      </c>
      <c r="V7" s="701" t="s">
        <v>14</v>
      </c>
      <c r="W7" s="702">
        <f t="shared" ref="W7:W15" si="2">J7</f>
        <v>0</v>
      </c>
      <c r="X7" s="703"/>
      <c r="Y7" s="3712"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2" t="s">
        <v>1683</v>
      </c>
      <c r="Q8" s="3711"/>
      <c r="R8" s="701" t="s">
        <v>14</v>
      </c>
      <c r="S8" s="702">
        <f t="shared" si="0"/>
        <v>100</v>
      </c>
      <c r="T8" s="701" t="s">
        <v>14</v>
      </c>
      <c r="U8" s="702">
        <f t="shared" si="1"/>
        <v>100</v>
      </c>
      <c r="V8" s="701" t="s">
        <v>14</v>
      </c>
      <c r="W8" s="702">
        <f t="shared" si="2"/>
        <v>100</v>
      </c>
      <c r="X8" s="703"/>
      <c r="Y8" s="3712"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4"/>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0"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1"/>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1"/>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1"/>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1"/>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1"/>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1"/>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1"/>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1"/>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1"/>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1"/>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5" t="str">
        <f>A47</f>
        <v>成交单价（元/平方米）</v>
      </c>
      <c r="Q47" s="369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4312.4800000000005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913"/>
      <c r="M4" s="914"/>
      <c r="N4" s="914"/>
      <c r="O4" s="914"/>
      <c r="P4" s="3770" t="s">
        <v>1775</v>
      </c>
      <c r="Q4" s="3771"/>
      <c r="R4" s="3765" t="s">
        <v>1771</v>
      </c>
      <c r="S4" s="3766"/>
      <c r="T4" s="3765" t="s">
        <v>1772</v>
      </c>
      <c r="U4" s="3766"/>
      <c r="V4" s="3720" t="s">
        <v>1773</v>
      </c>
      <c r="W4" s="3720"/>
      <c r="X4" s="1355"/>
      <c r="Y4" s="3765" t="s">
        <v>1775</v>
      </c>
      <c r="Z4" s="3766"/>
      <c r="AA4" s="3764" t="s">
        <v>1771</v>
      </c>
      <c r="AB4" s="3722" t="s">
        <v>1772</v>
      </c>
      <c r="AC4" s="3764" t="s">
        <v>1773</v>
      </c>
    </row>
    <row r="5" spans="1:29" ht="15">
      <c r="A5" s="358"/>
      <c r="B5" s="359"/>
      <c r="C5" s="3769" t="s">
        <v>1673</v>
      </c>
      <c r="D5" s="3738"/>
      <c r="E5" s="3767" t="s">
        <v>1674</v>
      </c>
      <c r="F5" s="3768"/>
      <c r="G5" s="3769" t="s">
        <v>1675</v>
      </c>
      <c r="H5" s="3738"/>
      <c r="I5" s="3769" t="s">
        <v>1676</v>
      </c>
      <c r="J5" s="3738"/>
      <c r="K5" s="559"/>
      <c r="L5" s="913"/>
      <c r="M5" s="914"/>
      <c r="N5" s="914"/>
      <c r="O5" s="914"/>
      <c r="P5" s="3772"/>
      <c r="Q5" s="3734"/>
      <c r="R5" s="3715"/>
      <c r="S5" s="3716"/>
      <c r="T5" s="3715"/>
      <c r="U5" s="3716"/>
      <c r="V5" s="3720"/>
      <c r="W5" s="3720"/>
      <c r="X5" s="1355"/>
      <c r="Y5" s="3715"/>
      <c r="Z5" s="3716"/>
      <c r="AA5" s="3722"/>
      <c r="AB5" s="3722"/>
      <c r="AC5" s="3722"/>
    </row>
    <row r="6" spans="1:29" ht="15.75" thickBot="1">
      <c r="A6" s="360"/>
      <c r="B6" s="361"/>
      <c r="C6" s="3739" t="s">
        <v>1677</v>
      </c>
      <c r="D6" s="3740"/>
      <c r="E6" s="3741" t="s">
        <v>1677</v>
      </c>
      <c r="F6" s="3742"/>
      <c r="G6" s="3739" t="s">
        <v>1677</v>
      </c>
      <c r="H6" s="3740"/>
      <c r="I6" s="3739" t="s">
        <v>1677</v>
      </c>
      <c r="J6" s="3740"/>
      <c r="K6" s="559" t="s">
        <v>1678</v>
      </c>
      <c r="L6" s="913"/>
      <c r="M6" s="914"/>
      <c r="N6" s="914"/>
      <c r="O6" s="914"/>
      <c r="P6" s="3773"/>
      <c r="Q6" s="3736"/>
      <c r="R6" s="3715"/>
      <c r="S6" s="3716"/>
      <c r="T6" s="3717"/>
      <c r="U6" s="3718"/>
      <c r="V6" s="3720"/>
      <c r="W6" s="3720"/>
      <c r="X6" s="1355"/>
      <c r="Y6" s="3717"/>
      <c r="Z6" s="3718"/>
      <c r="AA6" s="3723"/>
      <c r="AB6" s="3723"/>
      <c r="AC6" s="3723"/>
    </row>
    <row r="7" spans="1:29" s="108" customFormat="1" ht="15.75" thickBot="1">
      <c r="A7" s="362" t="s">
        <v>1679</v>
      </c>
      <c r="B7" s="363"/>
      <c r="C7" s="364">
        <f>'数据-取费表'!B2</f>
        <v>45756</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0"/>
      <c r="R7" s="701" t="s">
        <v>14</v>
      </c>
      <c r="S7" s="702">
        <f t="shared" ref="S7:S15" si="0">F7</f>
        <v>0</v>
      </c>
      <c r="T7" s="701" t="s">
        <v>14</v>
      </c>
      <c r="U7" s="702">
        <f t="shared" ref="U7:U15" si="1">H7</f>
        <v>0</v>
      </c>
      <c r="V7" s="701" t="s">
        <v>14</v>
      </c>
      <c r="W7" s="702">
        <f t="shared" ref="W7:W15" si="2">J7</f>
        <v>0</v>
      </c>
      <c r="X7" s="703"/>
      <c r="Y7" s="3712"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1"/>
      <c r="R8" s="701" t="s">
        <v>14</v>
      </c>
      <c r="S8" s="702">
        <f t="shared" si="0"/>
        <v>100</v>
      </c>
      <c r="T8" s="701" t="s">
        <v>14</v>
      </c>
      <c r="U8" s="702">
        <f t="shared" si="1"/>
        <v>100</v>
      </c>
      <c r="V8" s="701" t="s">
        <v>14</v>
      </c>
      <c r="W8" s="702">
        <f t="shared" si="2"/>
        <v>100</v>
      </c>
      <c r="X8" s="703"/>
      <c r="Y8" s="3712"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70" t="s">
        <v>1775</v>
      </c>
      <c r="Q4" s="3771"/>
      <c r="R4" s="3765" t="s">
        <v>1771</v>
      </c>
      <c r="S4" s="3766"/>
      <c r="T4" s="3765" t="s">
        <v>1772</v>
      </c>
      <c r="U4" s="3766"/>
      <c r="V4" s="3720" t="s">
        <v>1773</v>
      </c>
      <c r="W4" s="3720"/>
      <c r="X4" s="1355"/>
      <c r="Y4" s="3765" t="s">
        <v>1775</v>
      </c>
      <c r="Z4" s="3766"/>
      <c r="AA4" s="3764" t="s">
        <v>1771</v>
      </c>
      <c r="AB4" s="3722" t="s">
        <v>1772</v>
      </c>
      <c r="AC4" s="3764" t="s">
        <v>1773</v>
      </c>
    </row>
    <row r="5" spans="1:29" ht="15">
      <c r="A5" s="358"/>
      <c r="B5" s="359"/>
      <c r="C5" s="3769" t="s">
        <v>1673</v>
      </c>
      <c r="D5" s="3738"/>
      <c r="E5" s="3767" t="s">
        <v>1674</v>
      </c>
      <c r="F5" s="3768"/>
      <c r="G5" s="3769" t="s">
        <v>1675</v>
      </c>
      <c r="H5" s="3738"/>
      <c r="I5" s="3769" t="s">
        <v>1676</v>
      </c>
      <c r="J5" s="3738"/>
      <c r="K5" s="559"/>
      <c r="L5" s="2714"/>
      <c r="M5" s="2715"/>
      <c r="N5" s="2715"/>
      <c r="O5" s="2715"/>
      <c r="P5" s="3772"/>
      <c r="Q5" s="3734"/>
      <c r="R5" s="3715"/>
      <c r="S5" s="3716"/>
      <c r="T5" s="3715"/>
      <c r="U5" s="3716"/>
      <c r="V5" s="3720"/>
      <c r="W5" s="3720"/>
      <c r="X5" s="1355"/>
      <c r="Y5" s="3715"/>
      <c r="Z5" s="3716"/>
      <c r="AA5" s="3722"/>
      <c r="AB5" s="3722"/>
      <c r="AC5" s="3722"/>
    </row>
    <row r="6" spans="1:29" ht="15.75" thickBot="1">
      <c r="A6" s="360"/>
      <c r="B6" s="361"/>
      <c r="C6" s="3739" t="s">
        <v>1677</v>
      </c>
      <c r="D6" s="3740"/>
      <c r="E6" s="3741" t="s">
        <v>1677</v>
      </c>
      <c r="F6" s="3742"/>
      <c r="G6" s="3739" t="s">
        <v>1677</v>
      </c>
      <c r="H6" s="3740"/>
      <c r="I6" s="3739" t="s">
        <v>1677</v>
      </c>
      <c r="J6" s="3740"/>
      <c r="K6" s="559" t="s">
        <v>1678</v>
      </c>
      <c r="L6" s="2714"/>
      <c r="M6" s="2715"/>
      <c r="N6" s="2715"/>
      <c r="O6" s="2715"/>
      <c r="P6" s="3773"/>
      <c r="Q6" s="3736"/>
      <c r="R6" s="3715"/>
      <c r="S6" s="3716"/>
      <c r="T6" s="3717"/>
      <c r="U6" s="3718"/>
      <c r="V6" s="3720"/>
      <c r="W6" s="3720"/>
      <c r="X6" s="1355"/>
      <c r="Y6" s="3717"/>
      <c r="Z6" s="3718"/>
      <c r="AA6" s="3723"/>
      <c r="AB6" s="3723"/>
      <c r="AC6" s="3723"/>
    </row>
    <row r="7" spans="1:29" s="108" customFormat="1" ht="15.75" thickBot="1">
      <c r="A7" s="362" t="s">
        <v>1679</v>
      </c>
      <c r="B7" s="363"/>
      <c r="C7" s="364">
        <f>'数据-取费表'!B2</f>
        <v>45756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2" t="s">
        <v>1680</v>
      </c>
      <c r="Q7" s="3710"/>
      <c r="R7" s="701" t="s">
        <v>14</v>
      </c>
      <c r="S7" s="702">
        <f t="shared" ref="S7:S14" si="0">F7</f>
        <v>0</v>
      </c>
      <c r="T7" s="701" t="s">
        <v>14</v>
      </c>
      <c r="U7" s="702">
        <f t="shared" ref="U7:U14" si="1">H7</f>
        <v>0</v>
      </c>
      <c r="V7" s="701" t="s">
        <v>14</v>
      </c>
      <c r="W7" s="702">
        <f t="shared" ref="W7:W14" si="2">J7</f>
        <v>0</v>
      </c>
      <c r="X7" s="703"/>
      <c r="Y7" s="3712"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2" t="s">
        <v>1683</v>
      </c>
      <c r="Q8" s="3711"/>
      <c r="R8" s="701" t="s">
        <v>14</v>
      </c>
      <c r="S8" s="702">
        <f t="shared" si="0"/>
        <v>100</v>
      </c>
      <c r="T8" s="701" t="s">
        <v>14</v>
      </c>
      <c r="U8" s="702">
        <f t="shared" si="1"/>
        <v>100</v>
      </c>
      <c r="V8" s="701" t="s">
        <v>14</v>
      </c>
      <c r="W8" s="702">
        <f t="shared" si="2"/>
        <v>100</v>
      </c>
      <c r="X8" s="703"/>
      <c r="Y8" s="3712"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3"/>
      <c r="M37" s="2724"/>
      <c r="N37" s="2715"/>
      <c r="O37" s="2724"/>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74" t="str">
        <f>A39</f>
        <v>估价对象XX用房的比较价值（楼面单价，元/平方米）</v>
      </c>
      <c r="Q39" s="3775"/>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70" t="s">
        <v>1775</v>
      </c>
      <c r="Q4" s="3771"/>
      <c r="R4" s="3765" t="s">
        <v>1771</v>
      </c>
      <c r="S4" s="3766"/>
      <c r="T4" s="3765" t="s">
        <v>1772</v>
      </c>
      <c r="U4" s="3766"/>
      <c r="V4" s="3720" t="s">
        <v>1773</v>
      </c>
      <c r="W4" s="3720"/>
      <c r="X4" s="1355"/>
      <c r="Y4" s="3765" t="s">
        <v>1775</v>
      </c>
      <c r="Z4" s="3766"/>
      <c r="AA4" s="3764" t="s">
        <v>1771</v>
      </c>
      <c r="AB4" s="3722" t="s">
        <v>1772</v>
      </c>
      <c r="AC4" s="3764" t="s">
        <v>1773</v>
      </c>
    </row>
    <row r="5" spans="1:29" ht="15">
      <c r="A5" s="358"/>
      <c r="B5" s="359"/>
      <c r="C5" s="3769" t="s">
        <v>1673</v>
      </c>
      <c r="D5" s="3738"/>
      <c r="E5" s="3767" t="s">
        <v>1674</v>
      </c>
      <c r="F5" s="3768"/>
      <c r="G5" s="3769" t="s">
        <v>1675</v>
      </c>
      <c r="H5" s="3738"/>
      <c r="I5" s="3769" t="s">
        <v>1676</v>
      </c>
      <c r="J5" s="3738"/>
      <c r="K5" s="559"/>
      <c r="L5" s="2714"/>
      <c r="M5" s="2715"/>
      <c r="N5" s="2715"/>
      <c r="O5" s="2715"/>
      <c r="P5" s="3772"/>
      <c r="Q5" s="3734"/>
      <c r="R5" s="3715"/>
      <c r="S5" s="3716"/>
      <c r="T5" s="3715"/>
      <c r="U5" s="3716"/>
      <c r="V5" s="3720"/>
      <c r="W5" s="3720"/>
      <c r="X5" s="1355"/>
      <c r="Y5" s="3715"/>
      <c r="Z5" s="3716"/>
      <c r="AA5" s="3722"/>
      <c r="AB5" s="3722"/>
      <c r="AC5" s="3722"/>
    </row>
    <row r="6" spans="1:29" ht="15.75" thickBot="1">
      <c r="A6" s="360"/>
      <c r="B6" s="361"/>
      <c r="C6" s="3739" t="s">
        <v>1677</v>
      </c>
      <c r="D6" s="3740"/>
      <c r="E6" s="3741" t="s">
        <v>1677</v>
      </c>
      <c r="F6" s="3742"/>
      <c r="G6" s="3739" t="s">
        <v>1677</v>
      </c>
      <c r="H6" s="3740"/>
      <c r="I6" s="3739" t="s">
        <v>1677</v>
      </c>
      <c r="J6" s="3740"/>
      <c r="K6" s="559" t="s">
        <v>1678</v>
      </c>
      <c r="L6" s="2714"/>
      <c r="M6" s="2715"/>
      <c r="N6" s="2715"/>
      <c r="O6" s="2715"/>
      <c r="P6" s="3773"/>
      <c r="Q6" s="3736"/>
      <c r="R6" s="3715"/>
      <c r="S6" s="3716"/>
      <c r="T6" s="3717"/>
      <c r="U6" s="3718"/>
      <c r="V6" s="3720"/>
      <c r="W6" s="3720"/>
      <c r="X6" s="1355"/>
      <c r="Y6" s="3717"/>
      <c r="Z6" s="3718"/>
      <c r="AA6" s="3723"/>
      <c r="AB6" s="3723"/>
      <c r="AC6" s="3723"/>
    </row>
    <row r="7" spans="1:29" s="108" customFormat="1" ht="15.75" thickBot="1">
      <c r="A7" s="362" t="s">
        <v>1679</v>
      </c>
      <c r="B7" s="363"/>
      <c r="C7" s="364">
        <f>'数据-取费表'!B2</f>
        <v>45756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2" t="s">
        <v>1680</v>
      </c>
      <c r="Q7" s="3710"/>
      <c r="R7" s="701" t="s">
        <v>14</v>
      </c>
      <c r="S7" s="702">
        <f t="shared" ref="S7:S14" si="0">F7</f>
        <v>0</v>
      </c>
      <c r="T7" s="701" t="s">
        <v>14</v>
      </c>
      <c r="U7" s="702">
        <f t="shared" ref="U7:U14" si="1">H7</f>
        <v>0</v>
      </c>
      <c r="V7" s="701" t="s">
        <v>14</v>
      </c>
      <c r="W7" s="702">
        <f t="shared" ref="W7:W14" si="2">J7</f>
        <v>0</v>
      </c>
      <c r="X7" s="703"/>
      <c r="Y7" s="3712"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2" t="s">
        <v>1683</v>
      </c>
      <c r="Q8" s="3711"/>
      <c r="R8" s="701" t="s">
        <v>14</v>
      </c>
      <c r="S8" s="702">
        <f t="shared" si="0"/>
        <v>100</v>
      </c>
      <c r="T8" s="701" t="s">
        <v>14</v>
      </c>
      <c r="U8" s="702">
        <f t="shared" si="1"/>
        <v>100</v>
      </c>
      <c r="V8" s="701" t="s">
        <v>14</v>
      </c>
      <c r="W8" s="702">
        <f t="shared" si="2"/>
        <v>100</v>
      </c>
      <c r="X8" s="703"/>
      <c r="Y8" s="3712"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5"/>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74" t="str">
        <f>A37</f>
        <v>估价对象XX用房的比较价值（楼面单价，元/平方米）</v>
      </c>
      <c r="Q37" s="3775"/>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7" t="s">
        <v>1770</v>
      </c>
      <c r="D4" s="3728"/>
      <c r="E4" s="3729" t="s">
        <v>1771</v>
      </c>
      <c r="F4" s="3730"/>
      <c r="G4" s="3727" t="s">
        <v>1772</v>
      </c>
      <c r="H4" s="3728"/>
      <c r="I4" s="3727" t="s">
        <v>1773</v>
      </c>
      <c r="J4" s="3728"/>
      <c r="K4" s="559" t="s">
        <v>1774</v>
      </c>
      <c r="L4" s="2714"/>
      <c r="M4" s="2715"/>
      <c r="N4" s="2715"/>
      <c r="O4" s="2715"/>
      <c r="P4" s="3770" t="s">
        <v>1775</v>
      </c>
      <c r="Q4" s="3771"/>
      <c r="R4" s="3765" t="s">
        <v>1771</v>
      </c>
      <c r="S4" s="3766"/>
      <c r="T4" s="3765" t="s">
        <v>1772</v>
      </c>
      <c r="U4" s="3766"/>
      <c r="V4" s="3720" t="s">
        <v>1773</v>
      </c>
      <c r="W4" s="3720"/>
      <c r="X4" s="1355"/>
      <c r="Y4" s="3765" t="s">
        <v>1775</v>
      </c>
      <c r="Z4" s="3766"/>
      <c r="AA4" s="3764" t="s">
        <v>1771</v>
      </c>
      <c r="AB4" s="3722" t="s">
        <v>1772</v>
      </c>
      <c r="AC4" s="3764" t="s">
        <v>1773</v>
      </c>
    </row>
    <row r="5" spans="1:30" ht="15">
      <c r="A5" s="358"/>
      <c r="B5" s="359"/>
      <c r="C5" s="3769" t="s">
        <v>1673</v>
      </c>
      <c r="D5" s="3738"/>
      <c r="E5" s="3767" t="s">
        <v>1674</v>
      </c>
      <c r="F5" s="3768"/>
      <c r="G5" s="3769" t="s">
        <v>1675</v>
      </c>
      <c r="H5" s="3738"/>
      <c r="I5" s="3769" t="s">
        <v>1676</v>
      </c>
      <c r="J5" s="3738"/>
      <c r="K5" s="559"/>
      <c r="L5" s="2714"/>
      <c r="M5" s="2715"/>
      <c r="N5" s="2715"/>
      <c r="O5" s="2715"/>
      <c r="P5" s="3772"/>
      <c r="Q5" s="3734"/>
      <c r="R5" s="3715"/>
      <c r="S5" s="3716"/>
      <c r="T5" s="3715"/>
      <c r="U5" s="3716"/>
      <c r="V5" s="3720"/>
      <c r="W5" s="3720"/>
      <c r="X5" s="1355"/>
      <c r="Y5" s="3715"/>
      <c r="Z5" s="3716"/>
      <c r="AA5" s="3722"/>
      <c r="AB5" s="3722"/>
      <c r="AC5" s="3722"/>
    </row>
    <row r="6" spans="1:30" ht="15.75" thickBot="1">
      <c r="A6" s="360"/>
      <c r="B6" s="361"/>
      <c r="C6" s="3739" t="s">
        <v>1677</v>
      </c>
      <c r="D6" s="3740"/>
      <c r="E6" s="3741" t="s">
        <v>1677</v>
      </c>
      <c r="F6" s="3742"/>
      <c r="G6" s="3739" t="s">
        <v>1677</v>
      </c>
      <c r="H6" s="3740"/>
      <c r="I6" s="3739" t="s">
        <v>1677</v>
      </c>
      <c r="J6" s="3740"/>
      <c r="K6" s="559" t="s">
        <v>1678</v>
      </c>
      <c r="L6" s="2714"/>
      <c r="M6" s="2715"/>
      <c r="N6" s="2715"/>
      <c r="O6" s="2715"/>
      <c r="P6" s="3773"/>
      <c r="Q6" s="3736"/>
      <c r="R6" s="3715"/>
      <c r="S6" s="3716"/>
      <c r="T6" s="3717"/>
      <c r="U6" s="3718"/>
      <c r="V6" s="3720"/>
      <c r="W6" s="3720"/>
      <c r="X6" s="1355"/>
      <c r="Y6" s="3717"/>
      <c r="Z6" s="3718"/>
      <c r="AA6" s="3723"/>
      <c r="AB6" s="3723"/>
      <c r="AC6" s="3723"/>
    </row>
    <row r="7" spans="1:30" s="108" customFormat="1" ht="15.75" thickBot="1">
      <c r="A7" s="362" t="s">
        <v>1679</v>
      </c>
      <c r="B7" s="363"/>
      <c r="C7" s="364">
        <f>'数据-取费表'!B2</f>
        <v>45756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2" t="s">
        <v>1680</v>
      </c>
      <c r="Q7" s="3710"/>
      <c r="R7" s="701" t="s">
        <v>14</v>
      </c>
      <c r="S7" s="702">
        <f t="shared" ref="S7:S15" si="0">F7</f>
        <v>0</v>
      </c>
      <c r="T7" s="701" t="s">
        <v>14</v>
      </c>
      <c r="U7" s="702">
        <f t="shared" ref="U7:U15" si="1">H7</f>
        <v>0</v>
      </c>
      <c r="V7" s="701" t="s">
        <v>14</v>
      </c>
      <c r="W7" s="702">
        <f t="shared" ref="W7:W15" si="2">J7</f>
        <v>0</v>
      </c>
      <c r="X7" s="703"/>
      <c r="Y7" s="3712"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2" t="s">
        <v>1683</v>
      </c>
      <c r="Q8" s="3711"/>
      <c r="R8" s="701" t="s">
        <v>14</v>
      </c>
      <c r="S8" s="702">
        <f t="shared" si="0"/>
        <v>0</v>
      </c>
      <c r="T8" s="701" t="s">
        <v>14</v>
      </c>
      <c r="U8" s="702">
        <f t="shared" si="1"/>
        <v>0</v>
      </c>
      <c r="V8" s="701" t="s">
        <v>14</v>
      </c>
      <c r="W8" s="702">
        <f t="shared" si="2"/>
        <v>0</v>
      </c>
      <c r="X8" s="703"/>
      <c r="Y8" s="3712"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5"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8"/>
      <c r="M10" s="2719"/>
      <c r="N10" s="2719"/>
      <c r="O10" s="2772"/>
      <c r="P10" s="3695"/>
      <c r="Q10" s="1343" t="str">
        <f t="shared" si="6"/>
        <v>土地使用年限（年）</v>
      </c>
      <c r="R10" s="701" t="s">
        <v>14</v>
      </c>
      <c r="S10" s="702">
        <f t="shared" si="0"/>
        <v>109</v>
      </c>
      <c r="T10" s="701" t="s">
        <v>14</v>
      </c>
      <c r="U10" s="702">
        <f t="shared" si="1"/>
        <v>109</v>
      </c>
      <c r="V10" s="701" t="s">
        <v>14</v>
      </c>
      <c r="W10" s="702">
        <f t="shared" si="2"/>
        <v>109</v>
      </c>
      <c r="X10" s="703"/>
      <c r="Y10" s="3643"/>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5"/>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5"/>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5"/>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5"/>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7"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5" t="str">
        <f>A46</f>
        <v>成交单价</v>
      </c>
      <c r="Q46" s="369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5" t="str">
        <f>A47</f>
        <v>比较价值（元/平方米）</v>
      </c>
      <c r="Q47" s="3695"/>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74" t="str">
        <f>A48</f>
        <v>估价对象XX用房的比较价值（楼面单价，元/平方米）</v>
      </c>
      <c r="Q48" s="3775"/>
      <c r="R48" s="3780" t="e">
        <f>ROUND(IF(D47="简单平均",AVERAGE(R47:W47),R47*F47+T47*H47+V47*J47),0)</f>
        <v>#DIV/0!</v>
      </c>
      <c r="S48" s="3780"/>
      <c r="T48" s="3780"/>
      <c r="U48" s="3780"/>
      <c r="V48" s="3780"/>
      <c r="W48" s="378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7" t="s">
        <v>1887</v>
      </c>
      <c r="H55" s="378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3344.01</v>
      </c>
      <c r="F56" s="886" t="e">
        <f t="shared" ref="F56:F64" si="15">ROUND(B56*E56/10000,0)</f>
        <v>#DIV/0!</v>
      </c>
      <c r="G56" s="3694"/>
      <c r="H56" s="369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5">
        <v>0.25</v>
      </c>
      <c r="E60" s="217">
        <f>'数据-汇总表'!E11</f>
        <v>968.47</v>
      </c>
      <c r="F60" s="886" t="e">
        <f t="shared" si="15"/>
        <v>#DIV/0!</v>
      </c>
      <c r="G60" s="1987"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4312.4800000000005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70" t="s">
        <v>1775</v>
      </c>
      <c r="Q4" s="3771"/>
      <c r="R4" s="3765" t="s">
        <v>1771</v>
      </c>
      <c r="S4" s="3766"/>
      <c r="T4" s="3765" t="s">
        <v>1772</v>
      </c>
      <c r="U4" s="3766"/>
      <c r="V4" s="3720" t="s">
        <v>1773</v>
      </c>
      <c r="W4" s="3720"/>
      <c r="X4" s="1355"/>
      <c r="Y4" s="3765" t="s">
        <v>1775</v>
      </c>
      <c r="Z4" s="3766"/>
      <c r="AA4" s="3764" t="s">
        <v>1771</v>
      </c>
      <c r="AB4" s="3722" t="s">
        <v>1772</v>
      </c>
      <c r="AC4" s="3764" t="s">
        <v>1773</v>
      </c>
    </row>
    <row r="5" spans="1:29" ht="15">
      <c r="A5" s="358"/>
      <c r="B5" s="359"/>
      <c r="C5" s="3769" t="s">
        <v>1673</v>
      </c>
      <c r="D5" s="3738"/>
      <c r="E5" s="3767" t="s">
        <v>1674</v>
      </c>
      <c r="F5" s="3768"/>
      <c r="G5" s="3769" t="s">
        <v>1675</v>
      </c>
      <c r="H5" s="3738"/>
      <c r="I5" s="3769" t="s">
        <v>1676</v>
      </c>
      <c r="J5" s="3738"/>
      <c r="K5" s="559"/>
      <c r="L5" s="2714"/>
      <c r="M5" s="2715"/>
      <c r="N5" s="2715"/>
      <c r="O5" s="2715"/>
      <c r="P5" s="3772"/>
      <c r="Q5" s="3734"/>
      <c r="R5" s="3715"/>
      <c r="S5" s="3716"/>
      <c r="T5" s="3715"/>
      <c r="U5" s="3716"/>
      <c r="V5" s="3720"/>
      <c r="W5" s="3720"/>
      <c r="X5" s="1355"/>
      <c r="Y5" s="3715"/>
      <c r="Z5" s="3716"/>
      <c r="AA5" s="3722"/>
      <c r="AB5" s="3722"/>
      <c r="AC5" s="3722"/>
    </row>
    <row r="6" spans="1:29" ht="15.75" thickBot="1">
      <c r="A6" s="360"/>
      <c r="B6" s="361"/>
      <c r="C6" s="3782" t="s">
        <v>1919</v>
      </c>
      <c r="D6" s="3783"/>
      <c r="E6" s="3784" t="s">
        <v>1919</v>
      </c>
      <c r="F6" s="3785"/>
      <c r="G6" s="3782" t="s">
        <v>1919</v>
      </c>
      <c r="H6" s="3783"/>
      <c r="I6" s="3782" t="s">
        <v>1919</v>
      </c>
      <c r="J6" s="3783"/>
      <c r="K6" s="559" t="s">
        <v>1678</v>
      </c>
      <c r="L6" s="2714"/>
      <c r="M6" s="2715"/>
      <c r="N6" s="2715"/>
      <c r="O6" s="2715"/>
      <c r="P6" s="3773"/>
      <c r="Q6" s="3736"/>
      <c r="R6" s="3715"/>
      <c r="S6" s="3716"/>
      <c r="T6" s="3717"/>
      <c r="U6" s="3718"/>
      <c r="V6" s="3720"/>
      <c r="W6" s="3720"/>
      <c r="X6" s="1355"/>
      <c r="Y6" s="3717"/>
      <c r="Z6" s="3718"/>
      <c r="AA6" s="3723"/>
      <c r="AB6" s="3723"/>
      <c r="AC6" s="3723"/>
    </row>
    <row r="7" spans="1:29" s="108" customFormat="1" ht="15.75" thickBot="1">
      <c r="A7" s="362" t="s">
        <v>1679</v>
      </c>
      <c r="B7" s="363"/>
      <c r="C7" s="364">
        <f>'数据-取费表'!B2</f>
        <v>45756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2" t="s">
        <v>1680</v>
      </c>
      <c r="Q7" s="3710"/>
      <c r="R7" s="701" t="s">
        <v>14</v>
      </c>
      <c r="S7" s="702">
        <f t="shared" ref="S7:S15" si="0">F7</f>
        <v>0</v>
      </c>
      <c r="T7" s="701" t="s">
        <v>14</v>
      </c>
      <c r="U7" s="702">
        <f t="shared" ref="U7:U15" si="1">H7</f>
        <v>0</v>
      </c>
      <c r="V7" s="701" t="s">
        <v>14</v>
      </c>
      <c r="W7" s="702">
        <f t="shared" ref="W7:W15" si="2">J7</f>
        <v>0</v>
      </c>
      <c r="X7" s="703"/>
      <c r="Y7" s="3712"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2" t="s">
        <v>1683</v>
      </c>
      <c r="Q8" s="3711"/>
      <c r="R8" s="701" t="s">
        <v>14</v>
      </c>
      <c r="S8" s="702">
        <f t="shared" si="0"/>
        <v>0</v>
      </c>
      <c r="T8" s="701" t="s">
        <v>14</v>
      </c>
      <c r="U8" s="702">
        <f t="shared" si="1"/>
        <v>0</v>
      </c>
      <c r="V8" s="701" t="s">
        <v>14</v>
      </c>
      <c r="W8" s="702">
        <f t="shared" si="2"/>
        <v>0</v>
      </c>
      <c r="X8" s="703"/>
      <c r="Y8" s="3712"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5"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8"/>
      <c r="M10" s="2719"/>
      <c r="N10" s="2719"/>
      <c r="O10" s="2772"/>
      <c r="P10" s="3695"/>
      <c r="Q10" s="1343" t="str">
        <f t="shared" si="6"/>
        <v>土地使用年限（年）</v>
      </c>
      <c r="R10" s="701" t="s">
        <v>14</v>
      </c>
      <c r="S10" s="702">
        <f t="shared" si="0"/>
        <v>109</v>
      </c>
      <c r="T10" s="701" t="s">
        <v>14</v>
      </c>
      <c r="U10" s="702">
        <f t="shared" si="1"/>
        <v>109</v>
      </c>
      <c r="V10" s="701" t="s">
        <v>14</v>
      </c>
      <c r="W10" s="702">
        <f t="shared" si="2"/>
        <v>109</v>
      </c>
      <c r="X10" s="703"/>
      <c r="Y10" s="3643"/>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5"/>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5"/>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5"/>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5"/>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7"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5" t="str">
        <f>A41</f>
        <v>成交单价</v>
      </c>
      <c r="Q41" s="3695"/>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5" t="str">
        <f>A42</f>
        <v>比较价值（元/平方米）</v>
      </c>
      <c r="Q42" s="3695"/>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74" t="str">
        <f>A43</f>
        <v>估价对象XX用房的比较价值（楼面单价，元/平方米）</v>
      </c>
      <c r="Q43" s="3775"/>
      <c r="R43" s="3780" t="e">
        <f>ROUND(IF(D42="简单平均",AVERAGE(R42:W42),R42*F42+T42*H42+V42*J42),0)</f>
        <v>#DIV/0!</v>
      </c>
      <c r="S43" s="3780"/>
      <c r="T43" s="3780"/>
      <c r="U43" s="3780"/>
      <c r="V43" s="3780"/>
      <c r="W43" s="378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7" t="s">
        <v>1887</v>
      </c>
      <c r="H50" s="378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3344.01</v>
      </c>
      <c r="F51" s="639" t="e">
        <f t="shared" ref="F51:F60" si="15">ROUND(B51*E51/10000,0)</f>
        <v>#DIV/0!</v>
      </c>
      <c r="G51" s="3694"/>
      <c r="H51" s="369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968.47</v>
      </c>
      <c r="F56" s="639" t="e">
        <f t="shared" si="15"/>
        <v>#DIV/0!</v>
      </c>
      <c r="G56" s="1987"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588.41999999999996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9" t="s">
        <v>2084</v>
      </c>
      <c r="D1" s="3790"/>
      <c r="E1" s="3790"/>
      <c r="F1" s="3790"/>
      <c r="G1" s="3790"/>
      <c r="H1" s="3790"/>
      <c r="I1" s="3790"/>
      <c r="J1" s="3790"/>
      <c r="K1" s="3790"/>
      <c r="L1" s="3790"/>
      <c r="M1" s="3790"/>
      <c r="N1" s="3790"/>
      <c r="O1" s="3790"/>
      <c r="P1" s="3790"/>
      <c r="Q1" s="3790"/>
      <c r="R1" s="3790"/>
      <c r="S1" s="379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6" t="s">
        <v>27</v>
      </c>
      <c r="D22" s="3787"/>
      <c r="E22" s="3787"/>
      <c r="F22" s="3787"/>
      <c r="G22" s="3787"/>
      <c r="H22" s="3787"/>
      <c r="I22" s="3787"/>
      <c r="J22" s="3787"/>
      <c r="K22" s="3787"/>
      <c r="L22" s="3787"/>
      <c r="M22" s="3787"/>
      <c r="N22" s="3787"/>
      <c r="O22" s="3787"/>
      <c r="P22" s="3787"/>
      <c r="Q22" s="378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6022</v>
      </c>
      <c r="C2" s="2145" t="s">
        <v>2074</v>
      </c>
      <c r="D2" s="2145" t="s">
        <v>2075</v>
      </c>
      <c r="E2" s="2612">
        <f ca="1">SUMIF(E6:E13,"&lt;&gt;#ref!",E6:E13)</f>
        <v>4312.4800000000005</v>
      </c>
      <c r="F2" s="2792"/>
      <c r="G2" s="2792"/>
      <c r="H2" s="2792"/>
      <c r="I2" s="2792"/>
      <c r="J2" s="2792"/>
      <c r="K2" s="2792"/>
      <c r="L2" s="2792"/>
      <c r="M2" s="2792"/>
      <c r="N2" s="2792"/>
      <c r="O2" s="2792"/>
      <c r="P2" s="2792"/>
    </row>
    <row r="3" spans="1:16" ht="15.75">
      <c r="A3" s="2145" t="s">
        <v>2076</v>
      </c>
      <c r="B3" s="2602">
        <f ca="1">ROUND(B2*10000/E2,0)</f>
        <v>13964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6022</v>
      </c>
      <c r="C6" s="2145" t="s">
        <v>2074</v>
      </c>
      <c r="D6" s="2792"/>
      <c r="E6" s="2612">
        <f ca="1">SUMIF(INDIRECT("'"&amp;A6&amp;"'"&amp;"!C:C"),"建筑面积",INDIRECT("'"&amp;A6&amp;"'"&amp;"!D:D"))</f>
        <v>4312.4800000000005</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90" zoomScaleNormal="90" workbookViewId="0">
      <selection activeCell="F25" sqref="F25"/>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9" t="s">
        <v>2607</v>
      </c>
      <c r="B20" s="3792" t="s">
        <v>2628</v>
      </c>
      <c r="C20" s="3102" t="s">
        <v>2439</v>
      </c>
      <c r="D20" s="3103"/>
      <c r="E20" s="3104">
        <v>1</v>
      </c>
      <c r="F20" s="3105" t="s">
        <v>2440</v>
      </c>
      <c r="G20" s="3105"/>
    </row>
    <row r="21" spans="1:13" ht="19.5" customHeight="1">
      <c r="A21" s="3800"/>
      <c r="B21" s="3793"/>
      <c r="C21" s="3106" t="s">
        <v>2441</v>
      </c>
      <c r="D21" s="3107"/>
      <c r="E21" s="3108">
        <v>1</v>
      </c>
      <c r="F21" s="3105" t="s">
        <v>2442</v>
      </c>
      <c r="G21" s="3105"/>
    </row>
    <row r="22" spans="1:13" ht="19.5" customHeight="1">
      <c r="A22" s="3800"/>
      <c r="B22" s="3793"/>
      <c r="C22" s="3106" t="s">
        <v>2443</v>
      </c>
      <c r="D22" s="3107"/>
      <c r="E22" s="3108">
        <v>0.9</v>
      </c>
      <c r="F22" s="3105" t="s">
        <v>2444</v>
      </c>
      <c r="G22" s="3105"/>
    </row>
    <row r="23" spans="1:13" ht="19.5" customHeight="1">
      <c r="A23" s="3800"/>
      <c r="B23" s="3793"/>
      <c r="C23" s="3106" t="s">
        <v>2445</v>
      </c>
      <c r="D23" s="3107"/>
      <c r="E23" s="3108">
        <v>0.9</v>
      </c>
      <c r="F23" s="3105" t="s">
        <v>2446</v>
      </c>
      <c r="G23" s="3105"/>
    </row>
    <row r="24" spans="1:13" ht="19.5" customHeight="1">
      <c r="A24" s="3800"/>
      <c r="B24" s="3793"/>
      <c r="C24" s="3106" t="s">
        <v>2447</v>
      </c>
      <c r="D24" s="3107"/>
      <c r="E24" s="3108">
        <v>0.8</v>
      </c>
      <c r="F24" s="3105" t="s">
        <v>2448</v>
      </c>
      <c r="G24" s="3105"/>
    </row>
    <row r="25" spans="1:13" ht="19.5" customHeight="1" thickBot="1">
      <c r="A25" s="3801"/>
      <c r="B25" s="379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5" t="s">
        <v>2631</v>
      </c>
      <c r="B27" s="3792" t="s">
        <v>2612</v>
      </c>
      <c r="C27" s="3102" t="s">
        <v>2452</v>
      </c>
      <c r="D27" s="3103"/>
      <c r="E27" s="3104">
        <v>1</v>
      </c>
      <c r="F27" s="3105" t="s">
        <v>2453</v>
      </c>
      <c r="G27" s="3105"/>
    </row>
    <row r="28" spans="1:13" ht="19.5" customHeight="1">
      <c r="A28" s="3796"/>
      <c r="B28" s="3793"/>
      <c r="C28" s="3106" t="s">
        <v>2454</v>
      </c>
      <c r="D28" s="3107"/>
      <c r="E28" s="3108">
        <v>1</v>
      </c>
      <c r="F28" s="3105" t="s">
        <v>2455</v>
      </c>
      <c r="G28" s="3105"/>
    </row>
    <row r="29" spans="1:13" ht="19.5" customHeight="1">
      <c r="A29" s="3796"/>
      <c r="B29" s="3793"/>
      <c r="C29" s="3106" t="s">
        <v>2456</v>
      </c>
      <c r="D29" s="3107"/>
      <c r="E29" s="3108">
        <v>0.8</v>
      </c>
      <c r="F29" s="3105" t="s">
        <v>2457</v>
      </c>
      <c r="G29" s="3105"/>
    </row>
    <row r="30" spans="1:13" ht="19.5" customHeight="1">
      <c r="A30" s="3796"/>
      <c r="B30" s="3793"/>
      <c r="C30" s="3106" t="s">
        <v>2458</v>
      </c>
      <c r="D30" s="3107"/>
      <c r="E30" s="3108">
        <v>0.8</v>
      </c>
      <c r="F30" s="3105" t="s">
        <v>2459</v>
      </c>
      <c r="G30" s="3105"/>
    </row>
    <row r="31" spans="1:13" ht="19.5" customHeight="1">
      <c r="A31" s="3796"/>
      <c r="B31" s="3793"/>
      <c r="C31" s="3106" t="s">
        <v>2460</v>
      </c>
      <c r="D31" s="3107"/>
      <c r="E31" s="3108">
        <v>0.8</v>
      </c>
      <c r="F31" s="3105" t="s">
        <v>2461</v>
      </c>
      <c r="G31" s="3105"/>
    </row>
    <row r="32" spans="1:13" ht="19.5" customHeight="1">
      <c r="A32" s="3796"/>
      <c r="B32" s="3793"/>
      <c r="C32" s="3106" t="s">
        <v>2462</v>
      </c>
      <c r="D32" s="3107"/>
      <c r="E32" s="3108">
        <v>0.7</v>
      </c>
      <c r="F32" s="3105" t="s">
        <v>2463</v>
      </c>
      <c r="G32" s="3105"/>
    </row>
    <row r="33" spans="1:7" ht="19.5" customHeight="1">
      <c r="A33" s="3796"/>
      <c r="B33" s="3793"/>
      <c r="C33" s="3106" t="s">
        <v>2464</v>
      </c>
      <c r="D33" s="3107"/>
      <c r="E33" s="3108">
        <v>0.8</v>
      </c>
      <c r="F33" s="3105" t="s">
        <v>2465</v>
      </c>
      <c r="G33" s="3105"/>
    </row>
    <row r="34" spans="1:7" ht="19.5" customHeight="1">
      <c r="A34" s="3796"/>
      <c r="B34" s="3793"/>
      <c r="C34" s="3106" t="s">
        <v>2466</v>
      </c>
      <c r="D34" s="3107"/>
      <c r="E34" s="3108">
        <v>0.6</v>
      </c>
      <c r="F34" s="3105" t="s">
        <v>2467</v>
      </c>
      <c r="G34" s="3105"/>
    </row>
    <row r="35" spans="1:7" ht="19.5" customHeight="1">
      <c r="A35" s="3796"/>
      <c r="B35" s="3793"/>
      <c r="C35" s="3106" t="s">
        <v>2468</v>
      </c>
      <c r="D35" s="3107"/>
      <c r="E35" s="3108">
        <v>0.2</v>
      </c>
      <c r="F35" s="3105" t="s">
        <v>2469</v>
      </c>
      <c r="G35" s="3105"/>
    </row>
    <row r="36" spans="1:7" ht="19.5" customHeight="1">
      <c r="A36" s="3796"/>
      <c r="B36" s="3793"/>
      <c r="C36" s="3106" t="s">
        <v>2470</v>
      </c>
      <c r="D36" s="3107"/>
      <c r="E36" s="3108">
        <v>0.2</v>
      </c>
      <c r="F36" s="3105" t="s">
        <v>2471</v>
      </c>
      <c r="G36" s="3105"/>
    </row>
    <row r="37" spans="1:7" ht="19.5" customHeight="1">
      <c r="A37" s="3796"/>
      <c r="B37" s="3798" t="s">
        <v>2632</v>
      </c>
      <c r="C37" s="3106" t="s">
        <v>2472</v>
      </c>
      <c r="D37" s="3107"/>
      <c r="E37" s="3108">
        <v>0.6</v>
      </c>
      <c r="F37" s="3105" t="s">
        <v>2473</v>
      </c>
      <c r="G37" s="3105"/>
    </row>
    <row r="38" spans="1:7" ht="19.5" customHeight="1">
      <c r="A38" s="3796"/>
      <c r="B38" s="3793"/>
      <c r="C38" s="3106" t="s">
        <v>2474</v>
      </c>
      <c r="D38" s="3107"/>
      <c r="E38" s="3108">
        <v>0.6</v>
      </c>
      <c r="F38" s="3105" t="s">
        <v>2475</v>
      </c>
      <c r="G38" s="3105"/>
    </row>
    <row r="39" spans="1:7" ht="19.5" customHeight="1" thickBot="1">
      <c r="A39" s="3797"/>
      <c r="B39" s="379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9" t="s">
        <v>2610</v>
      </c>
      <c r="B41" s="3792" t="s">
        <v>2634</v>
      </c>
      <c r="C41" s="3102" t="s">
        <v>2479</v>
      </c>
      <c r="D41" s="3103"/>
      <c r="E41" s="3104">
        <v>1</v>
      </c>
      <c r="F41" s="3105" t="s">
        <v>2480</v>
      </c>
      <c r="G41" s="3105"/>
    </row>
    <row r="42" spans="1:7" ht="19.5" customHeight="1">
      <c r="A42" s="3800"/>
      <c r="B42" s="3793"/>
      <c r="C42" s="3106" t="s">
        <v>2481</v>
      </c>
      <c r="D42" s="3107"/>
      <c r="E42" s="3108">
        <v>1</v>
      </c>
      <c r="F42" s="3105" t="s">
        <v>2482</v>
      </c>
      <c r="G42" s="3105"/>
    </row>
    <row r="43" spans="1:7" ht="19.5" customHeight="1">
      <c r="A43" s="3800"/>
      <c r="B43" s="3802"/>
      <c r="C43" s="3106" t="s">
        <v>2483</v>
      </c>
      <c r="D43" s="3107"/>
      <c r="E43" s="3108">
        <v>1.5</v>
      </c>
      <c r="F43" s="3105" t="s">
        <v>2484</v>
      </c>
      <c r="G43" s="3105"/>
    </row>
    <row r="44" spans="1:7" ht="19.5" customHeight="1">
      <c r="A44" s="3800"/>
      <c r="B44" s="3117" t="s">
        <v>2635</v>
      </c>
      <c r="C44" s="3106" t="s">
        <v>2636</v>
      </c>
      <c r="D44" s="3107"/>
      <c r="E44" s="3108">
        <v>2</v>
      </c>
      <c r="F44" s="3105" t="s">
        <v>2485</v>
      </c>
      <c r="G44" s="3105"/>
    </row>
    <row r="45" spans="1:7" ht="19.5" customHeight="1">
      <c r="A45" s="3800"/>
      <c r="B45" s="3798" t="s">
        <v>2637</v>
      </c>
      <c r="C45" s="3106" t="s">
        <v>2486</v>
      </c>
      <c r="D45" s="3107"/>
      <c r="E45" s="3108">
        <v>1</v>
      </c>
      <c r="F45" s="3105" t="s">
        <v>2487</v>
      </c>
      <c r="G45" s="3105"/>
    </row>
    <row r="46" spans="1:7" ht="19.5" customHeight="1">
      <c r="A46" s="3800"/>
      <c r="B46" s="3793"/>
      <c r="C46" s="3106" t="s">
        <v>2488</v>
      </c>
      <c r="D46" s="3107"/>
      <c r="E46" s="3108">
        <v>1</v>
      </c>
      <c r="F46" s="3105" t="s">
        <v>2489</v>
      </c>
      <c r="G46" s="3105"/>
    </row>
    <row r="47" spans="1:7" ht="19.5" customHeight="1">
      <c r="A47" s="3800"/>
      <c r="B47" s="3793"/>
      <c r="C47" s="3106" t="s">
        <v>2490</v>
      </c>
      <c r="D47" s="3107"/>
      <c r="E47" s="3108">
        <v>1</v>
      </c>
      <c r="F47" s="3105" t="s">
        <v>2491</v>
      </c>
      <c r="G47" s="3105"/>
    </row>
    <row r="48" spans="1:7" ht="19.5" customHeight="1">
      <c r="A48" s="3800"/>
      <c r="B48" s="3793"/>
      <c r="C48" s="3106" t="s">
        <v>2492</v>
      </c>
      <c r="D48" s="3107"/>
      <c r="E48" s="3108">
        <v>1</v>
      </c>
      <c r="F48" s="3105" t="s">
        <v>2493</v>
      </c>
      <c r="G48" s="3105"/>
    </row>
    <row r="49" spans="1:7" ht="19.5" customHeight="1">
      <c r="A49" s="3800"/>
      <c r="B49" s="3793"/>
      <c r="C49" s="3106" t="s">
        <v>2494</v>
      </c>
      <c r="D49" s="3107"/>
      <c r="E49" s="3108">
        <v>1</v>
      </c>
      <c r="F49" s="3105" t="s">
        <v>2495</v>
      </c>
      <c r="G49" s="3105"/>
    </row>
    <row r="50" spans="1:7" ht="19.5" customHeight="1">
      <c r="A50" s="3800"/>
      <c r="B50" s="3793"/>
      <c r="C50" s="3106" t="s">
        <v>2496</v>
      </c>
      <c r="D50" s="3107"/>
      <c r="E50" s="3108">
        <v>1</v>
      </c>
      <c r="F50" s="3105" t="s">
        <v>2497</v>
      </c>
      <c r="G50" s="3105"/>
    </row>
    <row r="51" spans="1:7" ht="19.5" customHeight="1" thickBot="1">
      <c r="A51" s="3801"/>
      <c r="B51" s="379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8" t="s">
        <v>2651</v>
      </c>
      <c r="C73" s="3091" t="s">
        <v>2652</v>
      </c>
      <c r="D73" s="3091" t="s">
        <v>2653</v>
      </c>
      <c r="E73" s="3117">
        <v>0.2</v>
      </c>
      <c r="F73" s="3117">
        <v>25</v>
      </c>
    </row>
    <row r="74" spans="1:7" ht="24">
      <c r="A74" s="3117">
        <v>2</v>
      </c>
      <c r="B74" s="3793"/>
      <c r="C74" s="3091" t="s">
        <v>2654</v>
      </c>
      <c r="D74" s="3091" t="s">
        <v>2655</v>
      </c>
      <c r="E74" s="3117">
        <v>0.2</v>
      </c>
      <c r="F74" s="3117">
        <v>25</v>
      </c>
    </row>
    <row r="75" spans="1:7" ht="24">
      <c r="A75" s="3117">
        <v>3</v>
      </c>
      <c r="B75" s="3793"/>
      <c r="C75" s="3091" t="s">
        <v>2656</v>
      </c>
      <c r="D75" s="3091" t="s">
        <v>2657</v>
      </c>
      <c r="E75" s="3117">
        <v>0.2</v>
      </c>
      <c r="F75" s="3117">
        <v>25</v>
      </c>
    </row>
    <row r="76" spans="1:7" ht="13.5">
      <c r="A76" s="3117">
        <v>4</v>
      </c>
      <c r="B76" s="3793"/>
      <c r="C76" s="3091" t="s">
        <v>2658</v>
      </c>
      <c r="D76" s="3091" t="s">
        <v>2659</v>
      </c>
      <c r="E76" s="3117">
        <v>0.15</v>
      </c>
      <c r="F76" s="3117">
        <v>20</v>
      </c>
    </row>
    <row r="77" spans="1:7" ht="24">
      <c r="A77" s="3117">
        <v>5</v>
      </c>
      <c r="B77" s="3793"/>
      <c r="C77" s="3091" t="s">
        <v>2660</v>
      </c>
      <c r="D77" s="3091" t="s">
        <v>2661</v>
      </c>
      <c r="E77" s="3117">
        <v>0.15</v>
      </c>
      <c r="F77" s="3117">
        <v>20</v>
      </c>
    </row>
    <row r="78" spans="1:7" ht="24">
      <c r="A78" s="3117">
        <v>6</v>
      </c>
      <c r="B78" s="3793"/>
      <c r="C78" s="3091" t="s">
        <v>2662</v>
      </c>
      <c r="D78" s="3091" t="s">
        <v>2663</v>
      </c>
      <c r="E78" s="3117">
        <v>0.15</v>
      </c>
      <c r="F78" s="3117">
        <v>20</v>
      </c>
    </row>
    <row r="79" spans="1:7" ht="24">
      <c r="A79" s="3117">
        <v>7</v>
      </c>
      <c r="B79" s="3793"/>
      <c r="C79" s="3091" t="s">
        <v>2664</v>
      </c>
      <c r="D79" s="3091" t="s">
        <v>2665</v>
      </c>
      <c r="E79" s="3117">
        <v>0.15</v>
      </c>
      <c r="F79" s="3117">
        <v>20</v>
      </c>
    </row>
    <row r="80" spans="1:7" ht="24">
      <c r="A80" s="3117">
        <v>8</v>
      </c>
      <c r="B80" s="3793"/>
      <c r="C80" s="3091" t="s">
        <v>2666</v>
      </c>
      <c r="D80" s="3091" t="s">
        <v>2667</v>
      </c>
      <c r="E80" s="3117">
        <v>0.1</v>
      </c>
      <c r="F80" s="3117">
        <v>15</v>
      </c>
    </row>
    <row r="81" spans="1:6" ht="24">
      <c r="A81" s="3117">
        <v>9</v>
      </c>
      <c r="B81" s="3793"/>
      <c r="C81" s="3091" t="s">
        <v>2668</v>
      </c>
      <c r="D81" s="3091" t="s">
        <v>2669</v>
      </c>
      <c r="E81" s="3117">
        <v>0.1</v>
      </c>
      <c r="F81" s="3117">
        <v>15</v>
      </c>
    </row>
    <row r="82" spans="1:6" ht="24">
      <c r="A82" s="3117">
        <v>10</v>
      </c>
      <c r="B82" s="3793"/>
      <c r="C82" s="3091" t="s">
        <v>2670</v>
      </c>
      <c r="D82" s="3091" t="s">
        <v>2671</v>
      </c>
      <c r="E82" s="3117">
        <v>0.1</v>
      </c>
      <c r="F82" s="3117">
        <v>15</v>
      </c>
    </row>
    <row r="83" spans="1:6" ht="24">
      <c r="A83" s="3117">
        <v>11</v>
      </c>
      <c r="B83" s="3793"/>
      <c r="C83" s="3091" t="s">
        <v>2672</v>
      </c>
      <c r="D83" s="3091" t="s">
        <v>2673</v>
      </c>
      <c r="E83" s="3117">
        <v>0.1</v>
      </c>
      <c r="F83" s="3117">
        <v>15</v>
      </c>
    </row>
    <row r="84" spans="1:6" ht="24">
      <c r="A84" s="3117">
        <v>12</v>
      </c>
      <c r="B84" s="3793"/>
      <c r="C84" s="3091" t="s">
        <v>2674</v>
      </c>
      <c r="D84" s="3091" t="s">
        <v>2675</v>
      </c>
      <c r="E84" s="3117">
        <v>0.1</v>
      </c>
      <c r="F84" s="3117">
        <v>15</v>
      </c>
    </row>
    <row r="85" spans="1:6" ht="13.5">
      <c r="A85" s="3117">
        <v>13</v>
      </c>
      <c r="B85" s="3793"/>
      <c r="C85" s="3091" t="s">
        <v>2676</v>
      </c>
      <c r="D85" s="3091" t="s">
        <v>2677</v>
      </c>
      <c r="E85" s="3117">
        <v>0.1</v>
      </c>
      <c r="F85" s="3117">
        <v>15</v>
      </c>
    </row>
    <row r="86" spans="1:6" ht="13.5">
      <c r="A86" s="3117">
        <v>14</v>
      </c>
      <c r="B86" s="3793"/>
      <c r="C86" s="3091" t="s">
        <v>2678</v>
      </c>
      <c r="D86" s="3091" t="s">
        <v>2679</v>
      </c>
      <c r="E86" s="3117">
        <v>0.1</v>
      </c>
      <c r="F86" s="3117">
        <v>15</v>
      </c>
    </row>
    <row r="87" spans="1:6" ht="13.5">
      <c r="A87" s="3117">
        <v>15</v>
      </c>
      <c r="B87" s="3793"/>
      <c r="C87" s="3091" t="s">
        <v>2680</v>
      </c>
      <c r="D87" s="3091" t="s">
        <v>2681</v>
      </c>
      <c r="E87" s="3117">
        <v>0.1</v>
      </c>
      <c r="F87" s="3117">
        <v>15</v>
      </c>
    </row>
    <row r="88" spans="1:6" ht="24">
      <c r="A88" s="3117">
        <v>16</v>
      </c>
      <c r="B88" s="3793"/>
      <c r="C88" s="3091" t="s">
        <v>2682</v>
      </c>
      <c r="D88" s="3091" t="s">
        <v>2683</v>
      </c>
      <c r="E88" s="3117">
        <v>0.1</v>
      </c>
      <c r="F88" s="3117">
        <v>15</v>
      </c>
    </row>
    <row r="89" spans="1:6" ht="24">
      <c r="A89" s="3117">
        <v>17</v>
      </c>
      <c r="B89" s="3802"/>
      <c r="C89" s="3091" t="s">
        <v>2684</v>
      </c>
      <c r="D89" s="3091" t="s">
        <v>2685</v>
      </c>
      <c r="E89" s="3117">
        <v>0.1</v>
      </c>
      <c r="F89" s="3117">
        <v>15</v>
      </c>
    </row>
    <row r="90" spans="1:6" ht="13.5">
      <c r="A90" s="3117">
        <v>18</v>
      </c>
      <c r="B90" s="3798" t="s">
        <v>2686</v>
      </c>
      <c r="C90" s="3091" t="s">
        <v>2687</v>
      </c>
      <c r="D90" s="3091" t="s">
        <v>2688</v>
      </c>
      <c r="E90" s="3117">
        <v>0.2</v>
      </c>
      <c r="F90" s="3117">
        <v>25</v>
      </c>
    </row>
    <row r="91" spans="1:6" ht="24">
      <c r="A91" s="3117">
        <v>19</v>
      </c>
      <c r="B91" s="3793"/>
      <c r="C91" s="3091" t="s">
        <v>2689</v>
      </c>
      <c r="D91" s="3091" t="s">
        <v>2690</v>
      </c>
      <c r="E91" s="3117">
        <v>0.2</v>
      </c>
      <c r="F91" s="3117">
        <v>25</v>
      </c>
    </row>
    <row r="92" spans="1:6" ht="13.5">
      <c r="A92" s="3117">
        <v>20</v>
      </c>
      <c r="B92" s="3793"/>
      <c r="C92" s="3091" t="s">
        <v>2691</v>
      </c>
      <c r="D92" s="3091" t="s">
        <v>2692</v>
      </c>
      <c r="E92" s="3117">
        <v>0.15</v>
      </c>
      <c r="F92" s="3117">
        <v>20</v>
      </c>
    </row>
    <row r="93" spans="1:6" ht="13.5">
      <c r="A93" s="3117">
        <v>21</v>
      </c>
      <c r="B93" s="3793"/>
      <c r="C93" s="3091" t="s">
        <v>2693</v>
      </c>
      <c r="D93" s="3091" t="s">
        <v>2694</v>
      </c>
      <c r="E93" s="3117">
        <v>0.15</v>
      </c>
      <c r="F93" s="3117">
        <v>20</v>
      </c>
    </row>
    <row r="94" spans="1:6" ht="13.5">
      <c r="A94" s="3117">
        <v>22</v>
      </c>
      <c r="B94" s="3793"/>
      <c r="C94" s="3091" t="s">
        <v>2695</v>
      </c>
      <c r="D94" s="3091" t="s">
        <v>2696</v>
      </c>
      <c r="E94" s="3117">
        <v>0.15</v>
      </c>
      <c r="F94" s="3117">
        <v>20</v>
      </c>
    </row>
    <row r="95" spans="1:6" ht="36">
      <c r="A95" s="3117">
        <v>23</v>
      </c>
      <c r="B95" s="3793"/>
      <c r="C95" s="3091" t="s">
        <v>2697</v>
      </c>
      <c r="D95" s="3091" t="s">
        <v>2698</v>
      </c>
      <c r="E95" s="3117">
        <v>0.15</v>
      </c>
      <c r="F95" s="3117">
        <v>20</v>
      </c>
    </row>
    <row r="96" spans="1:6" ht="13.5">
      <c r="A96" s="3117">
        <v>24</v>
      </c>
      <c r="B96" s="3793"/>
      <c r="C96" s="3091" t="s">
        <v>2699</v>
      </c>
      <c r="D96" s="3091" t="s">
        <v>2700</v>
      </c>
      <c r="E96" s="3117">
        <v>0.1</v>
      </c>
      <c r="F96" s="3117">
        <v>15</v>
      </c>
    </row>
    <row r="97" spans="1:6" ht="13.5">
      <c r="A97" s="3117">
        <v>25</v>
      </c>
      <c r="B97" s="3793"/>
      <c r="C97" s="3091" t="s">
        <v>2701</v>
      </c>
      <c r="D97" s="3091" t="s">
        <v>2702</v>
      </c>
      <c r="E97" s="3117">
        <v>0.1</v>
      </c>
      <c r="F97" s="3117">
        <v>15</v>
      </c>
    </row>
    <row r="98" spans="1:6" ht="24">
      <c r="A98" s="3117">
        <v>26</v>
      </c>
      <c r="B98" s="3793"/>
      <c r="C98" s="3091" t="s">
        <v>2703</v>
      </c>
      <c r="D98" s="3091" t="s">
        <v>2704</v>
      </c>
      <c r="E98" s="3117">
        <v>0.1</v>
      </c>
      <c r="F98" s="3117">
        <v>15</v>
      </c>
    </row>
    <row r="99" spans="1:6" ht="24">
      <c r="A99" s="3117">
        <v>27</v>
      </c>
      <c r="B99" s="3793"/>
      <c r="C99" s="3091" t="s">
        <v>2705</v>
      </c>
      <c r="D99" s="3091" t="s">
        <v>2706</v>
      </c>
      <c r="E99" s="3117">
        <v>0.1</v>
      </c>
      <c r="F99" s="3117">
        <v>15</v>
      </c>
    </row>
    <row r="100" spans="1:6" ht="13.5">
      <c r="A100" s="3117">
        <v>28</v>
      </c>
      <c r="B100" s="3793"/>
      <c r="C100" s="3091" t="s">
        <v>2707</v>
      </c>
      <c r="D100" s="3091" t="s">
        <v>2708</v>
      </c>
      <c r="E100" s="3117">
        <v>0.1</v>
      </c>
      <c r="F100" s="3117">
        <v>15</v>
      </c>
    </row>
    <row r="101" spans="1:6" ht="13.5">
      <c r="A101" s="3117">
        <v>29</v>
      </c>
      <c r="B101" s="3793"/>
      <c r="C101" s="3091" t="s">
        <v>2709</v>
      </c>
      <c r="D101" s="3091" t="s">
        <v>2710</v>
      </c>
      <c r="E101" s="3117">
        <v>0.1</v>
      </c>
      <c r="F101" s="3117">
        <v>15</v>
      </c>
    </row>
    <row r="102" spans="1:6" ht="13.5">
      <c r="A102" s="3117">
        <v>30</v>
      </c>
      <c r="B102" s="3793"/>
      <c r="C102" s="3091" t="s">
        <v>2711</v>
      </c>
      <c r="D102" s="3091" t="s">
        <v>2712</v>
      </c>
      <c r="E102" s="3117">
        <v>0.1</v>
      </c>
      <c r="F102" s="3117">
        <v>15</v>
      </c>
    </row>
    <row r="103" spans="1:6" ht="24">
      <c r="A103" s="3117">
        <v>31</v>
      </c>
      <c r="B103" s="3793"/>
      <c r="C103" s="3091" t="s">
        <v>2713</v>
      </c>
      <c r="D103" s="3091" t="s">
        <v>2714</v>
      </c>
      <c r="E103" s="3117">
        <v>0.1</v>
      </c>
      <c r="F103" s="3117">
        <v>15</v>
      </c>
    </row>
    <row r="104" spans="1:6" ht="24">
      <c r="A104" s="3117">
        <v>32</v>
      </c>
      <c r="B104" s="3793"/>
      <c r="C104" s="3091" t="s">
        <v>2715</v>
      </c>
      <c r="D104" s="3091" t="s">
        <v>2716</v>
      </c>
      <c r="E104" s="3117">
        <v>0.1</v>
      </c>
      <c r="F104" s="3117">
        <v>15</v>
      </c>
    </row>
    <row r="105" spans="1:6" ht="24">
      <c r="A105" s="3117">
        <v>33</v>
      </c>
      <c r="B105" s="3793"/>
      <c r="C105" s="3091" t="s">
        <v>2717</v>
      </c>
      <c r="D105" s="3091" t="s">
        <v>2718</v>
      </c>
      <c r="E105" s="3117">
        <v>0.1</v>
      </c>
      <c r="F105" s="3117">
        <v>15</v>
      </c>
    </row>
    <row r="106" spans="1:6" ht="24">
      <c r="A106" s="3117">
        <v>34</v>
      </c>
      <c r="B106" s="3802"/>
      <c r="C106" s="3091" t="s">
        <v>2719</v>
      </c>
      <c r="D106" s="3091" t="s">
        <v>2720</v>
      </c>
      <c r="E106" s="3117">
        <v>0.1</v>
      </c>
      <c r="F106" s="3117">
        <v>15</v>
      </c>
    </row>
    <row r="107" spans="1:6" ht="24">
      <c r="A107" s="3117">
        <v>35</v>
      </c>
      <c r="B107" s="3798" t="s">
        <v>2721</v>
      </c>
      <c r="C107" s="3117" t="s">
        <v>2722</v>
      </c>
      <c r="D107" s="3091" t="s">
        <v>2723</v>
      </c>
      <c r="E107" s="3117">
        <v>0.15</v>
      </c>
      <c r="F107" s="3117">
        <v>20</v>
      </c>
    </row>
    <row r="108" spans="1:6" ht="13.5">
      <c r="A108" s="3117">
        <v>36</v>
      </c>
      <c r="B108" s="3793"/>
      <c r="C108" s="3117" t="s">
        <v>2724</v>
      </c>
      <c r="D108" s="3091" t="s">
        <v>2725</v>
      </c>
      <c r="E108" s="3117">
        <v>0.15</v>
      </c>
      <c r="F108" s="3117">
        <v>20</v>
      </c>
    </row>
    <row r="109" spans="1:6" ht="13.5">
      <c r="A109" s="3117">
        <v>37</v>
      </c>
      <c r="B109" s="3793"/>
      <c r="C109" s="3117" t="s">
        <v>2726</v>
      </c>
      <c r="D109" s="3091" t="s">
        <v>2727</v>
      </c>
      <c r="E109" s="3117">
        <v>0.15</v>
      </c>
      <c r="F109" s="3117">
        <v>20</v>
      </c>
    </row>
    <row r="110" spans="1:6" ht="13.5">
      <c r="A110" s="3117">
        <v>38</v>
      </c>
      <c r="B110" s="3793"/>
      <c r="C110" s="3117" t="s">
        <v>2728</v>
      </c>
      <c r="D110" s="3091" t="s">
        <v>2729</v>
      </c>
      <c r="E110" s="3117">
        <v>0.1</v>
      </c>
      <c r="F110" s="3117">
        <v>15</v>
      </c>
    </row>
    <row r="111" spans="1:6" ht="24">
      <c r="A111" s="3117">
        <v>39</v>
      </c>
      <c r="B111" s="3793"/>
      <c r="C111" s="3117" t="s">
        <v>2730</v>
      </c>
      <c r="D111" s="3091" t="s">
        <v>2731</v>
      </c>
      <c r="E111" s="3117">
        <v>0.1</v>
      </c>
      <c r="F111" s="3117">
        <v>15</v>
      </c>
    </row>
    <row r="112" spans="1:6" ht="24">
      <c r="A112" s="3117">
        <v>40</v>
      </c>
      <c r="B112" s="3802"/>
      <c r="C112" s="3117" t="s">
        <v>2732</v>
      </c>
      <c r="D112" s="3091" t="s">
        <v>2733</v>
      </c>
      <c r="E112" s="3117">
        <v>0.1</v>
      </c>
      <c r="F112" s="3117">
        <v>15</v>
      </c>
    </row>
    <row r="113" spans="1:6" ht="13.5">
      <c r="A113" s="3117">
        <v>41</v>
      </c>
      <c r="B113" s="3803" t="s">
        <v>2734</v>
      </c>
      <c r="C113" s="3117" t="s">
        <v>2735</v>
      </c>
      <c r="D113" s="3091" t="s">
        <v>2736</v>
      </c>
      <c r="E113" s="3117">
        <v>0.1</v>
      </c>
      <c r="F113" s="3117">
        <v>15</v>
      </c>
    </row>
    <row r="114" spans="1:6" ht="13.5">
      <c r="A114" s="3117">
        <v>42</v>
      </c>
      <c r="B114" s="3803"/>
      <c r="C114" s="3117" t="s">
        <v>2737</v>
      </c>
      <c r="D114" s="3091" t="s">
        <v>2738</v>
      </c>
      <c r="E114" s="3117">
        <v>0.1</v>
      </c>
      <c r="F114" s="3117">
        <v>15</v>
      </c>
    </row>
    <row r="115" spans="1:6" ht="24">
      <c r="A115" s="3117">
        <v>43</v>
      </c>
      <c r="B115" s="3803"/>
      <c r="C115" s="3117" t="s">
        <v>2739</v>
      </c>
      <c r="D115" s="3091" t="s">
        <v>2740</v>
      </c>
      <c r="E115" s="3117">
        <v>0.1</v>
      </c>
      <c r="F115" s="3117">
        <v>15</v>
      </c>
    </row>
    <row r="116" spans="1:6" ht="13.5">
      <c r="A116" s="3117">
        <v>44</v>
      </c>
      <c r="B116" s="3798" t="s">
        <v>2741</v>
      </c>
      <c r="C116" s="3117" t="s">
        <v>2742</v>
      </c>
      <c r="D116" s="3091" t="s">
        <v>2743</v>
      </c>
      <c r="E116" s="3117">
        <v>0.1</v>
      </c>
      <c r="F116" s="3117">
        <v>15</v>
      </c>
    </row>
    <row r="117" spans="1:6" ht="24">
      <c r="A117" s="3117">
        <v>45</v>
      </c>
      <c r="B117" s="3802"/>
      <c r="C117" s="3091" t="s">
        <v>2744</v>
      </c>
      <c r="D117" s="3091" t="s">
        <v>2745</v>
      </c>
      <c r="E117" s="3117">
        <v>0.1</v>
      </c>
      <c r="F117" s="3117">
        <v>15</v>
      </c>
    </row>
    <row r="118" spans="1:6" ht="24">
      <c r="A118" s="3117">
        <v>46</v>
      </c>
      <c r="B118" s="3798" t="s">
        <v>2746</v>
      </c>
      <c r="C118" s="3117" t="s">
        <v>2747</v>
      </c>
      <c r="D118" s="3091" t="s">
        <v>2748</v>
      </c>
      <c r="E118" s="3117">
        <v>0.1</v>
      </c>
      <c r="F118" s="3117">
        <v>15</v>
      </c>
    </row>
    <row r="119" spans="1:6" ht="24">
      <c r="A119" s="3117">
        <v>47</v>
      </c>
      <c r="B119" s="3802"/>
      <c r="C119" s="3117" t="s">
        <v>2749</v>
      </c>
      <c r="D119" s="3091" t="s">
        <v>2750</v>
      </c>
      <c r="E119" s="3117">
        <v>0.1</v>
      </c>
      <c r="F119" s="3117">
        <v>15</v>
      </c>
    </row>
    <row r="120" spans="1:6" ht="13.5">
      <c r="A120" s="3117">
        <v>48</v>
      </c>
      <c r="B120" s="3798" t="s">
        <v>2751</v>
      </c>
      <c r="C120" s="3117" t="s">
        <v>2752</v>
      </c>
      <c r="D120" s="3091" t="s">
        <v>2753</v>
      </c>
      <c r="E120" s="3117">
        <v>0.1</v>
      </c>
      <c r="F120" s="3117">
        <v>15</v>
      </c>
    </row>
    <row r="121" spans="1:6" ht="13.5">
      <c r="A121" s="3117">
        <v>49</v>
      </c>
      <c r="B121" s="3802"/>
      <c r="C121" s="3117" t="s">
        <v>2754</v>
      </c>
      <c r="D121" s="3091" t="s">
        <v>2755</v>
      </c>
      <c r="E121" s="3117">
        <v>0.1</v>
      </c>
      <c r="F121" s="3117">
        <v>15</v>
      </c>
    </row>
    <row r="122" spans="1:6" ht="24">
      <c r="A122" s="3117">
        <v>50</v>
      </c>
      <c r="B122" s="3803" t="s">
        <v>2756</v>
      </c>
      <c r="C122" s="3117" t="s">
        <v>2757</v>
      </c>
      <c r="D122" s="3091" t="s">
        <v>2758</v>
      </c>
      <c r="E122" s="3117">
        <v>0.1</v>
      </c>
      <c r="F122" s="3117">
        <v>15</v>
      </c>
    </row>
    <row r="123" spans="1:6" ht="24">
      <c r="A123" s="3117">
        <v>51</v>
      </c>
      <c r="B123" s="3803"/>
      <c r="C123" s="3117" t="s">
        <v>2759</v>
      </c>
      <c r="D123" s="3091" t="s">
        <v>2760</v>
      </c>
      <c r="E123" s="3117">
        <v>0.1</v>
      </c>
      <c r="F123" s="3117">
        <v>15</v>
      </c>
    </row>
    <row r="124" spans="1:6" ht="24">
      <c r="A124" s="3117">
        <v>52</v>
      </c>
      <c r="B124" s="3803" t="s">
        <v>2761</v>
      </c>
      <c r="C124" s="3117" t="s">
        <v>2762</v>
      </c>
      <c r="D124" s="3091" t="s">
        <v>2763</v>
      </c>
      <c r="E124" s="3117">
        <v>0.1</v>
      </c>
      <c r="F124" s="3117">
        <v>15</v>
      </c>
    </row>
    <row r="125" spans="1:6" ht="24">
      <c r="A125" s="3117">
        <v>53</v>
      </c>
      <c r="B125" s="380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03" t="s">
        <v>2769</v>
      </c>
      <c r="C127" s="3117" t="s">
        <v>2770</v>
      </c>
      <c r="D127" s="3091" t="s">
        <v>2771</v>
      </c>
      <c r="E127" s="3117">
        <v>0.1</v>
      </c>
      <c r="F127" s="3117">
        <v>15</v>
      </c>
    </row>
    <row r="128" spans="1:6" ht="13.5">
      <c r="A128" s="3117">
        <v>56</v>
      </c>
      <c r="B128" s="3803"/>
      <c r="C128" s="3117" t="s">
        <v>2772</v>
      </c>
      <c r="D128" s="3091" t="s">
        <v>2773</v>
      </c>
      <c r="E128" s="3117">
        <v>0.1</v>
      </c>
      <c r="F128" s="3117">
        <v>15</v>
      </c>
    </row>
    <row r="129" spans="1:6" ht="24">
      <c r="A129" s="3117">
        <v>57</v>
      </c>
      <c r="B129" s="3803"/>
      <c r="C129" s="3117" t="s">
        <v>2774</v>
      </c>
      <c r="D129" s="3091" t="s">
        <v>2775</v>
      </c>
      <c r="E129" s="3117">
        <v>0.1</v>
      </c>
      <c r="F129" s="3117">
        <v>15</v>
      </c>
    </row>
    <row r="130" spans="1:6" ht="24">
      <c r="A130" s="3117">
        <v>58</v>
      </c>
      <c r="B130" s="3803" t="s">
        <v>2776</v>
      </c>
      <c r="C130" s="3117" t="s">
        <v>2777</v>
      </c>
      <c r="D130" s="3091" t="s">
        <v>2778</v>
      </c>
      <c r="E130" s="3117">
        <v>0.1</v>
      </c>
      <c r="F130" s="3117">
        <v>15</v>
      </c>
    </row>
    <row r="131" spans="1:6" ht="13.5">
      <c r="A131" s="3117">
        <v>59</v>
      </c>
      <c r="B131" s="3803"/>
      <c r="C131" s="3117" t="s">
        <v>2779</v>
      </c>
      <c r="D131" s="3091" t="s">
        <v>2780</v>
      </c>
      <c r="E131" s="3117">
        <v>0.1</v>
      </c>
      <c r="F131" s="3117">
        <v>15</v>
      </c>
    </row>
    <row r="132" spans="1:6" ht="13.5">
      <c r="A132" s="3117">
        <v>60</v>
      </c>
      <c r="B132" s="3798" t="s">
        <v>2781</v>
      </c>
      <c r="C132" s="3117" t="s">
        <v>2782</v>
      </c>
      <c r="D132" s="3091" t="s">
        <v>2783</v>
      </c>
      <c r="E132" s="3117">
        <v>0.1</v>
      </c>
      <c r="F132" s="3117">
        <v>15</v>
      </c>
    </row>
    <row r="133" spans="1:6" ht="13.5">
      <c r="A133" s="3117">
        <v>61</v>
      </c>
      <c r="B133" s="380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03" t="s">
        <v>2789</v>
      </c>
      <c r="C135" s="3117" t="s">
        <v>2790</v>
      </c>
      <c r="D135" s="3091" t="s">
        <v>2791</v>
      </c>
      <c r="E135" s="3117">
        <v>0.1</v>
      </c>
      <c r="F135" s="3117">
        <v>15</v>
      </c>
    </row>
    <row r="136" spans="1:6" ht="13.5">
      <c r="A136" s="3117">
        <v>64</v>
      </c>
      <c r="B136" s="380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0.87890000000000001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0.83599999999999997</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9243</v>
      </c>
      <c r="E5" s="1491"/>
    </row>
    <row r="6" spans="1:5" ht="15.75">
      <c r="A6" s="1491"/>
      <c r="B6" s="3486"/>
      <c r="C6" s="1494" t="s">
        <v>911</v>
      </c>
      <c r="D6" s="850" t="str">
        <f ca="1">NUMBERSTRING(INT(D5*10000),2)&amp;"元整"</f>
        <v>玖仟贰佰肆拾叁万元整</v>
      </c>
      <c r="E6" s="1491"/>
    </row>
    <row r="7" spans="1:5" ht="15.75">
      <c r="A7" s="1491"/>
      <c r="B7" s="3491"/>
      <c r="C7" s="1495" t="s">
        <v>912</v>
      </c>
      <c r="D7" s="851">
        <f ca="1">结果表!H102</f>
        <v>21434</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9243</v>
      </c>
      <c r="E13" s="1491"/>
    </row>
    <row r="14" spans="1:5" ht="15.75">
      <c r="A14" s="1491"/>
      <c r="B14" s="3486"/>
      <c r="C14" s="1494" t="s">
        <v>911</v>
      </c>
      <c r="D14" s="850" t="str">
        <f ca="1">NUMBERSTRING(INT(D13*10000),2)&amp;"元整"</f>
        <v>玖仟贰佰肆拾叁万元整</v>
      </c>
      <c r="E14" s="1491"/>
    </row>
    <row r="15" spans="1:5" ht="15">
      <c r="A15" s="1491"/>
      <c r="B15" s="3491"/>
      <c r="C15" s="1495" t="s">
        <v>921</v>
      </c>
      <c r="D15" s="859">
        <f ca="1">结果表!H108</f>
        <v>21434</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30042</v>
      </c>
      <c r="C2" s="2" t="s">
        <v>106</v>
      </c>
      <c r="D2" s="199"/>
      <c r="E2" s="199"/>
      <c r="F2" s="199"/>
      <c r="G2" s="199"/>
    </row>
    <row r="3" spans="1:7" s="200" customFormat="1" ht="18" customHeight="1" thickBot="1">
      <c r="A3" s="203" t="s">
        <v>58</v>
      </c>
      <c r="B3" s="204">
        <f ca="1">ROUND(B2*10000/'数据-汇总表'!E3,0)</f>
        <v>69663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86</v>
      </c>
      <c r="D10" s="845">
        <f>'数据-汇总表'!E6</f>
        <v>4312.4800000000005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86</v>
      </c>
      <c r="D19" s="849">
        <f>'数据-汇总表'!E3</f>
        <v>4312.4800000000005</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3198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1941</v>
      </c>
      <c r="D34" s="217"/>
      <c r="E34" s="220"/>
      <c r="F34" s="257">
        <f>IF('数据-取费表'!B24=0,1,'数据-取费表'!N16)</f>
        <v>1</v>
      </c>
      <c r="G34" s="219" t="s">
        <v>89</v>
      </c>
    </row>
    <row r="35" spans="1:7" ht="13.5" customHeight="1">
      <c r="A35" s="780" t="s">
        <v>351</v>
      </c>
      <c r="B35" s="215" t="s">
        <v>33</v>
      </c>
      <c r="C35" s="220">
        <f>ROUND(C34*F35,0)</f>
        <v>97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86</v>
      </c>
      <c r="D37" s="217">
        <f>'数据-汇总表'!E3</f>
        <v>4312.4800000000005</v>
      </c>
      <c r="E37" s="249">
        <f>'数据-取费表'!B35</f>
        <v>200</v>
      </c>
      <c r="F37" s="259"/>
      <c r="G37" s="261" t="s">
        <v>92</v>
      </c>
    </row>
    <row r="38" spans="1:7" ht="13.5" customHeight="1">
      <c r="A38" s="780" t="s">
        <v>354</v>
      </c>
      <c r="B38" s="215" t="s">
        <v>36</v>
      </c>
      <c r="C38" s="220">
        <f>ROUND(C34*F38,0)</f>
        <v>39</v>
      </c>
      <c r="D38" s="220"/>
      <c r="E38" s="220"/>
      <c r="F38" s="259">
        <f>'数据-取费表'!B36</f>
        <v>0.02</v>
      </c>
      <c r="G38" s="219" t="s">
        <v>90</v>
      </c>
    </row>
    <row r="39" spans="1:7" s="214" customFormat="1" ht="13.5" customHeight="1">
      <c r="A39" s="777" t="s">
        <v>338</v>
      </c>
      <c r="B39" s="210" t="s">
        <v>77</v>
      </c>
      <c r="C39" s="232">
        <f>ROUND(C33*F20,0)</f>
        <v>65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67</v>
      </c>
      <c r="D42" s="238"/>
      <c r="E42" s="238"/>
      <c r="F42" s="239"/>
      <c r="G42" s="3667" t="s">
        <v>94</v>
      </c>
    </row>
    <row r="43" spans="1:7" ht="13.5" customHeight="1">
      <c r="A43" s="780" t="s">
        <v>347</v>
      </c>
      <c r="B43" s="215" t="s">
        <v>426</v>
      </c>
      <c r="C43" s="238">
        <f ca="1">ROUND(IF('数据-取费表'!B22&lt;=1,C39*F22*'数据-取费表'!B21/2,C39*(POWER((1+F22),'数据-取费表'!B21/2)-1)),0)</f>
        <v>2</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334</v>
      </c>
      <c r="D45" s="235">
        <f>C47</f>
        <v>3.0000000000000001E-3</v>
      </c>
      <c r="E45" s="236" t="s">
        <v>102</v>
      </c>
      <c r="F45" s="246"/>
      <c r="G45" s="247" t="s">
        <v>434</v>
      </c>
    </row>
    <row r="46" spans="1:7" s="214" customFormat="1" ht="13.5" customHeight="1">
      <c r="A46" s="780" t="s">
        <v>349</v>
      </c>
      <c r="B46" s="248" t="s">
        <v>427</v>
      </c>
      <c r="C46" s="249">
        <f>ROUND((C33+C39)*F27,0)</f>
        <v>334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2850</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2052</v>
      </c>
      <c r="D51" s="232"/>
      <c r="E51" s="232"/>
      <c r="F51" s="264"/>
      <c r="G51" s="234" t="s">
        <v>37</v>
      </c>
    </row>
    <row r="52" spans="1:7" s="208" customFormat="1" ht="16.5" thickBot="1">
      <c r="A52" s="265" t="s">
        <v>38</v>
      </c>
      <c r="B52" s="266"/>
      <c r="C52" s="267">
        <f ca="1">C31+C51</f>
        <v>30042</v>
      </c>
      <c r="D52" s="266"/>
      <c r="E52" s="266"/>
      <c r="F52" s="266"/>
      <c r="G52" s="268"/>
    </row>
    <row r="55" spans="1:7" ht="15">
      <c r="B55" s="270" t="s">
        <v>39</v>
      </c>
      <c r="C55" s="271"/>
    </row>
    <row r="56" spans="1:7">
      <c r="B56" s="273" t="s">
        <v>40</v>
      </c>
      <c r="C56" s="274">
        <f ca="1">ROUND(C51/C52,3)</f>
        <v>6.8000000000000005E-2</v>
      </c>
    </row>
    <row r="57" spans="1:7">
      <c r="B57" s="273" t="s">
        <v>41</v>
      </c>
      <c r="C57" s="275">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45756</v>
      </c>
      <c r="B1" s="3209" t="s">
        <v>3377</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3404</v>
      </c>
      <c r="AG2" t="s">
        <v>673</v>
      </c>
      <c r="AH2" t="s">
        <v>21</v>
      </c>
      <c r="AI2" t="s">
        <v>3405</v>
      </c>
      <c r="AJ2" t="s">
        <v>3</v>
      </c>
      <c r="AK2" t="s">
        <v>3406</v>
      </c>
      <c r="AM2" t="s">
        <v>3404</v>
      </c>
      <c r="AN2" t="s">
        <v>673</v>
      </c>
      <c r="AO2" t="s">
        <v>21</v>
      </c>
      <c r="AP2" t="s">
        <v>3405</v>
      </c>
      <c r="AQ2" t="s">
        <v>3</v>
      </c>
      <c r="AR2" t="s">
        <v>3406</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3403</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3402</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3401</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3409</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3408</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3381</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3375</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3374</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3370</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3369</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3367</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3366</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3365</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3363</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3354</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3380</v>
      </c>
    </row>
    <row r="27" spans="1:44" s="3008" customFormat="1">
      <c r="I27" s="3207" t="s">
        <v>2825</v>
      </c>
    </row>
    <row r="28" spans="1:44" s="3008" customFormat="1"/>
    <row r="29" spans="1:44" s="3208" customFormat="1" ht="12.75">
      <c r="B29" s="3209" t="s">
        <v>3378</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3405</v>
      </c>
      <c r="AJ30"/>
      <c r="AK30" t="s">
        <v>3406</v>
      </c>
      <c r="AN30" t="s">
        <v>673</v>
      </c>
      <c r="AO30" t="s">
        <v>21</v>
      </c>
      <c r="AP30" t="s">
        <v>3405</v>
      </c>
      <c r="AQ30"/>
      <c r="AR30" t="s">
        <v>3406</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3403</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3402</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3410</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3407</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3408</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3372</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3376</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3373</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3371</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3369</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3368</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3366</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3365</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3364</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3354</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45756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2309</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
  <sheetViews>
    <sheetView workbookViewId="0">
      <selection activeCell="A74" sqref="A74"/>
    </sheetView>
  </sheetViews>
  <sheetFormatPr defaultRowHeight="13.5"/>
  <sheetData>
    <row r="7" spans="4:4">
      <c r="D7" s="3474"/>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Q17"/>
  <sheetViews>
    <sheetView workbookViewId="0">
      <selection activeCell="Q20" sqref="Q20"/>
    </sheetView>
  </sheetViews>
  <sheetFormatPr defaultRowHeight="13.5"/>
  <cols>
    <col min="1" max="13" width="9" style="3253"/>
    <col min="14" max="14" width="12.125" style="3253" customWidth="1"/>
    <col min="15" max="16384" width="9" style="3253"/>
  </cols>
  <sheetData>
    <row r="4" spans="14:17">
      <c r="N4" s="3825" t="s">
        <v>3510</v>
      </c>
    </row>
    <row r="5" spans="14:17">
      <c r="N5" s="3825"/>
    </row>
    <row r="6" spans="14:17">
      <c r="O6" s="3825" t="s">
        <v>3512</v>
      </c>
      <c r="P6" s="3825" t="s">
        <v>3513</v>
      </c>
      <c r="Q6" s="3825" t="s">
        <v>3514</v>
      </c>
    </row>
    <row r="7" spans="14:17">
      <c r="N7" s="3826" t="s">
        <v>3511</v>
      </c>
      <c r="O7" s="3253">
        <v>38</v>
      </c>
      <c r="P7" s="3253">
        <v>5500</v>
      </c>
      <c r="Q7" s="3253">
        <f>P7*12/O7/365</f>
        <v>4.7584715212689259</v>
      </c>
    </row>
    <row r="8" spans="14:17">
      <c r="N8" s="3826"/>
      <c r="O8" s="3253">
        <v>110</v>
      </c>
      <c r="P8" s="3253">
        <v>16000</v>
      </c>
      <c r="Q8" s="3253">
        <f>P8*12/O8/365</f>
        <v>4.7820672478206729</v>
      </c>
    </row>
    <row r="9" spans="14:17">
      <c r="N9" s="3826" t="s">
        <v>3515</v>
      </c>
      <c r="O9" s="3253">
        <v>43</v>
      </c>
      <c r="P9" s="3253">
        <v>5700</v>
      </c>
      <c r="Q9" s="3253">
        <f t="shared" ref="Q9:Q17" si="0">P9*12/O9/365</f>
        <v>4.3580758203249443</v>
      </c>
    </row>
    <row r="10" spans="14:17">
      <c r="N10" s="3826"/>
      <c r="O10" s="3253">
        <v>50</v>
      </c>
      <c r="P10" s="3253">
        <v>5600</v>
      </c>
      <c r="Q10" s="3253">
        <f t="shared" si="0"/>
        <v>3.6821917808219178</v>
      </c>
    </row>
    <row r="11" spans="14:17">
      <c r="N11" s="3826"/>
      <c r="O11" s="3253">
        <v>50</v>
      </c>
      <c r="P11" s="3253">
        <v>6000</v>
      </c>
      <c r="Q11" s="3253">
        <f t="shared" si="0"/>
        <v>3.9452054794520546</v>
      </c>
    </row>
    <row r="12" spans="14:17">
      <c r="N12" s="3826" t="s">
        <v>3516</v>
      </c>
      <c r="O12" s="3253">
        <v>70</v>
      </c>
      <c r="P12" s="3253">
        <v>8500</v>
      </c>
      <c r="Q12" s="3253">
        <f t="shared" si="0"/>
        <v>3.9921722113502933</v>
      </c>
    </row>
    <row r="13" spans="14:17">
      <c r="N13" s="3826"/>
      <c r="O13" s="3253">
        <v>63.5</v>
      </c>
      <c r="P13" s="3253">
        <v>6800</v>
      </c>
      <c r="Q13" s="3253">
        <f t="shared" si="0"/>
        <v>3.5206558084349044</v>
      </c>
    </row>
    <row r="14" spans="14:17">
      <c r="N14" s="3826"/>
      <c r="O14" s="3253">
        <v>130</v>
      </c>
      <c r="P14" s="3253">
        <v>17000</v>
      </c>
      <c r="Q14" s="3253">
        <f t="shared" si="0"/>
        <v>4.2992623814541622</v>
      </c>
    </row>
    <row r="15" spans="14:17">
      <c r="N15" s="3827" t="s">
        <v>3517</v>
      </c>
      <c r="O15" s="3253">
        <v>35</v>
      </c>
      <c r="P15" s="3253">
        <v>3600</v>
      </c>
      <c r="Q15" s="3253">
        <f t="shared" si="0"/>
        <v>3.3816046966731896</v>
      </c>
    </row>
    <row r="16" spans="14:17">
      <c r="N16" s="3827"/>
      <c r="O16" s="3253">
        <v>25</v>
      </c>
      <c r="P16" s="3253">
        <v>3600</v>
      </c>
      <c r="Q16" s="3253">
        <f t="shared" si="0"/>
        <v>4.7342465753424658</v>
      </c>
    </row>
    <row r="17" spans="14:17">
      <c r="N17" s="3827"/>
      <c r="O17" s="3253">
        <v>28</v>
      </c>
      <c r="P17" s="3253">
        <v>3600</v>
      </c>
      <c r="Q17" s="3253">
        <f t="shared" si="0"/>
        <v>4.227005870841487</v>
      </c>
    </row>
  </sheetData>
  <mergeCells count="4">
    <mergeCell ref="N7:N8"/>
    <mergeCell ref="N9:N11"/>
    <mergeCell ref="N12:N14"/>
    <mergeCell ref="N15:N17"/>
  </mergeCells>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7" workbookViewId="0">
      <selection activeCell="G177" sqref="G17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30">
      <c r="A4" s="1505" t="str">
        <f>项目基本情况!S2</f>
        <v>北京市朝阳区安慧东里16号楼-1至4层综合用房房地产</v>
      </c>
      <c r="B4" s="854">
        <f>项目基本情况!C17</f>
        <v>4312.4800000000005</v>
      </c>
      <c r="C4" s="854">
        <f>项目基本情况!C18</f>
        <v>588.41999999999996</v>
      </c>
      <c r="D4" s="854" t="e">
        <f ca="1">结果表!D118</f>
        <v>#N/A</v>
      </c>
      <c r="E4" s="854" t="e">
        <f ca="1">结果表!E118</f>
        <v>#N/A</v>
      </c>
      <c r="F4" s="854" t="e">
        <f ca="1">结果表!F118</f>
        <v>#N/A</v>
      </c>
      <c r="G4" s="854" t="e">
        <f ca="1">结果表!G118</f>
        <v>#N/A</v>
      </c>
      <c r="H4" s="854">
        <f ca="1">结果表!H118</f>
        <v>9243</v>
      </c>
      <c r="I4" s="854">
        <f ca="1">结果表!I118</f>
        <v>21434</v>
      </c>
    </row>
    <row r="5" spans="1:9" ht="30" customHeight="1">
      <c r="A5" s="3497" t="s">
        <v>927</v>
      </c>
      <c r="B5" s="3497"/>
      <c r="C5" s="3497"/>
      <c r="D5" s="3497" t="e">
        <f ca="1">结果表!D119</f>
        <v>#N/A</v>
      </c>
      <c r="E5" s="3497"/>
      <c r="F5" s="3497" t="e">
        <f ca="1">结果表!F119</f>
        <v>#N/A</v>
      </c>
      <c r="G5" s="3497"/>
      <c r="H5" s="3497" t="str">
        <f ca="1">结果表!H119</f>
        <v>玖仟贰佰肆拾叁万元整</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f ca="1">结果表!D122</f>
        <v>9243</v>
      </c>
      <c r="E8" s="3498"/>
      <c r="F8" s="3498"/>
      <c r="G8" s="3498"/>
      <c r="H8" s="3498"/>
      <c r="I8" s="3498"/>
    </row>
    <row r="9" spans="1:9" ht="15">
      <c r="A9" s="3497" t="s">
        <v>927</v>
      </c>
      <c r="B9" s="3497"/>
      <c r="C9" s="3497"/>
      <c r="D9" s="3497" t="str">
        <f ca="1">结果表!D123</f>
        <v>玖仟贰佰肆拾叁万元整</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比较法-办公租金</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公寓</vt:lpstr>
      <vt:lpstr>办公</vt:lpstr>
      <vt:lpstr>仓储</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2025-04-09T05:32:05Z</dcterms:modified>
</cp:coreProperties>
</file>