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1630" windowHeight="4920" tabRatio="875" firstSheet="14"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r:id="rId29"/>
    <sheet name="不动产收益法" sheetId="15" state="hidden" r:id="rId30"/>
    <sheet name="酒店收入计算" sheetId="57" state="hidden" r:id="rId31"/>
    <sheet name="成本逼近法" sheetId="11" r:id="rId32"/>
    <sheet name="搬迁费" sheetId="70" r:id="rId33"/>
    <sheet name="建筑物价格" sheetId="71" r:id="rId34"/>
    <sheet name="停产停业损失补偿" sheetId="72"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附属物-墙地泉" sheetId="75" r:id="rId44"/>
    <sheet name="树木" sheetId="74" r:id="rId45"/>
    <sheet name="案例" sheetId="68" r:id="rId46"/>
    <sheet name="租金" sheetId="73" r:id="rId47"/>
    <sheet name="Sheet1" sheetId="76" r:id="rId48"/>
  </sheets>
  <externalReferences>
    <externalReference r:id="rId49"/>
    <externalReference r:id="rId50"/>
    <externalReference r:id="rId51"/>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a" localSheetId="43">'[1]不动产比较法-办公'!$B$115:$M$115</definedName>
    <definedName name="a">'[2]不动产比较法-办公'!$B$115:$M$115</definedName>
    <definedName name="八级">区片价!$P$1:$P$40</definedName>
    <definedName name="办公层高" localSheetId="43">'[3]不动产比较法-办公'!$B$119:$M$119</definedName>
    <definedName name="办公层高">'不动产比较法-办公'!$B$119:$M$119</definedName>
    <definedName name="办公朝向" localSheetId="43">'[3]不动产比较法-办公'!$B$91:$M$91</definedName>
    <definedName name="办公朝向">'不动产比较法-办公'!$B$91:$M$91</definedName>
    <definedName name="办公道路级别" localSheetId="43">'[3]不动产比较法-办公'!$B$87:$M$87</definedName>
    <definedName name="办公道路级别">'不动产比较法-办公'!$B$87:$M$87</definedName>
    <definedName name="办公公共部分装修" localSheetId="43">'[3]不动产比较法-办公'!$B$108:$M$108</definedName>
    <definedName name="办公公共部分装修">'不动产比较法-办公'!$B$108:$M$108</definedName>
    <definedName name="办公基础设施水平" localSheetId="43">'[3]不动产比较法-办公'!$B$117:$M$117</definedName>
    <definedName name="办公基础设施水平">'不动产比较法-办公'!$B$117:$M$117</definedName>
    <definedName name="办公集聚程度" localSheetId="43">[3]定义!$M$1:$M$6</definedName>
    <definedName name="办公集聚程度">定义!$M$1:$M$6</definedName>
    <definedName name="办公建筑结构" localSheetId="43">'[3]不动产比较法-办公'!$B$106:$M$106</definedName>
    <definedName name="办公建筑结构">'不动产比较法-办公'!$B$106:$M$106</definedName>
    <definedName name="办公建筑类型" localSheetId="43">'[3]不动产比较法-办公'!$B$101:$M$101</definedName>
    <definedName name="办公建筑类型">'不动产比较法-办公'!$B$101:$M$101</definedName>
    <definedName name="办公交易情况" localSheetId="43">'[3]不动产比较法-办公'!$A$62:$M$62</definedName>
    <definedName name="办公交易情况">'不动产比较法-办公'!$A$62:$M$62</definedName>
    <definedName name="办公楼层" localSheetId="43">'[3]不动产比较法-办公'!$B$89:$M$89</definedName>
    <definedName name="办公楼层">'不动产比较法-办公'!$B$89:$M$89</definedName>
    <definedName name="办公内部装修" localSheetId="43">'[3]不动产比较法-办公'!$B$123:$M$123</definedName>
    <definedName name="办公内部装修">'不动产比较法-办公'!$B$123:$M$123</definedName>
    <definedName name="办公物业管理" localSheetId="43">'[3]不动产比较法-办公'!$B$115:$M$115</definedName>
    <definedName name="办公物业管理">'不动产比较法-办公'!$B$115:$M$115</definedName>
    <definedName name="办公用途" localSheetId="43">'[3]不动产比较法-办公'!$B$64:$M$64</definedName>
    <definedName name="办公用途">'不动产比较法-办公'!$B$64:$M$64</definedName>
    <definedName name="仓储公共部分装修" localSheetId="43">'[3]不动产比较法-仓储'!$B$77:$M$77</definedName>
    <definedName name="仓储公共部分装修">'不动产比较法-仓储'!$B$77:$M$77</definedName>
    <definedName name="仓储交易情况" localSheetId="43">'[3]不动产比较法-仓储'!$A$49:$M$49</definedName>
    <definedName name="仓储交易情况">'不动产比较法-仓储'!$A$49:$M$49</definedName>
    <definedName name="仓储楼层" localSheetId="43">'[3]不动产比较法-仓储'!$B$69:$M$69</definedName>
    <definedName name="仓储楼层">'不动产比较法-仓储'!$B$69:$M$69</definedName>
    <definedName name="仓储物业等级" localSheetId="43">'[3]不动产比较法-仓储'!$B$82:$M$82</definedName>
    <definedName name="仓储物业等级">'不动产比较法-仓储'!$B$82:$M$82</definedName>
    <definedName name="仓储用途" localSheetId="43">'[3]不动产比较法-仓储'!$B$51:$M$51</definedName>
    <definedName name="仓储用途">'不动产比较法-仓储'!$B$51:$M$51</definedName>
    <definedName name="产业集聚程度" localSheetId="43">[3]定义!$N$1:$N$6</definedName>
    <definedName name="产业集聚程度">定义!$N$1:$N$6</definedName>
    <definedName name="车位公共部分装修" localSheetId="43">'[3]不动产比较法-车位'!$B$83:$M$83</definedName>
    <definedName name="车位公共部分装修">'不动产比较法-车位'!$B$83:$M$83</definedName>
    <definedName name="车位交易情况" localSheetId="43">'[3]不动产比较法-车位'!$A$51:$M$51</definedName>
    <definedName name="车位交易情况">'不动产比较法-车位'!$A$51:$M$51</definedName>
    <definedName name="车位类型" localSheetId="43">'[3]不动产比较法-车位'!$B$93:$M$93</definedName>
    <definedName name="车位类型">'不动产比较法-车位'!$B$93:$M$93</definedName>
    <definedName name="车位楼层" localSheetId="43">'[3]不动产比较法-车位'!$B$71:$M$71</definedName>
    <definedName name="车位楼层">'不动产比较法-车位'!$B$71:$M$71</definedName>
    <definedName name="车位配套类型" localSheetId="43">'[3]不动产比较法-车位'!$B$79:$M$79</definedName>
    <definedName name="车位配套类型">'不动产比较法-车位'!$B$79:$M$79</definedName>
    <definedName name="车位物业等级" localSheetId="43">'[3]不动产比较法-车位'!$B$88:$M$88</definedName>
    <definedName name="车位物业等级">'不动产比较法-车位'!$B$88:$M$88</definedName>
    <definedName name="车位用途" localSheetId="43">'[3]不动产比较法-车位'!$B$53:$M$53</definedName>
    <definedName name="车位用途">'不动产比较法-车位'!$B$53:$M$53</definedName>
    <definedName name="城镇土地纳税等级分级范围" localSheetId="43">'[3]数据-取费表'!$A$53:$A$63</definedName>
    <definedName name="城镇土地纳税等级分级范围">'数据-取费表'!$A$53:$A$63</definedName>
    <definedName name="单价内涵" localSheetId="43">[3]定义!$V$1:$V$3</definedName>
    <definedName name="单价内涵">定义!$V$1:$V$3</definedName>
    <definedName name="地类判定" localSheetId="43">[3]定义!$H$1:$H$9</definedName>
    <definedName name="地类判定">定义!$H$1:$H$9</definedName>
    <definedName name="二级">区片价!$J$1:$J$20</definedName>
    <definedName name="二级分类" localSheetId="43">[3]修正!$C$17:$C$39</definedName>
    <definedName name="二级分类">修正!$C$17:$C$39</definedName>
    <definedName name="法定最高年限" localSheetId="43">[3]定义!$G$2:$G$4</definedName>
    <definedName name="法定最高年限">定义!$G$2:$G$4</definedName>
    <definedName name="工业公共部分装修" localSheetId="43">'[3]不动产比较法-工业'!$B$95:$M$95</definedName>
    <definedName name="工业公共部分装修">'不动产比较法-工业'!$B$95:$M$95</definedName>
    <definedName name="工业基础设施水平" localSheetId="43">'[3]不动产比较法-工业'!$B$102:$M$102</definedName>
    <definedName name="工业基础设施水平">'不动产比较法-工业'!$B$102:$M$102</definedName>
    <definedName name="工业建筑结构" localSheetId="43">'[3]不动产比较法-工业'!$B$93:$M$93</definedName>
    <definedName name="工业建筑结构">'不动产比较法-工业'!$B$93:$M$93</definedName>
    <definedName name="工业建筑类型" localSheetId="43">'[3]不动产比较法-工业'!$B$88:$M$88</definedName>
    <definedName name="工业建筑类型">'不动产比较法-工业'!$B$88:$M$88</definedName>
    <definedName name="工业交易情况" localSheetId="43">'[3]不动产比较法-工业'!$A$55:$M$55</definedName>
    <definedName name="工业交易情况">'不动产比较法-工业'!$A$55:$M$55</definedName>
    <definedName name="工业内部装修" localSheetId="43">'[3]不动产比较法-工业'!$B$104:$M$104</definedName>
    <definedName name="工业内部装修">'不动产比较法-工业'!$B$104:$M$104</definedName>
    <definedName name="工业物业管理" localSheetId="43">'[3]不动产比较法-工业'!$B$100:$M$100</definedName>
    <definedName name="工业物业管理">'不动产比较法-工业'!$B$100:$M$100</definedName>
    <definedName name="工业用途" localSheetId="43">'[3]不动产比较法-工业'!$B$57:$M$57</definedName>
    <definedName name="工业用途">'不动产比较法-工业'!$B$57:$M$57</definedName>
    <definedName name="公共配套设施" localSheetId="43">[3]定义!$Q$1:$Q$6</definedName>
    <definedName name="公共配套设施">定义!$Q$1:$Q$6</definedName>
    <definedName name="公用设施及基础设施水平" localSheetId="43">[1]定义!$Q$1:$Q$6</definedName>
    <definedName name="公用设施及基础设施水平">[2]定义!$Q$1:$Q$6</definedName>
    <definedName name="估价方法" localSheetId="43">[3]定义!$B$1:$B$50</definedName>
    <definedName name="估价方法">定义!$B$1:$B$50</definedName>
    <definedName name="环境" localSheetId="43">[3]定义!$S$1:$S$6</definedName>
    <definedName name="环境">定义!$S$1:$S$6</definedName>
    <definedName name="基础设施水平" localSheetId="43">[3]定义!$R$1:$R$6</definedName>
    <definedName name="基础设施水平">定义!$R$1:$R$6</definedName>
    <definedName name="季度">基准地价!$N$19:$AG$19</definedName>
    <definedName name="季度2014">地价!$A$2:$A$24</definedName>
    <definedName name="价值类型2" localSheetId="43">[3]定义!$B$54:$B$56</definedName>
    <definedName name="价值类型2">定义!$B$54:$B$56</definedName>
    <definedName name="交通便捷度" localSheetId="43">[3]定义!$O$1:$O$6</definedName>
    <definedName name="交通便捷度">定义!$O$1:$O$6</definedName>
    <definedName name="九级">区片价!$Q$1:$Q$46</definedName>
    <definedName name="居住社区成熟度" localSheetId="43">[3]定义!$K$1:$K$6</definedName>
    <definedName name="居住社区成熟度">定义!$K$1:$K$6</definedName>
    <definedName name="类别" localSheetId="43">[3]定义!$J$1:$J$3</definedName>
    <definedName name="类别">定义!$J$1:$J$3</definedName>
    <definedName name="临街状况" localSheetId="43">[3]定义!$T$1:$T$5</definedName>
    <definedName name="临街状况">定义!$T$1:$T$5</definedName>
    <definedName name="六级">区片价!$N$1:$N$49</definedName>
    <definedName name="内部装修维护情况" localSheetId="43">[3]定义!$U$1:$U$6</definedName>
    <definedName name="内部装修维护情况">定义!$U$1:$U$6</definedName>
    <definedName name="判定" localSheetId="43">[3]定义!$D$1:$D$4</definedName>
    <definedName name="判定">定义!$D$1:$D$4</definedName>
    <definedName name="七级">区片价!$O$1:$O$49</definedName>
    <definedName name="七通一平" localSheetId="43">[3]修正!$A$6:$A$14</definedName>
    <definedName name="七通一平">修正!$A$6:$A$14</definedName>
    <definedName name="区域土地利用方向" localSheetId="43">[3]定义!$P$1:$P$6</definedName>
    <definedName name="区域土地利用方向">定义!$P$1:$P$6</definedName>
    <definedName name="三级">区片价!$K$1:$K$21</definedName>
    <definedName name="商业层高" localSheetId="43">'[3]不动产比较法-商业'!$B$116:$M$116</definedName>
    <definedName name="商业层高">'不动产比较法-商业'!$B$116:$M$116</definedName>
    <definedName name="商业成新度">'不动产比较法-商业'!$B$109:$M$109</definedName>
    <definedName name="商业繁华度" localSheetId="43">[3]定义!$L$1:$L$6</definedName>
    <definedName name="商业繁华度">定义!$L$1:$L$6</definedName>
    <definedName name="商业公共部分装修" localSheetId="43">'[3]不动产比较法-商业'!$B$107:$M$107</definedName>
    <definedName name="商业公共部分装修">'不动产比较法-商业'!$B$107:$M$107</definedName>
    <definedName name="商业基础设施水平" localSheetId="43">'[3]不动产比较法-商业'!$B$112:$M$112</definedName>
    <definedName name="商业基础设施水平">'不动产比较法-商业'!$B$112:$M$112</definedName>
    <definedName name="商业建筑结构" localSheetId="43">'[3]不动产比较法-商业'!$B$105:$M$105</definedName>
    <definedName name="商业建筑结构">'不动产比较法-商业'!$B$105:$M$105</definedName>
    <definedName name="商业交易情况" localSheetId="43">'[3]不动产比较法-商业'!$A$61:$M$61</definedName>
    <definedName name="商业交易情况">'不动产比较法-商业'!$A$61:$M$61</definedName>
    <definedName name="商业街名称" localSheetId="43">[3]修正!$C$59:$C$119</definedName>
    <definedName name="商业街名称">修正!$C$59:$C$119</definedName>
    <definedName name="商业进深比" localSheetId="43">'[3]不动产比较法-商业'!$B$120:$M$120</definedName>
    <definedName name="商业进深比">'不动产比较法-商业'!$B$120:$M$120</definedName>
    <definedName name="商业类型" localSheetId="43">'[3]不动产比较法-商业'!$B$100:$M$100</definedName>
    <definedName name="商业类型">'不动产比较法-商业'!$B$100:$M$100</definedName>
    <definedName name="商业临街状况" localSheetId="43">'[3]不动产比较法-商业'!$B$86:$M$86</definedName>
    <definedName name="商业临街状况">'不动产比较法-商业'!$B$86:$M$86</definedName>
    <definedName name="商业楼层" localSheetId="43">'[3]不动产比较法-商业'!$B$92:$M$92</definedName>
    <definedName name="商业楼层">'不动产比较法-商业'!$B$92:$M$92</definedName>
    <definedName name="商业内部装修" localSheetId="43">'[3]不动产比较法-商业'!$B$122:$M$122</definedName>
    <definedName name="商业内部装修">'不动产比较法-商业'!$B$122:$M$122</definedName>
    <definedName name="商业人流量" localSheetId="43">'[3]不动产比较法-商业'!$B$90:$M$90</definedName>
    <definedName name="商业人流量">'不动产比较法-商业'!$B$90:$M$90</definedName>
    <definedName name="商业业态" localSheetId="43">'[3]不动产比较法-商业'!$B$114:$M$114</definedName>
    <definedName name="商业业态">'不动产比较法-商业'!$B$114:$M$114</definedName>
    <definedName name="商业用途" localSheetId="43">'[3]不动产比较法-商业'!$B$63:$M$63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3">'[3]不动产比较法-仓储'!$B$89:$M$89</definedName>
    <definedName name="是否封闭">'不动产比较法-仓储'!$B$89:$M$89</definedName>
    <definedName name="是否直接入户" localSheetId="43">'[3]不动产比较法-车位'!$B$95:$M$95</definedName>
    <definedName name="是否直接入户">'不动产比较法-车位'!$B$95:$M$95</definedName>
    <definedName name="四级">区片价!$L$1:$L$28</definedName>
    <definedName name="套工工程地质条件" localSheetId="43">'[3]比较法-工业'!$B$116:$M$116</definedName>
    <definedName name="套工工程地质条件">'比较法-工业'!$B$116:$M$116</definedName>
    <definedName name="套工交易情况" localSheetId="43">'[3]比较法-住宅、综合'!$A$75:$M$75</definedName>
    <definedName name="套工交易情况">'比较法-住宅、综合'!$A$75:$M$75</definedName>
    <definedName name="套工开发程度" localSheetId="43">'[3]比较法-工业'!$B$114:$M$114</definedName>
    <definedName name="套工开发程度">'比较法-工业'!$B$114:$M$114</definedName>
    <definedName name="套工临街等级" localSheetId="43">'[3]比较法-工业'!$B$99:$M$99</definedName>
    <definedName name="套工临街等级">'比较法-工业'!$B$99:$M$99</definedName>
    <definedName name="套工土地级别" localSheetId="43">'[3]比较法-工业'!$B$101:$M$101</definedName>
    <definedName name="套工土地级别">'比较法-工业'!$B$101:$M$101</definedName>
    <definedName name="套工用途" localSheetId="43">'[3]比较法-工业'!$B$72:$M$72</definedName>
    <definedName name="套工用途">'比较法-工业'!$B$72:$M$72</definedName>
    <definedName name="套工宗地形状" localSheetId="43">'[3]比较法-工业'!$B$112:$M$112</definedName>
    <definedName name="套工宗地形状">'比较法-工业'!$B$112:$M$112</definedName>
    <definedName name="套综道路等级" localSheetId="43">'[3]比较法-住宅、综合'!$B$108:$M$108</definedName>
    <definedName name="套综道路等级">'比较法-住宅、综合'!$B$108:$M$108</definedName>
    <definedName name="套综工程地质条件" localSheetId="43">'[3]比较法-住宅、综合'!$B$127:$M$127</definedName>
    <definedName name="套综工程地质条件">'比较法-住宅、综合'!$B$127:$M$127</definedName>
    <definedName name="套综交易情况" localSheetId="43">'[3]比较法-住宅、综合'!$A$75:$M$75</definedName>
    <definedName name="套综交易情况">'比较法-住宅、综合'!$A$75:$M$75</definedName>
    <definedName name="套综临街宽度及深度" localSheetId="43">'[3]比较法-住宅、综合'!$B$123:$M$123</definedName>
    <definedName name="套综临街宽度及深度">'比较法-住宅、综合'!$B$123:$M$123</definedName>
    <definedName name="套综土地级别" localSheetId="43">'[3]比较法-住宅、综合'!$B$110:$M$110</definedName>
    <definedName name="套综土地级别">'比较法-住宅、综合'!$B$110:$M$110</definedName>
    <definedName name="套综用途" localSheetId="43">'[3]比较法-住宅、综合'!$B$77:$M$77</definedName>
    <definedName name="套综用途">'比较法-住宅、综合'!$B$77:$M$77</definedName>
    <definedName name="套综宗地内开发程度" localSheetId="43">'[3]比较法-住宅、综合'!$B$125:$M$125</definedName>
    <definedName name="套综宗地内开发程度">'比较法-住宅、综合'!$B$125:$M$125</definedName>
    <definedName name="套综宗地形状" localSheetId="43">'[3]比较法-住宅、综合'!$B$121:$M$121</definedName>
    <definedName name="套综宗地形状">'比较法-住宅、综合'!$B$121:$M$121</definedName>
    <definedName name="土地估价师" localSheetId="43">[3]估价师及机构信息!$D$3:$D$24</definedName>
    <definedName name="土地估价师">估价师及机构信息!$D$3:$D$24</definedName>
    <definedName name="土地级别" localSheetId="43">[3]定义!$C$1:$C$14</definedName>
    <definedName name="土地级别">定义!$C$1:$C$14</definedName>
    <definedName name="土地利用方向">定义!$P$1:$P$6</definedName>
    <definedName name="土地年限区间" localSheetId="43">[3]定义!$I$1:$I$8</definedName>
    <definedName name="土地年限区间">定义!$I$1:$I$8</definedName>
    <definedName name="位置" localSheetId="43">[3]定义!$E$2:$E$4</definedName>
    <definedName name="位置">定义!$E$2:$E$4</definedName>
    <definedName name="五等判定" localSheetId="43">[3]定义!$W$1:$W$6</definedName>
    <definedName name="五等判定">定义!$W$1:$W$6</definedName>
    <definedName name="五级">区片价!$M$1:$M$35</definedName>
    <definedName name="项目类型" localSheetId="43">'[3]数据-汇总表'!$C$17:$C$26</definedName>
    <definedName name="项目类型">'数据-汇总表'!$C$17:$C$26</definedName>
    <definedName name="写字楼等级" localSheetId="43">'[3]不动产比较法-办公'!$B$113:$M$113</definedName>
    <definedName name="写字楼等级">'不动产比较法-办公'!$B$113:$M$113</definedName>
    <definedName name="一级">区片价!$I$1:$I$6</definedName>
    <definedName name="一修多修正项2" localSheetId="43">[3]典型户型修正!$5:$5</definedName>
    <definedName name="一修多修正项2">典型户型修正!$5:$5</definedName>
    <definedName name="一修多修正项3" localSheetId="43">[3]典型户型修正!$7:$7</definedName>
    <definedName name="一修多修正项3">典型户型修正!$7:$7</definedName>
    <definedName name="一修多修正项4" localSheetId="43">[3]典型户型修正!$9:$9</definedName>
    <definedName name="一修多修正项4">典型户型修正!$9:$9</definedName>
    <definedName name="一修多修正项5" localSheetId="43">[3]典型户型修正!$11:$11</definedName>
    <definedName name="一修多修正项5">典型户型修正!$11:$11</definedName>
    <definedName name="一修多修正项6" localSheetId="43">[3]典型户型修正!$13:$13</definedName>
    <definedName name="一修多修正项6">典型户型修正!$13:$13</definedName>
    <definedName name="一修多修正项7" localSheetId="43">[3]典型户型修正!$15:$15</definedName>
    <definedName name="一修多修正项7">典型户型修正!$15:$15</definedName>
    <definedName name="一修多修正项8" localSheetId="43">[3]典型户型修正!$17:$17</definedName>
    <definedName name="一修多修正项8">典型户型修正!$17:$17</definedName>
    <definedName name="用途类型" localSheetId="43">[3]定义!$A$1:$A$50</definedName>
    <definedName name="用途类型">定义!$A$1:$A$50</definedName>
    <definedName name="有无电梯" localSheetId="43">'[3]不动产比较法-仓储'!$B$84:$M$84</definedName>
    <definedName name="有无电梯">'不动产比较法-仓储'!$B$84:$M$84</definedName>
    <definedName name="主用途" localSheetId="43">[3]定义!$F$1:$F$10</definedName>
    <definedName name="主用途">定义!$F$1:$F$10</definedName>
    <definedName name="住宅朝向" localSheetId="43">'[3]不动产比较法-住宅'!$B$88:$M$88</definedName>
    <definedName name="住宅朝向">'不动产比较法-住宅'!$B$88:$M$88</definedName>
    <definedName name="住宅房型" localSheetId="43">'[3]不动产比较法-住宅'!$B$118:$M$118</definedName>
    <definedName name="住宅房型">'不动产比较法-住宅'!$B$118:$M$118</definedName>
    <definedName name="住宅公共部分装修" localSheetId="43">'[3]不动产比较法-住宅'!$B$109:$M$109</definedName>
    <definedName name="住宅公共部分装修">'不动产比较法-住宅'!$B$109:$M$109</definedName>
    <definedName name="住宅基础设施水平" localSheetId="43">'[3]不动产比较法-住宅'!$B$116:$M$116</definedName>
    <definedName name="住宅基础设施水平">'不动产比较法-住宅'!$B$116:$M$116</definedName>
    <definedName name="住宅建筑结构" localSheetId="43">'[3]不动产比较法-住宅'!$B$105:$M$105</definedName>
    <definedName name="住宅建筑结构">'不动产比较法-住宅'!$B$105:$M$105</definedName>
    <definedName name="住宅建筑类型" localSheetId="43">'[3]不动产比较法-住宅'!$B$100:$M$100</definedName>
    <definedName name="住宅建筑类型">'不动产比较法-住宅'!$B$100:$M$100</definedName>
    <definedName name="住宅建筑品质" localSheetId="43">'[3]不动产比较法-住宅'!$B$107:$M$107</definedName>
    <definedName name="住宅建筑品质">'不动产比较法-住宅'!$B$107:$M$107</definedName>
    <definedName name="住宅交易情况" localSheetId="43">'[3]不动产比较法-住宅'!$A$61:$M$61</definedName>
    <definedName name="住宅交易情况">'不动产比较法-住宅'!$A$61:$M$61</definedName>
    <definedName name="住宅楼层" localSheetId="43">'[3]不动产比较法-住宅'!$B$86:$M$86</definedName>
    <definedName name="住宅楼层">'不动产比较法-住宅'!$B$86:$M$86</definedName>
    <definedName name="住宅内部装修" localSheetId="43">'[3]不动产比较法-住宅'!$B$122:$M$122</definedName>
    <definedName name="住宅内部装修">'不动产比较法-住宅'!$B$122:$M$122</definedName>
    <definedName name="住宅物业管理" localSheetId="43">'[3]不动产比较法-住宅'!$B$114:$M$114</definedName>
    <definedName name="住宅物业管理">'不动产比较法-住宅'!$B$114:$M$114</definedName>
    <definedName name="住宅用途" localSheetId="43">'[3]不动产比较法-住宅'!$B$63:$M$63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5" i="76" l="1"/>
  <c r="E63" i="74" l="1"/>
  <c r="D63" i="74"/>
  <c r="B13" i="75"/>
  <c r="D9" i="76" l="1"/>
  <c r="E65" i="74"/>
  <c r="E67" i="74" s="1"/>
  <c r="F61" i="74" l="1"/>
  <c r="F62" i="74"/>
  <c r="F63" i="74"/>
  <c r="F65" i="74" s="1"/>
  <c r="F64" i="74"/>
  <c r="F38" i="74"/>
  <c r="F39" i="74"/>
  <c r="F40" i="74"/>
  <c r="F41" i="74"/>
  <c r="F42" i="74"/>
  <c r="F43" i="74"/>
  <c r="F44" i="74"/>
  <c r="F45" i="74"/>
  <c r="F46" i="74"/>
  <c r="F47" i="74"/>
  <c r="F48" i="74"/>
  <c r="F49" i="74"/>
  <c r="F50" i="74"/>
  <c r="F51" i="74"/>
  <c r="F52" i="74"/>
  <c r="F53" i="74"/>
  <c r="F54" i="74"/>
  <c r="F55" i="74"/>
  <c r="F56" i="74"/>
  <c r="F57" i="74"/>
  <c r="F58" i="74"/>
  <c r="F59" i="74"/>
  <c r="F60" i="74"/>
  <c r="D60" i="74"/>
  <c r="D59" i="74"/>
  <c r="D58" i="74"/>
  <c r="D57" i="74"/>
  <c r="D56" i="74"/>
  <c r="D55" i="74"/>
  <c r="D54" i="74"/>
  <c r="D53" i="74"/>
  <c r="D52" i="74"/>
  <c r="D51" i="74"/>
  <c r="D50" i="74"/>
  <c r="D49" i="74"/>
  <c r="D48" i="74"/>
  <c r="D47" i="74"/>
  <c r="D46" i="74"/>
  <c r="D45" i="74"/>
  <c r="D44" i="74"/>
  <c r="D43" i="74"/>
  <c r="D42" i="74"/>
  <c r="D41" i="74"/>
  <c r="D40" i="74"/>
  <c r="D39" i="74"/>
  <c r="D38" i="74"/>
  <c r="F22" i="74"/>
  <c r="F23" i="74"/>
  <c r="F24" i="74"/>
  <c r="F25" i="74"/>
  <c r="F26" i="74"/>
  <c r="F27" i="74"/>
  <c r="F28" i="74"/>
  <c r="F29" i="74"/>
  <c r="F30" i="74"/>
  <c r="F31" i="74"/>
  <c r="F32" i="74"/>
  <c r="F33" i="74"/>
  <c r="F34" i="74"/>
  <c r="F35" i="74"/>
  <c r="F36" i="74"/>
  <c r="F37" i="74"/>
  <c r="D37" i="74"/>
  <c r="D36" i="74"/>
  <c r="D35" i="74"/>
  <c r="D34" i="74"/>
  <c r="D33" i="74"/>
  <c r="D32" i="74"/>
  <c r="D31" i="74"/>
  <c r="D30" i="74"/>
  <c r="D29" i="74"/>
  <c r="D28" i="74"/>
  <c r="D27" i="74"/>
  <c r="D26" i="74"/>
  <c r="D25" i="74"/>
  <c r="D24" i="74"/>
  <c r="D23" i="74"/>
  <c r="D22" i="74"/>
  <c r="D21" i="74"/>
  <c r="F21" i="74" s="1"/>
  <c r="D20" i="74"/>
  <c r="F20" i="74" s="1"/>
  <c r="D19" i="74"/>
  <c r="F19" i="74" s="1"/>
  <c r="D18" i="74"/>
  <c r="F18" i="74" s="1"/>
  <c r="D17" i="74"/>
  <c r="F17" i="74" s="1"/>
  <c r="D16" i="74"/>
  <c r="F16" i="74" s="1"/>
  <c r="D15" i="74"/>
  <c r="F15" i="74" s="1"/>
  <c r="D14" i="74"/>
  <c r="F14" i="74" s="1"/>
  <c r="D13" i="74"/>
  <c r="F13" i="74" s="1"/>
  <c r="D12" i="74"/>
  <c r="F12" i="74" s="1"/>
  <c r="D11" i="74"/>
  <c r="F11" i="74" s="1"/>
  <c r="D2" i="74"/>
  <c r="F2" i="74" s="1"/>
  <c r="D10" i="74"/>
  <c r="F10" i="74" s="1"/>
  <c r="D9" i="74"/>
  <c r="F9" i="74" s="1"/>
  <c r="D8" i="74"/>
  <c r="F8" i="74" s="1"/>
  <c r="D7" i="74"/>
  <c r="F7" i="74" s="1"/>
  <c r="D6" i="74"/>
  <c r="F6" i="74" s="1"/>
  <c r="D5" i="74"/>
  <c r="F5" i="74" s="1"/>
  <c r="D4" i="74"/>
  <c r="F4" i="74" s="1"/>
  <c r="D3" i="74"/>
  <c r="F3" i="74" s="1"/>
  <c r="D9" i="75" l="1"/>
  <c r="G9" i="75" s="1"/>
  <c r="D8" i="75"/>
  <c r="G8" i="75" s="1"/>
  <c r="D5" i="75" l="1"/>
  <c r="G5" i="75" s="1"/>
  <c r="D6" i="75"/>
  <c r="G6" i="75" s="1"/>
  <c r="D7" i="75"/>
  <c r="G7" i="75" s="1"/>
  <c r="B8" i="75"/>
  <c r="G20" i="75"/>
  <c r="G21" i="75"/>
  <c r="G22" i="75"/>
  <c r="G23" i="75"/>
  <c r="G24" i="75"/>
  <c r="G25" i="75"/>
  <c r="G26" i="75"/>
  <c r="G27" i="75"/>
  <c r="G28" i="75"/>
  <c r="G29" i="75"/>
  <c r="G30" i="75"/>
  <c r="G31" i="75"/>
  <c r="G32" i="75"/>
  <c r="G33" i="75"/>
  <c r="G34" i="75"/>
  <c r="G19" i="75"/>
  <c r="B9" i="75"/>
  <c r="F41" i="75"/>
  <c r="D4" i="75" s="1"/>
  <c r="G4" i="75" s="1"/>
  <c r="F35" i="75"/>
  <c r="D2" i="75"/>
  <c r="G35" i="75" l="1"/>
  <c r="D3" i="75" s="1"/>
  <c r="G3" i="75" s="1"/>
  <c r="G10" i="75" s="1"/>
  <c r="D3" i="72" l="1"/>
  <c r="G38" i="71" l="1"/>
  <c r="G37" i="71"/>
  <c r="G36" i="71"/>
  <c r="G35" i="71"/>
  <c r="G34" i="71"/>
  <c r="G33" i="71"/>
  <c r="G32" i="71"/>
  <c r="H32" i="71" s="1"/>
  <c r="I32" i="71" s="1"/>
  <c r="J32" i="71" s="1"/>
  <c r="G31" i="71"/>
  <c r="G30" i="71"/>
  <c r="H30" i="71" s="1"/>
  <c r="G29" i="71"/>
  <c r="G26" i="71"/>
  <c r="H26" i="71" s="1"/>
  <c r="I26" i="71" s="1"/>
  <c r="G25" i="71"/>
  <c r="H25" i="71" s="1"/>
  <c r="G24" i="71"/>
  <c r="G19" i="71"/>
  <c r="G18" i="71"/>
  <c r="H18" i="71" s="1"/>
  <c r="I18" i="71" s="1"/>
  <c r="G17" i="71"/>
  <c r="G16" i="71"/>
  <c r="H16" i="71" s="1"/>
  <c r="G15" i="71"/>
  <c r="G13" i="71"/>
  <c r="H13" i="71" s="1"/>
  <c r="I13" i="71" s="1"/>
  <c r="G11" i="71"/>
  <c r="G10" i="71"/>
  <c r="H10" i="71" s="1"/>
  <c r="I10" i="71" s="1"/>
  <c r="G9" i="71"/>
  <c r="H9" i="71" s="1"/>
  <c r="I9" i="71" s="1"/>
  <c r="G8" i="71"/>
  <c r="H8" i="71" s="1"/>
  <c r="I8" i="71" s="1"/>
  <c r="J8" i="71" s="1"/>
  <c r="G7" i="71"/>
  <c r="H7" i="71" s="1"/>
  <c r="I7" i="71" s="1"/>
  <c r="J7" i="71" s="1"/>
  <c r="G6" i="71"/>
  <c r="H6" i="71" s="1"/>
  <c r="I6" i="71" s="1"/>
  <c r="G4" i="71"/>
  <c r="G23" i="71" s="1"/>
  <c r="H23" i="71" s="1"/>
  <c r="I23" i="71" s="1"/>
  <c r="B27" i="71"/>
  <c r="B28" i="71"/>
  <c r="B29" i="71"/>
  <c r="B30" i="71"/>
  <c r="B31" i="71"/>
  <c r="B32" i="71"/>
  <c r="B33" i="71"/>
  <c r="B34" i="71"/>
  <c r="B35" i="71"/>
  <c r="B36" i="71"/>
  <c r="B37" i="71"/>
  <c r="B38" i="71"/>
  <c r="B17" i="71"/>
  <c r="B18" i="71"/>
  <c r="B19" i="71"/>
  <c r="B20" i="71"/>
  <c r="B21" i="71"/>
  <c r="B22" i="71"/>
  <c r="B23" i="71"/>
  <c r="B24" i="71"/>
  <c r="B25" i="71"/>
  <c r="B26" i="71"/>
  <c r="B4" i="71"/>
  <c r="B5" i="71"/>
  <c r="B6" i="71"/>
  <c r="B7" i="71"/>
  <c r="B8" i="71"/>
  <c r="B9" i="71"/>
  <c r="B10" i="71"/>
  <c r="B11" i="71"/>
  <c r="B12" i="71"/>
  <c r="B13" i="71"/>
  <c r="B14" i="71"/>
  <c r="B15" i="71"/>
  <c r="B16" i="71"/>
  <c r="B3" i="71"/>
  <c r="D24" i="72"/>
  <c r="D19" i="72"/>
  <c r="E11" i="72"/>
  <c r="E10" i="72"/>
  <c r="H38" i="71"/>
  <c r="H31" i="71"/>
  <c r="I31" i="71" s="1"/>
  <c r="H28" i="71"/>
  <c r="I28" i="71" s="1"/>
  <c r="H27" i="71"/>
  <c r="I27" i="71" s="1"/>
  <c r="H15" i="71"/>
  <c r="I15" i="71" s="1"/>
  <c r="O11" i="71"/>
  <c r="O10" i="71"/>
  <c r="O9" i="71"/>
  <c r="O8" i="71"/>
  <c r="H5" i="71"/>
  <c r="I5" i="71" s="1"/>
  <c r="H4" i="71"/>
  <c r="I4" i="71" s="1"/>
  <c r="H3" i="71"/>
  <c r="I3" i="71" s="1"/>
  <c r="G20" i="71" l="1"/>
  <c r="H20" i="71" s="1"/>
  <c r="G22" i="71"/>
  <c r="H22" i="71" s="1"/>
  <c r="G14" i="71"/>
  <c r="H14" i="71" s="1"/>
  <c r="I14" i="71" s="1"/>
  <c r="G21" i="71"/>
  <c r="H21" i="71" s="1"/>
  <c r="I20" i="71"/>
  <c r="J20" i="71" s="1"/>
  <c r="H12" i="71"/>
  <c r="I12" i="71" s="1"/>
  <c r="H36" i="71"/>
  <c r="I36" i="71" s="1"/>
  <c r="J36" i="71" s="1"/>
  <c r="H11" i="71"/>
  <c r="I11" i="71" s="1"/>
  <c r="J11" i="71" s="1"/>
  <c r="K11" i="71" s="1"/>
  <c r="H19" i="71"/>
  <c r="I19" i="71" s="1"/>
  <c r="H35" i="71"/>
  <c r="I35" i="71" s="1"/>
  <c r="J35" i="71" s="1"/>
  <c r="H34" i="71"/>
  <c r="I34" i="71" s="1"/>
  <c r="C12" i="72"/>
  <c r="C14" i="72" s="1"/>
  <c r="J4" i="71"/>
  <c r="K4" i="71" s="1"/>
  <c r="J15" i="71"/>
  <c r="K15" i="71" s="1"/>
  <c r="J31" i="71"/>
  <c r="J10" i="71"/>
  <c r="J6" i="71"/>
  <c r="K6" i="71" s="1"/>
  <c r="J9" i="71"/>
  <c r="K9" i="71" s="1"/>
  <c r="J14" i="71"/>
  <c r="K14" i="71" s="1"/>
  <c r="S14" i="71" s="1"/>
  <c r="M14" i="71" s="1"/>
  <c r="J18" i="71"/>
  <c r="K18" i="71" s="1"/>
  <c r="J5" i="71"/>
  <c r="K7" i="71"/>
  <c r="L7" i="71" s="1"/>
  <c r="J23" i="71"/>
  <c r="K23" i="71" s="1"/>
  <c r="L23" i="71" s="1"/>
  <c r="H24" i="71"/>
  <c r="I24" i="71" s="1"/>
  <c r="J28" i="71"/>
  <c r="K28" i="71" s="1"/>
  <c r="S28" i="71" s="1"/>
  <c r="M28" i="71" s="1"/>
  <c r="H29" i="71"/>
  <c r="I29" i="71" s="1"/>
  <c r="J3" i="71"/>
  <c r="K3" i="71" s="1"/>
  <c r="K5" i="71"/>
  <c r="L5" i="71" s="1"/>
  <c r="J13" i="71"/>
  <c r="I16" i="71"/>
  <c r="H17" i="71"/>
  <c r="I17" i="71" s="1"/>
  <c r="I25" i="71"/>
  <c r="J26" i="71"/>
  <c r="K26" i="71" s="1"/>
  <c r="S26" i="71" s="1"/>
  <c r="M26" i="71" s="1"/>
  <c r="J27" i="71"/>
  <c r="I30" i="71"/>
  <c r="H33" i="71"/>
  <c r="I33" i="71" s="1"/>
  <c r="I38" i="71"/>
  <c r="K8" i="71"/>
  <c r="L8" i="71" s="1"/>
  <c r="I21" i="71"/>
  <c r="H37" i="71"/>
  <c r="I37" i="71" s="1"/>
  <c r="K32" i="71"/>
  <c r="D5" i="9"/>
  <c r="C23" i="6"/>
  <c r="C22" i="6"/>
  <c r="C21" i="6"/>
  <c r="C20" i="6"/>
  <c r="C19" i="6"/>
  <c r="C8" i="11"/>
  <c r="D3" i="4"/>
  <c r="L3" i="59"/>
  <c r="K3" i="59"/>
  <c r="J3" i="59"/>
  <c r="I3" i="59"/>
  <c r="AH5" i="59"/>
  <c r="AG5" i="59"/>
  <c r="AE5" i="59"/>
  <c r="AF5" i="59" s="1"/>
  <c r="AD5" i="59"/>
  <c r="Q5" i="59"/>
  <c r="Q6" i="59"/>
  <c r="Q7" i="59"/>
  <c r="Q8" i="59"/>
  <c r="Q9" i="59"/>
  <c r="Q10" i="59"/>
  <c r="Q11" i="59"/>
  <c r="Q12" i="59"/>
  <c r="Q13" i="59"/>
  <c r="Q14" i="59"/>
  <c r="Q15" i="59"/>
  <c r="Q16" i="59"/>
  <c r="Q17" i="59"/>
  <c r="Q18" i="59"/>
  <c r="Q19" i="59"/>
  <c r="Q20" i="59"/>
  <c r="Q21" i="59"/>
  <c r="Q22" i="59"/>
  <c r="Q23" i="59"/>
  <c r="P5" i="59"/>
  <c r="P6" i="59"/>
  <c r="P7" i="59"/>
  <c r="P8" i="59"/>
  <c r="E8" i="59" s="1"/>
  <c r="E7" i="59" s="1"/>
  <c r="E6" i="59" s="1"/>
  <c r="E5" i="59" s="1"/>
  <c r="P9" i="59"/>
  <c r="P10" i="59"/>
  <c r="P11" i="59"/>
  <c r="P12" i="59"/>
  <c r="E12" i="59" s="1"/>
  <c r="E11" i="59" s="1"/>
  <c r="E10" i="59" s="1"/>
  <c r="P13" i="59"/>
  <c r="P14" i="59"/>
  <c r="P15" i="59"/>
  <c r="P16" i="59"/>
  <c r="P17" i="59"/>
  <c r="P18" i="59"/>
  <c r="P19" i="59"/>
  <c r="P20" i="59"/>
  <c r="P21" i="59"/>
  <c r="P22" i="59"/>
  <c r="P23" i="59"/>
  <c r="O5" i="59"/>
  <c r="O6" i="59"/>
  <c r="O7" i="59"/>
  <c r="O8" i="59"/>
  <c r="Y6" i="59" s="1"/>
  <c r="Z6" i="59" s="1"/>
  <c r="O9" i="59"/>
  <c r="O10" i="59"/>
  <c r="O11" i="59"/>
  <c r="O12" i="59"/>
  <c r="O13" i="59"/>
  <c r="C14" i="59" s="1"/>
  <c r="D14" i="59" s="1"/>
  <c r="O14" i="59"/>
  <c r="O15" i="59"/>
  <c r="O16" i="59"/>
  <c r="O17" i="59"/>
  <c r="O18" i="59"/>
  <c r="O19" i="59"/>
  <c r="O20" i="59"/>
  <c r="O21" i="59"/>
  <c r="C22" i="59" s="1"/>
  <c r="D22" i="59" s="1"/>
  <c r="O22" i="59"/>
  <c r="O23" i="59"/>
  <c r="N5" i="59"/>
  <c r="N6" i="59"/>
  <c r="X6" i="59" s="1"/>
  <c r="N7" i="59"/>
  <c r="N8" i="59"/>
  <c r="N9" i="59"/>
  <c r="N10" i="59"/>
  <c r="N11" i="59"/>
  <c r="N12" i="59"/>
  <c r="N13" i="59"/>
  <c r="B14" i="59" s="1"/>
  <c r="N14" i="59"/>
  <c r="N15" i="59"/>
  <c r="N16" i="59"/>
  <c r="N17" i="59"/>
  <c r="B18" i="59" s="1"/>
  <c r="N18" i="59"/>
  <c r="N19" i="59"/>
  <c r="N20" i="59"/>
  <c r="N21" i="59"/>
  <c r="B22" i="59" s="1"/>
  <c r="N22" i="59"/>
  <c r="N23" i="59"/>
  <c r="F8" i="59"/>
  <c r="C8" i="59"/>
  <c r="C7" i="59" s="1"/>
  <c r="B8" i="59"/>
  <c r="B7" i="59" s="1"/>
  <c r="B6" i="59" s="1"/>
  <c r="B5" i="59" s="1"/>
  <c r="AH6" i="59"/>
  <c r="AG6" i="59"/>
  <c r="AE6" i="59"/>
  <c r="AF6" i="59" s="1"/>
  <c r="AD6" i="59"/>
  <c r="AB6" i="59"/>
  <c r="B2" i="1"/>
  <c r="G19" i="46"/>
  <c r="D9" i="59"/>
  <c r="B12" i="59"/>
  <c r="B11" i="59" s="1"/>
  <c r="B10" i="59" s="1"/>
  <c r="C12" i="59"/>
  <c r="C11" i="59" s="1"/>
  <c r="F12" i="59"/>
  <c r="F11" i="59" s="1"/>
  <c r="F10" i="59" s="1"/>
  <c r="D13" i="59"/>
  <c r="E14" i="59"/>
  <c r="E15" i="59" s="1"/>
  <c r="E16" i="59" s="1"/>
  <c r="F14" i="59"/>
  <c r="F15" i="59"/>
  <c r="F16" i="59" s="1"/>
  <c r="D17" i="59"/>
  <c r="C18" i="59"/>
  <c r="D18" i="59" s="1"/>
  <c r="E18" i="59"/>
  <c r="E19" i="59" s="1"/>
  <c r="E20" i="59" s="1"/>
  <c r="F18" i="59"/>
  <c r="F19" i="59" s="1"/>
  <c r="F20" i="59" s="1"/>
  <c r="D21" i="59"/>
  <c r="E22" i="59"/>
  <c r="E23" i="59" s="1"/>
  <c r="E24" i="59" s="1"/>
  <c r="F22" i="59"/>
  <c r="F23" i="59"/>
  <c r="F24" i="59" s="1"/>
  <c r="M19" i="46" s="1"/>
  <c r="G2" i="46"/>
  <c r="I2" i="46"/>
  <c r="M5" i="46" s="1"/>
  <c r="G17" i="46"/>
  <c r="I17" i="46"/>
  <c r="C17" i="46"/>
  <c r="J20" i="46"/>
  <c r="D83" i="46"/>
  <c r="K84" i="46"/>
  <c r="D84" i="46" s="1"/>
  <c r="M85" i="46"/>
  <c r="N85" i="46"/>
  <c r="D85" i="46" s="1"/>
  <c r="D86" i="46"/>
  <c r="F39" i="46"/>
  <c r="F37" i="46"/>
  <c r="D5" i="46"/>
  <c r="F36" i="46"/>
  <c r="F34" i="46"/>
  <c r="A6" i="1"/>
  <c r="A7" i="1"/>
  <c r="A8" i="1"/>
  <c r="A9" i="1"/>
  <c r="A10" i="1"/>
  <c r="J50" i="15"/>
  <c r="J51" i="15" s="1"/>
  <c r="M47" i="15"/>
  <c r="M48" i="44"/>
  <c r="J51" i="44"/>
  <c r="J52" i="44" s="1"/>
  <c r="C1" i="65"/>
  <c r="H1" i="65"/>
  <c r="C18" i="46"/>
  <c r="AD5" i="3"/>
  <c r="AH5" i="3"/>
  <c r="AL5" i="3"/>
  <c r="AP5" i="3"/>
  <c r="I5" i="3"/>
  <c r="F19" i="6" s="1"/>
  <c r="K5" i="3"/>
  <c r="F20" i="6" s="1"/>
  <c r="M5" i="3"/>
  <c r="F21" i="6" s="1"/>
  <c r="Q5" i="3"/>
  <c r="F23" i="6" s="1"/>
  <c r="G3" i="46"/>
  <c r="G101" i="46" s="1"/>
  <c r="F33" i="46"/>
  <c r="C10" i="46"/>
  <c r="C11" i="46" s="1"/>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E99" i="46"/>
  <c r="E100" i="46"/>
  <c r="E108" i="46"/>
  <c r="F15" i="46"/>
  <c r="C12" i="46" s="1"/>
  <c r="F47" i="46"/>
  <c r="F58" i="46"/>
  <c r="F69" i="46"/>
  <c r="N5" i="46"/>
  <c r="F80" i="46" s="1"/>
  <c r="F99" i="46"/>
  <c r="F113" i="46"/>
  <c r="H33" i="46"/>
  <c r="C9" i="46"/>
  <c r="C15" i="46"/>
  <c r="D15" i="46"/>
  <c r="C99" i="46"/>
  <c r="C101" i="46"/>
  <c r="C102" i="46" s="1"/>
  <c r="D99" i="46"/>
  <c r="D100" i="46" s="1"/>
  <c r="D101" i="46"/>
  <c r="D102" i="46" s="1"/>
  <c r="D108" i="46"/>
  <c r="H113" i="46"/>
  <c r="A7" i="46"/>
  <c r="AH7" i="59"/>
  <c r="AG7" i="59"/>
  <c r="AE7" i="59"/>
  <c r="AF7" i="59" s="1"/>
  <c r="AD7" i="5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A161" i="3" s="1"/>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L166" i="3" s="1"/>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A169" i="3" s="1"/>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L174" i="3" s="1"/>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A177" i="3" s="1"/>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L180" i="3" s="1"/>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A185" i="3" s="1"/>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A203" i="3" s="1"/>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L206" i="3" s="1"/>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L214" i="3" s="1"/>
  <c r="BO214" i="3"/>
  <c r="BP214" i="3"/>
  <c r="BQ214" i="3"/>
  <c r="BR214" i="3"/>
  <c r="BS214" i="3"/>
  <c r="BT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A235" i="3" s="1"/>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L238" i="3" s="1"/>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L246" i="3" s="1"/>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A267" i="3" s="1"/>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L270" i="3" s="1"/>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L290" i="3" s="1"/>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L298" i="3" s="1"/>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L306" i="3" s="1"/>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A319" i="3" s="1"/>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L334" i="3" s="1"/>
  <c r="BO334" i="3"/>
  <c r="BP334" i="3"/>
  <c r="BQ334" i="3"/>
  <c r="BR334" i="3"/>
  <c r="BS334" i="3"/>
  <c r="BT334" i="3"/>
  <c r="BB335" i="3"/>
  <c r="BA335" i="3" s="1"/>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L348" i="3" s="1"/>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A353" i="3" s="1"/>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L364" i="3" s="1"/>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A369" i="3" s="1"/>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A376" i="3" s="1"/>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A382" i="3" s="1"/>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A390" i="3" s="1"/>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A398" i="3" s="1"/>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A408" i="3" s="1"/>
  <c r="BJ408" i="3"/>
  <c r="BK408" i="3"/>
  <c r="BM408" i="3"/>
  <c r="BN408" i="3"/>
  <c r="BO408" i="3"/>
  <c r="BP408" i="3"/>
  <c r="BQ408" i="3"/>
  <c r="BR408" i="3"/>
  <c r="BS408" i="3"/>
  <c r="BT408" i="3"/>
  <c r="BB409" i="3"/>
  <c r="BC409" i="3"/>
  <c r="BD409" i="3"/>
  <c r="BE409" i="3"/>
  <c r="BF409" i="3"/>
  <c r="BG409" i="3"/>
  <c r="BH409" i="3"/>
  <c r="BI409" i="3"/>
  <c r="BJ409" i="3"/>
  <c r="BK409" i="3"/>
  <c r="BM409" i="3"/>
  <c r="BN409" i="3"/>
  <c r="BL409" i="3" s="1"/>
  <c r="BO409" i="3"/>
  <c r="BP409" i="3"/>
  <c r="BQ409" i="3"/>
  <c r="BR409" i="3"/>
  <c r="BS409" i="3"/>
  <c r="BT409" i="3"/>
  <c r="BB410" i="3"/>
  <c r="BA410" i="3" s="1"/>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A414" i="3" s="1"/>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L421" i="3" s="1"/>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L425" i="3" s="1"/>
  <c r="BO425" i="3"/>
  <c r="BP425" i="3"/>
  <c r="BQ425" i="3"/>
  <c r="BR425" i="3"/>
  <c r="BS425" i="3"/>
  <c r="BT425" i="3"/>
  <c r="BB426" i="3"/>
  <c r="BA426" i="3" s="1"/>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A430" i="3" s="1"/>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L437" i="3" s="1"/>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L441" i="3" s="1"/>
  <c r="BO441" i="3"/>
  <c r="BP441" i="3"/>
  <c r="BQ441" i="3"/>
  <c r="BR441" i="3"/>
  <c r="BS441" i="3"/>
  <c r="BT441" i="3"/>
  <c r="BB442" i="3"/>
  <c r="BA442" i="3" s="1"/>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A446" i="3" s="1"/>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L453" i="3" s="1"/>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L457" i="3" s="1"/>
  <c r="BO457" i="3"/>
  <c r="BP457" i="3"/>
  <c r="BQ457" i="3"/>
  <c r="BR457" i="3"/>
  <c r="BS457" i="3"/>
  <c r="BT457" i="3"/>
  <c r="BB458" i="3"/>
  <c r="BA458" i="3" s="1"/>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A462" i="3" s="1"/>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L469" i="3" s="1"/>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L473" i="3" s="1"/>
  <c r="BO473" i="3"/>
  <c r="BP473" i="3"/>
  <c r="BQ473" i="3"/>
  <c r="BR473" i="3"/>
  <c r="BS473" i="3"/>
  <c r="BT473" i="3"/>
  <c r="BB474" i="3"/>
  <c r="BA474" i="3" s="1"/>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A478" i="3" s="1"/>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L485" i="3" s="1"/>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L489" i="3" s="1"/>
  <c r="BO489" i="3"/>
  <c r="BP489" i="3"/>
  <c r="BQ489" i="3"/>
  <c r="BR489" i="3"/>
  <c r="BS489" i="3"/>
  <c r="BT489" i="3"/>
  <c r="BB490" i="3"/>
  <c r="BA490" i="3" s="1"/>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A494" i="3" s="1"/>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L501" i="3" s="1"/>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A506" i="3" s="1"/>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A510" i="3" s="1"/>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L517" i="3" s="1"/>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L521" i="3" s="1"/>
  <c r="BO521" i="3"/>
  <c r="BP521" i="3"/>
  <c r="BQ521" i="3"/>
  <c r="BR521" i="3"/>
  <c r="BS521" i="3"/>
  <c r="BT521" i="3"/>
  <c r="BB522" i="3"/>
  <c r="BA522" i="3" s="1"/>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A526" i="3" s="1"/>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L533" i="3" s="1"/>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L537" i="3" s="1"/>
  <c r="BO537" i="3"/>
  <c r="BP537" i="3"/>
  <c r="BQ537" i="3"/>
  <c r="BR537" i="3"/>
  <c r="BS537" i="3"/>
  <c r="BT537" i="3"/>
  <c r="BB538" i="3"/>
  <c r="BA538" i="3" s="1"/>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A542" i="3" s="1"/>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L549" i="3" s="1"/>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L553" i="3" s="1"/>
  <c r="BO553" i="3"/>
  <c r="BP553" i="3"/>
  <c r="BQ553" i="3"/>
  <c r="BR553" i="3"/>
  <c r="BS553" i="3"/>
  <c r="BT553" i="3"/>
  <c r="BB554" i="3"/>
  <c r="BA554" i="3" s="1"/>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A558" i="3" s="1"/>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L565" i="3" s="1"/>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L569" i="3" s="1"/>
  <c r="BO569" i="3"/>
  <c r="BP569" i="3"/>
  <c r="BQ569" i="3"/>
  <c r="BR569" i="3"/>
  <c r="BS569" i="3"/>
  <c r="BT569" i="3"/>
  <c r="BB570" i="3"/>
  <c r="BA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M572" i="3"/>
  <c r="BN572" i="3"/>
  <c r="BO572" i="3"/>
  <c r="BP572" i="3"/>
  <c r="BQ572" i="3"/>
  <c r="BR572" i="3"/>
  <c r="BS572" i="3"/>
  <c r="BT572" i="3"/>
  <c r="H13" i="3"/>
  <c r="G13" i="3" s="1"/>
  <c r="F3" i="71" s="1"/>
  <c r="AC13" i="3"/>
  <c r="H14" i="3"/>
  <c r="AC14" i="3"/>
  <c r="G14" i="3" s="1"/>
  <c r="F4" i="71" s="1"/>
  <c r="H15" i="3"/>
  <c r="AC15" i="3"/>
  <c r="G15" i="3"/>
  <c r="F5" i="71" s="1"/>
  <c r="H16" i="3"/>
  <c r="AC16" i="3"/>
  <c r="H17" i="3"/>
  <c r="AC17" i="3"/>
  <c r="G17" i="3"/>
  <c r="F7" i="71" s="1"/>
  <c r="H18" i="3"/>
  <c r="AC18" i="3"/>
  <c r="H19" i="3"/>
  <c r="AC19" i="3"/>
  <c r="H20" i="3"/>
  <c r="AC20" i="3"/>
  <c r="G20" i="3" s="1"/>
  <c r="F10" i="71" s="1"/>
  <c r="H21" i="3"/>
  <c r="G21" i="3" s="1"/>
  <c r="F11" i="71" s="1"/>
  <c r="AC21" i="3"/>
  <c r="H22" i="3"/>
  <c r="AC22" i="3"/>
  <c r="G22" i="3" s="1"/>
  <c r="F12" i="71" s="1"/>
  <c r="H23" i="3"/>
  <c r="AC23" i="3"/>
  <c r="G23" i="3"/>
  <c r="F13" i="71" s="1"/>
  <c r="H24" i="3"/>
  <c r="AC24" i="3"/>
  <c r="H25" i="3"/>
  <c r="AC25" i="3"/>
  <c r="G25" i="3"/>
  <c r="F15" i="71" s="1"/>
  <c r="H26" i="3"/>
  <c r="AC26" i="3"/>
  <c r="G26" i="3" s="1"/>
  <c r="F16" i="71" s="1"/>
  <c r="H27" i="3"/>
  <c r="AC27" i="3"/>
  <c r="H28" i="3"/>
  <c r="AC28" i="3"/>
  <c r="G28" i="3" s="1"/>
  <c r="F18" i="71" s="1"/>
  <c r="H29" i="3"/>
  <c r="G29" i="3" s="1"/>
  <c r="F19" i="71" s="1"/>
  <c r="AC29" i="3"/>
  <c r="H30" i="3"/>
  <c r="AC30" i="3"/>
  <c r="H31" i="3"/>
  <c r="AC31" i="3"/>
  <c r="G31" i="3"/>
  <c r="F21" i="71" s="1"/>
  <c r="H32" i="3"/>
  <c r="AC32" i="3"/>
  <c r="H33" i="3"/>
  <c r="AC33" i="3"/>
  <c r="G33" i="3"/>
  <c r="F23" i="71" s="1"/>
  <c r="H34" i="3"/>
  <c r="AC34" i="3"/>
  <c r="H35" i="3"/>
  <c r="AC35" i="3"/>
  <c r="H36" i="3"/>
  <c r="AC36" i="3"/>
  <c r="G36" i="3" s="1"/>
  <c r="F26" i="71" s="1"/>
  <c r="H37" i="3"/>
  <c r="G37" i="3" s="1"/>
  <c r="F27" i="71" s="1"/>
  <c r="AC37" i="3"/>
  <c r="H38" i="3"/>
  <c r="AC38" i="3"/>
  <c r="G38" i="3" s="1"/>
  <c r="F28" i="71" s="1"/>
  <c r="H39" i="3"/>
  <c r="AC39" i="3"/>
  <c r="G39" i="3"/>
  <c r="F29" i="71" s="1"/>
  <c r="H40" i="3"/>
  <c r="AC40" i="3"/>
  <c r="H41" i="3"/>
  <c r="AC41" i="3"/>
  <c r="G41" i="3"/>
  <c r="F31" i="71" s="1"/>
  <c r="H42" i="3"/>
  <c r="AC42" i="3"/>
  <c r="H43" i="3"/>
  <c r="AC43" i="3"/>
  <c r="H44" i="3"/>
  <c r="AC44" i="3"/>
  <c r="G44" i="3" s="1"/>
  <c r="F34" i="71" s="1"/>
  <c r="H45" i="3"/>
  <c r="G45" i="3" s="1"/>
  <c r="F35" i="71" s="1"/>
  <c r="AC45" i="3"/>
  <c r="H46" i="3"/>
  <c r="AC46" i="3"/>
  <c r="G46" i="3" s="1"/>
  <c r="F36" i="71" s="1"/>
  <c r="H47" i="3"/>
  <c r="AC47" i="3"/>
  <c r="G47" i="3"/>
  <c r="F37" i="71" s="1"/>
  <c r="H48" i="3"/>
  <c r="AC48" i="3"/>
  <c r="H49" i="3"/>
  <c r="AC49" i="3"/>
  <c r="G49" i="3"/>
  <c r="H50" i="3"/>
  <c r="AC50" i="3"/>
  <c r="H51" i="3"/>
  <c r="AC51" i="3"/>
  <c r="G51" i="3" s="1"/>
  <c r="H52" i="3"/>
  <c r="AC52" i="3"/>
  <c r="G52" i="3" s="1"/>
  <c r="H53" i="3"/>
  <c r="AC53" i="3"/>
  <c r="G53" i="3"/>
  <c r="H54" i="3"/>
  <c r="AC54" i="3"/>
  <c r="G54" i="3" s="1"/>
  <c r="H55" i="3"/>
  <c r="G55" i="3" s="1"/>
  <c r="AC55" i="3"/>
  <c r="H56" i="3"/>
  <c r="AC56" i="3"/>
  <c r="H57" i="3"/>
  <c r="G57" i="3" s="1"/>
  <c r="AC57" i="3"/>
  <c r="H58" i="3"/>
  <c r="AC58" i="3"/>
  <c r="G58" i="3" s="1"/>
  <c r="H59" i="3"/>
  <c r="AC59" i="3"/>
  <c r="G59" i="3" s="1"/>
  <c r="H60" i="3"/>
  <c r="AC60" i="3"/>
  <c r="H61" i="3"/>
  <c r="AC61" i="3"/>
  <c r="G61" i="3"/>
  <c r="H62" i="3"/>
  <c r="AC62" i="3"/>
  <c r="G62" i="3" s="1"/>
  <c r="H63" i="3"/>
  <c r="G63" i="3" s="1"/>
  <c r="AC63" i="3"/>
  <c r="H64" i="3"/>
  <c r="AC64" i="3"/>
  <c r="H65" i="3"/>
  <c r="G65" i="3" s="1"/>
  <c r="AC65" i="3"/>
  <c r="H66" i="3"/>
  <c r="AC66" i="3"/>
  <c r="G66" i="3" s="1"/>
  <c r="H67" i="3"/>
  <c r="AC67" i="3"/>
  <c r="G67" i="3" s="1"/>
  <c r="H68" i="3"/>
  <c r="AC68" i="3"/>
  <c r="H69" i="3"/>
  <c r="AC69" i="3"/>
  <c r="G69" i="3"/>
  <c r="H70" i="3"/>
  <c r="AC70" i="3"/>
  <c r="G70" i="3" s="1"/>
  <c r="H71" i="3"/>
  <c r="G71" i="3" s="1"/>
  <c r="AC71" i="3"/>
  <c r="H72" i="3"/>
  <c r="AC72" i="3"/>
  <c r="H73" i="3"/>
  <c r="G73" i="3" s="1"/>
  <c r="AC73" i="3"/>
  <c r="H74" i="3"/>
  <c r="AC74" i="3"/>
  <c r="G74" i="3" s="1"/>
  <c r="H75" i="3"/>
  <c r="AC75" i="3"/>
  <c r="G75" i="3" s="1"/>
  <c r="H76" i="3"/>
  <c r="AC76" i="3"/>
  <c r="H77" i="3"/>
  <c r="AC77" i="3"/>
  <c r="G77" i="3"/>
  <c r="H78" i="3"/>
  <c r="AC78" i="3"/>
  <c r="G78" i="3" s="1"/>
  <c r="H79" i="3"/>
  <c r="G79" i="3" s="1"/>
  <c r="AC79" i="3"/>
  <c r="H80" i="3"/>
  <c r="AC80" i="3"/>
  <c r="H81" i="3"/>
  <c r="G81" i="3" s="1"/>
  <c r="AC81" i="3"/>
  <c r="H82" i="3"/>
  <c r="AC82" i="3"/>
  <c r="G82" i="3" s="1"/>
  <c r="H83" i="3"/>
  <c r="AC83" i="3"/>
  <c r="G83" i="3" s="1"/>
  <c r="H84" i="3"/>
  <c r="AC84" i="3"/>
  <c r="H85" i="3"/>
  <c r="AC85" i="3"/>
  <c r="G85" i="3"/>
  <c r="H86" i="3"/>
  <c r="AC86" i="3"/>
  <c r="G86" i="3" s="1"/>
  <c r="H87" i="3"/>
  <c r="G87" i="3" s="1"/>
  <c r="AC87" i="3"/>
  <c r="H88" i="3"/>
  <c r="AC88" i="3"/>
  <c r="H89" i="3"/>
  <c r="G89" i="3" s="1"/>
  <c r="AC89" i="3"/>
  <c r="H90" i="3"/>
  <c r="AC90" i="3"/>
  <c r="G90" i="3" s="1"/>
  <c r="H91" i="3"/>
  <c r="AC91" i="3"/>
  <c r="G91" i="3" s="1"/>
  <c r="H92" i="3"/>
  <c r="AC92" i="3"/>
  <c r="H93" i="3"/>
  <c r="AC93" i="3"/>
  <c r="G93" i="3"/>
  <c r="H94" i="3"/>
  <c r="AC94" i="3"/>
  <c r="G94" i="3" s="1"/>
  <c r="H95" i="3"/>
  <c r="G95" i="3" s="1"/>
  <c r="AC95" i="3"/>
  <c r="H96" i="3"/>
  <c r="AC96" i="3"/>
  <c r="H97" i="3"/>
  <c r="G97" i="3" s="1"/>
  <c r="AC97" i="3"/>
  <c r="H98" i="3"/>
  <c r="AC98" i="3"/>
  <c r="G98" i="3" s="1"/>
  <c r="H99" i="3"/>
  <c r="AC99" i="3"/>
  <c r="G99" i="3" s="1"/>
  <c r="H100" i="3"/>
  <c r="AC100" i="3"/>
  <c r="H101" i="3"/>
  <c r="AC101" i="3"/>
  <c r="G101" i="3"/>
  <c r="H102" i="3"/>
  <c r="AC102" i="3"/>
  <c r="G102" i="3" s="1"/>
  <c r="H103" i="3"/>
  <c r="G103" i="3" s="1"/>
  <c r="AC103" i="3"/>
  <c r="H104" i="3"/>
  <c r="AC104" i="3"/>
  <c r="H105" i="3"/>
  <c r="G105" i="3" s="1"/>
  <c r="AC105" i="3"/>
  <c r="H106" i="3"/>
  <c r="AC106" i="3"/>
  <c r="G106" i="3" s="1"/>
  <c r="H107" i="3"/>
  <c r="AC107" i="3"/>
  <c r="G107" i="3" s="1"/>
  <c r="H108" i="3"/>
  <c r="AC108" i="3"/>
  <c r="H109" i="3"/>
  <c r="AC109" i="3"/>
  <c r="G109" i="3"/>
  <c r="H110" i="3"/>
  <c r="AC110" i="3"/>
  <c r="G110" i="3" s="1"/>
  <c r="H111" i="3"/>
  <c r="G111" i="3" s="1"/>
  <c r="AC111" i="3"/>
  <c r="H112" i="3"/>
  <c r="AC112" i="3"/>
  <c r="H113" i="3"/>
  <c r="G113" i="3" s="1"/>
  <c r="AC113" i="3"/>
  <c r="H114" i="3"/>
  <c r="AC114" i="3"/>
  <c r="G114" i="3" s="1"/>
  <c r="H115" i="3"/>
  <c r="AC115" i="3"/>
  <c r="G115" i="3" s="1"/>
  <c r="H116" i="3"/>
  <c r="AC116" i="3"/>
  <c r="H117" i="3"/>
  <c r="AC117" i="3"/>
  <c r="G117" i="3"/>
  <c r="H118" i="3"/>
  <c r="AC118" i="3"/>
  <c r="G118" i="3" s="1"/>
  <c r="H119" i="3"/>
  <c r="G119" i="3" s="1"/>
  <c r="AC119" i="3"/>
  <c r="H120" i="3"/>
  <c r="AC120" i="3"/>
  <c r="H121" i="3"/>
  <c r="G121" i="3" s="1"/>
  <c r="AC121" i="3"/>
  <c r="H122" i="3"/>
  <c r="AC122" i="3"/>
  <c r="G122" i="3" s="1"/>
  <c r="H123" i="3"/>
  <c r="AC123" i="3"/>
  <c r="G123" i="3" s="1"/>
  <c r="H124" i="3"/>
  <c r="AC124" i="3"/>
  <c r="H125" i="3"/>
  <c r="AC125" i="3"/>
  <c r="G125" i="3"/>
  <c r="H126" i="3"/>
  <c r="AC126" i="3"/>
  <c r="G126" i="3" s="1"/>
  <c r="H127" i="3"/>
  <c r="G127" i="3" s="1"/>
  <c r="AC127" i="3"/>
  <c r="H128" i="3"/>
  <c r="AC128" i="3"/>
  <c r="H129" i="3"/>
  <c r="G129" i="3" s="1"/>
  <c r="AC129" i="3"/>
  <c r="H130" i="3"/>
  <c r="AC130" i="3"/>
  <c r="G130" i="3" s="1"/>
  <c r="H131" i="3"/>
  <c r="AC131" i="3"/>
  <c r="G131" i="3" s="1"/>
  <c r="H132" i="3"/>
  <c r="AC132" i="3"/>
  <c r="H133" i="3"/>
  <c r="AC133" i="3"/>
  <c r="G133" i="3"/>
  <c r="H134" i="3"/>
  <c r="AC134" i="3"/>
  <c r="G134" i="3" s="1"/>
  <c r="H135" i="3"/>
  <c r="G135" i="3" s="1"/>
  <c r="AC135" i="3"/>
  <c r="H136" i="3"/>
  <c r="AC136" i="3"/>
  <c r="H137" i="3"/>
  <c r="G137" i="3" s="1"/>
  <c r="AC137" i="3"/>
  <c r="H138" i="3"/>
  <c r="AC138" i="3"/>
  <c r="G138" i="3" s="1"/>
  <c r="H139" i="3"/>
  <c r="AC139" i="3"/>
  <c r="G139" i="3" s="1"/>
  <c r="H140" i="3"/>
  <c r="AC140" i="3"/>
  <c r="H141" i="3"/>
  <c r="AC141" i="3"/>
  <c r="G141" i="3"/>
  <c r="H142" i="3"/>
  <c r="AC142" i="3"/>
  <c r="G142" i="3" s="1"/>
  <c r="H143" i="3"/>
  <c r="AC143" i="3"/>
  <c r="G143" i="3" s="1"/>
  <c r="H144" i="3"/>
  <c r="G144" i="3" s="1"/>
  <c r="AC144" i="3"/>
  <c r="H145" i="3"/>
  <c r="AC145" i="3"/>
  <c r="H146" i="3"/>
  <c r="AC146" i="3"/>
  <c r="G146" i="3"/>
  <c r="H147" i="3"/>
  <c r="AC147" i="3"/>
  <c r="G147" i="3" s="1"/>
  <c r="H148" i="3"/>
  <c r="AC148" i="3"/>
  <c r="G148" i="3" s="1"/>
  <c r="H149" i="3"/>
  <c r="AC149" i="3"/>
  <c r="H150" i="3"/>
  <c r="G150" i="3" s="1"/>
  <c r="AC150" i="3"/>
  <c r="H151" i="3"/>
  <c r="AC151" i="3"/>
  <c r="G151" i="3" s="1"/>
  <c r="H152" i="3"/>
  <c r="G152" i="3" s="1"/>
  <c r="AC152" i="3"/>
  <c r="H153" i="3"/>
  <c r="AC153" i="3"/>
  <c r="H154" i="3"/>
  <c r="AC154" i="3"/>
  <c r="G154" i="3"/>
  <c r="H155" i="3"/>
  <c r="AC155" i="3"/>
  <c r="G155" i="3" s="1"/>
  <c r="H156" i="3"/>
  <c r="AC156" i="3"/>
  <c r="G156" i="3" s="1"/>
  <c r="H157" i="3"/>
  <c r="AC157" i="3"/>
  <c r="H158" i="3"/>
  <c r="G158" i="3" s="1"/>
  <c r="AC158" i="3"/>
  <c r="H159" i="3"/>
  <c r="AC159" i="3"/>
  <c r="G159" i="3" s="1"/>
  <c r="H160" i="3"/>
  <c r="G160" i="3" s="1"/>
  <c r="AC160" i="3"/>
  <c r="H161" i="3"/>
  <c r="AC161" i="3"/>
  <c r="H162" i="3"/>
  <c r="AC162" i="3"/>
  <c r="G162" i="3"/>
  <c r="H163" i="3"/>
  <c r="AC163" i="3"/>
  <c r="G163" i="3" s="1"/>
  <c r="H164" i="3"/>
  <c r="AC164" i="3"/>
  <c r="G164" i="3" s="1"/>
  <c r="H165" i="3"/>
  <c r="AC165" i="3"/>
  <c r="H166" i="3"/>
  <c r="G166" i="3" s="1"/>
  <c r="AC166" i="3"/>
  <c r="H167" i="3"/>
  <c r="AC167" i="3"/>
  <c r="G167" i="3" s="1"/>
  <c r="H168" i="3"/>
  <c r="G168" i="3" s="1"/>
  <c r="AC168" i="3"/>
  <c r="H169" i="3"/>
  <c r="AC169" i="3"/>
  <c r="H170" i="3"/>
  <c r="AC170" i="3"/>
  <c r="G170" i="3"/>
  <c r="H171" i="3"/>
  <c r="AC171" i="3"/>
  <c r="G171" i="3" s="1"/>
  <c r="H172" i="3"/>
  <c r="AC172" i="3"/>
  <c r="G172" i="3" s="1"/>
  <c r="H173" i="3"/>
  <c r="AC173" i="3"/>
  <c r="H174" i="3"/>
  <c r="G174" i="3" s="1"/>
  <c r="AC174" i="3"/>
  <c r="H175" i="3"/>
  <c r="AC175" i="3"/>
  <c r="G175" i="3" s="1"/>
  <c r="H176" i="3"/>
  <c r="G176" i="3" s="1"/>
  <c r="AC176" i="3"/>
  <c r="H177" i="3"/>
  <c r="AC177" i="3"/>
  <c r="H178" i="3"/>
  <c r="AC178" i="3"/>
  <c r="G178" i="3"/>
  <c r="H179" i="3"/>
  <c r="AC179" i="3"/>
  <c r="G179" i="3" s="1"/>
  <c r="H180" i="3"/>
  <c r="AC180" i="3"/>
  <c r="G180" i="3" s="1"/>
  <c r="H181" i="3"/>
  <c r="AC181" i="3"/>
  <c r="H182" i="3"/>
  <c r="G182" i="3" s="1"/>
  <c r="AC182" i="3"/>
  <c r="H183" i="3"/>
  <c r="AC183" i="3"/>
  <c r="G183" i="3" s="1"/>
  <c r="H184" i="3"/>
  <c r="G184" i="3" s="1"/>
  <c r="AC184" i="3"/>
  <c r="H185" i="3"/>
  <c r="AC185" i="3"/>
  <c r="H186" i="3"/>
  <c r="AC186" i="3"/>
  <c r="G186" i="3"/>
  <c r="H187" i="3"/>
  <c r="AC187" i="3"/>
  <c r="G187" i="3" s="1"/>
  <c r="H188" i="3"/>
  <c r="AC188" i="3"/>
  <c r="G188" i="3" s="1"/>
  <c r="H189" i="3"/>
  <c r="AC189" i="3"/>
  <c r="H190" i="3"/>
  <c r="G190" i="3" s="1"/>
  <c r="AC190" i="3"/>
  <c r="H191" i="3"/>
  <c r="AC191" i="3"/>
  <c r="G191" i="3" s="1"/>
  <c r="H192" i="3"/>
  <c r="AC192" i="3"/>
  <c r="G192" i="3" s="1"/>
  <c r="H193" i="3"/>
  <c r="AC193" i="3"/>
  <c r="H194" i="3"/>
  <c r="AC194" i="3"/>
  <c r="G194" i="3"/>
  <c r="H195" i="3"/>
  <c r="AC195" i="3"/>
  <c r="G195" i="3" s="1"/>
  <c r="H196" i="3"/>
  <c r="G196" i="3" s="1"/>
  <c r="AC196" i="3"/>
  <c r="H197" i="3"/>
  <c r="AC197" i="3"/>
  <c r="H198" i="3"/>
  <c r="G198" i="3" s="1"/>
  <c r="AC198" i="3"/>
  <c r="H199" i="3"/>
  <c r="AC199" i="3"/>
  <c r="G199" i="3" s="1"/>
  <c r="H200" i="3"/>
  <c r="AC200" i="3"/>
  <c r="G200" i="3" s="1"/>
  <c r="H201" i="3"/>
  <c r="AC201" i="3"/>
  <c r="H202" i="3"/>
  <c r="AC202" i="3"/>
  <c r="G202" i="3"/>
  <c r="H203" i="3"/>
  <c r="AC203" i="3"/>
  <c r="G203" i="3" s="1"/>
  <c r="H204" i="3"/>
  <c r="G204" i="3" s="1"/>
  <c r="AC204" i="3"/>
  <c r="H205" i="3"/>
  <c r="AC205" i="3"/>
  <c r="H206" i="3"/>
  <c r="G206" i="3" s="1"/>
  <c r="AC206" i="3"/>
  <c r="H207" i="3"/>
  <c r="AC207" i="3"/>
  <c r="G207" i="3" s="1"/>
  <c r="H208" i="3"/>
  <c r="AC208" i="3"/>
  <c r="G208" i="3" s="1"/>
  <c r="H209" i="3"/>
  <c r="AC209" i="3"/>
  <c r="H210" i="3"/>
  <c r="AC210" i="3"/>
  <c r="G210" i="3"/>
  <c r="H211" i="3"/>
  <c r="AC211" i="3"/>
  <c r="G211" i="3" s="1"/>
  <c r="H212" i="3"/>
  <c r="G212" i="3" s="1"/>
  <c r="AC212" i="3"/>
  <c r="H213" i="3"/>
  <c r="AC213" i="3"/>
  <c r="H214" i="3"/>
  <c r="G214" i="3" s="1"/>
  <c r="AC214" i="3"/>
  <c r="H215" i="3"/>
  <c r="AC215" i="3"/>
  <c r="G215" i="3" s="1"/>
  <c r="H216" i="3"/>
  <c r="AC216" i="3"/>
  <c r="G216" i="3" s="1"/>
  <c r="H217" i="3"/>
  <c r="AC217" i="3"/>
  <c r="H218" i="3"/>
  <c r="AC218" i="3"/>
  <c r="G218" i="3"/>
  <c r="H219" i="3"/>
  <c r="AC219" i="3"/>
  <c r="G219" i="3" s="1"/>
  <c r="H220" i="3"/>
  <c r="G220" i="3" s="1"/>
  <c r="AC220" i="3"/>
  <c r="H221" i="3"/>
  <c r="AC221" i="3"/>
  <c r="H222" i="3"/>
  <c r="AC222" i="3"/>
  <c r="H223" i="3"/>
  <c r="AC223" i="3"/>
  <c r="G223" i="3"/>
  <c r="H224" i="3"/>
  <c r="AC224" i="3"/>
  <c r="G224" i="3" s="1"/>
  <c r="H225" i="3"/>
  <c r="G225" i="3" s="1"/>
  <c r="AC225" i="3"/>
  <c r="H226" i="3"/>
  <c r="AC226" i="3"/>
  <c r="H227" i="3"/>
  <c r="G227" i="3" s="1"/>
  <c r="AC227" i="3"/>
  <c r="H228" i="3"/>
  <c r="AC228" i="3"/>
  <c r="G228" i="3" s="1"/>
  <c r="H229" i="3"/>
  <c r="AC229" i="3"/>
  <c r="G229" i="3" s="1"/>
  <c r="H230" i="3"/>
  <c r="AC230" i="3"/>
  <c r="H231" i="3"/>
  <c r="AC231" i="3"/>
  <c r="G231" i="3"/>
  <c r="H232" i="3"/>
  <c r="AC232" i="3"/>
  <c r="G232" i="3" s="1"/>
  <c r="H233" i="3"/>
  <c r="G233" i="3" s="1"/>
  <c r="AC233" i="3"/>
  <c r="H234" i="3"/>
  <c r="AC234" i="3"/>
  <c r="H235" i="3"/>
  <c r="G235" i="3" s="1"/>
  <c r="AC235" i="3"/>
  <c r="H236" i="3"/>
  <c r="AC236" i="3"/>
  <c r="G236" i="3" s="1"/>
  <c r="H237" i="3"/>
  <c r="AC237" i="3"/>
  <c r="G237" i="3" s="1"/>
  <c r="H238" i="3"/>
  <c r="AC238" i="3"/>
  <c r="H239" i="3"/>
  <c r="AC239" i="3"/>
  <c r="G239" i="3"/>
  <c r="H240" i="3"/>
  <c r="AC240" i="3"/>
  <c r="G240" i="3" s="1"/>
  <c r="H241" i="3"/>
  <c r="G241" i="3" s="1"/>
  <c r="AC241" i="3"/>
  <c r="H242" i="3"/>
  <c r="AC242" i="3"/>
  <c r="H243" i="3"/>
  <c r="G243" i="3" s="1"/>
  <c r="AC243" i="3"/>
  <c r="H244" i="3"/>
  <c r="AC244" i="3"/>
  <c r="G244" i="3" s="1"/>
  <c r="H245" i="3"/>
  <c r="AC245" i="3"/>
  <c r="G245" i="3" s="1"/>
  <c r="H246" i="3"/>
  <c r="AC246" i="3"/>
  <c r="H247" i="3"/>
  <c r="AC247" i="3"/>
  <c r="G247" i="3"/>
  <c r="H248" i="3"/>
  <c r="AC248" i="3"/>
  <c r="G248" i="3" s="1"/>
  <c r="H249" i="3"/>
  <c r="G249" i="3" s="1"/>
  <c r="AC249" i="3"/>
  <c r="H250" i="3"/>
  <c r="AC250" i="3"/>
  <c r="H251" i="3"/>
  <c r="G251" i="3" s="1"/>
  <c r="AC251" i="3"/>
  <c r="H252" i="3"/>
  <c r="AC252" i="3"/>
  <c r="G252" i="3" s="1"/>
  <c r="H253" i="3"/>
  <c r="AC253" i="3"/>
  <c r="G253" i="3" s="1"/>
  <c r="H254" i="3"/>
  <c r="AC254" i="3"/>
  <c r="H255" i="3"/>
  <c r="AC255" i="3"/>
  <c r="G255" i="3"/>
  <c r="H256" i="3"/>
  <c r="AC256" i="3"/>
  <c r="G256" i="3" s="1"/>
  <c r="H257" i="3"/>
  <c r="G257" i="3" s="1"/>
  <c r="AC257" i="3"/>
  <c r="H258" i="3"/>
  <c r="AC258" i="3"/>
  <c r="H259" i="3"/>
  <c r="G259" i="3" s="1"/>
  <c r="AC259" i="3"/>
  <c r="H260" i="3"/>
  <c r="AC260" i="3"/>
  <c r="G260" i="3" s="1"/>
  <c r="H261" i="3"/>
  <c r="AC261" i="3"/>
  <c r="G261" i="3" s="1"/>
  <c r="H262" i="3"/>
  <c r="AC262" i="3"/>
  <c r="H263" i="3"/>
  <c r="AC263" i="3"/>
  <c r="G263" i="3"/>
  <c r="H264" i="3"/>
  <c r="AC264" i="3"/>
  <c r="G264" i="3" s="1"/>
  <c r="H265" i="3"/>
  <c r="G265" i="3" s="1"/>
  <c r="AC265" i="3"/>
  <c r="H266" i="3"/>
  <c r="AC266" i="3"/>
  <c r="H267" i="3"/>
  <c r="G267" i="3" s="1"/>
  <c r="AC267" i="3"/>
  <c r="H268" i="3"/>
  <c r="AC268" i="3"/>
  <c r="G268" i="3" s="1"/>
  <c r="H269" i="3"/>
  <c r="AC269" i="3"/>
  <c r="G269" i="3" s="1"/>
  <c r="H270" i="3"/>
  <c r="AC270" i="3"/>
  <c r="H271" i="3"/>
  <c r="AC271" i="3"/>
  <c r="G271" i="3"/>
  <c r="H272" i="3"/>
  <c r="AC272" i="3"/>
  <c r="G272" i="3" s="1"/>
  <c r="H273" i="3"/>
  <c r="G273" i="3" s="1"/>
  <c r="AC273" i="3"/>
  <c r="H274" i="3"/>
  <c r="AC274" i="3"/>
  <c r="H275" i="3"/>
  <c r="G275" i="3" s="1"/>
  <c r="AC275" i="3"/>
  <c r="H276" i="3"/>
  <c r="AC276" i="3"/>
  <c r="G276" i="3" s="1"/>
  <c r="H277" i="3"/>
  <c r="AC277" i="3"/>
  <c r="G277" i="3" s="1"/>
  <c r="H278" i="3"/>
  <c r="AC278" i="3"/>
  <c r="H279" i="3"/>
  <c r="AC279" i="3"/>
  <c r="G279" i="3"/>
  <c r="H280" i="3"/>
  <c r="AC280" i="3"/>
  <c r="G280" i="3" s="1"/>
  <c r="H281" i="3"/>
  <c r="G281" i="3" s="1"/>
  <c r="AC281" i="3"/>
  <c r="H282" i="3"/>
  <c r="AC282" i="3"/>
  <c r="H283" i="3"/>
  <c r="G283" i="3" s="1"/>
  <c r="AC283" i="3"/>
  <c r="H284" i="3"/>
  <c r="AC284" i="3"/>
  <c r="G284" i="3" s="1"/>
  <c r="H285" i="3"/>
  <c r="AC285" i="3"/>
  <c r="G285" i="3" s="1"/>
  <c r="H286" i="3"/>
  <c r="AC286" i="3"/>
  <c r="H287" i="3"/>
  <c r="AC287" i="3"/>
  <c r="G287" i="3"/>
  <c r="H288" i="3"/>
  <c r="AC288" i="3"/>
  <c r="G288" i="3" s="1"/>
  <c r="H289" i="3"/>
  <c r="G289" i="3" s="1"/>
  <c r="AC289" i="3"/>
  <c r="H290" i="3"/>
  <c r="AC290" i="3"/>
  <c r="H291" i="3"/>
  <c r="G291" i="3" s="1"/>
  <c r="AC291" i="3"/>
  <c r="H292" i="3"/>
  <c r="AC292" i="3"/>
  <c r="G292" i="3" s="1"/>
  <c r="H293" i="3"/>
  <c r="AC293" i="3"/>
  <c r="G293" i="3" s="1"/>
  <c r="H294" i="3"/>
  <c r="AC294" i="3"/>
  <c r="H295" i="3"/>
  <c r="AC295" i="3"/>
  <c r="G295" i="3"/>
  <c r="H296" i="3"/>
  <c r="AC296" i="3"/>
  <c r="G296" i="3" s="1"/>
  <c r="H297" i="3"/>
  <c r="G297" i="3" s="1"/>
  <c r="AC297" i="3"/>
  <c r="H298" i="3"/>
  <c r="AC298" i="3"/>
  <c r="H299" i="3"/>
  <c r="G299" i="3" s="1"/>
  <c r="AC299" i="3"/>
  <c r="H300" i="3"/>
  <c r="AC300" i="3"/>
  <c r="G300" i="3" s="1"/>
  <c r="H301" i="3"/>
  <c r="AC301" i="3"/>
  <c r="G301" i="3" s="1"/>
  <c r="H302" i="3"/>
  <c r="AC302" i="3"/>
  <c r="H303" i="3"/>
  <c r="AC303" i="3"/>
  <c r="G303" i="3"/>
  <c r="H304" i="3"/>
  <c r="AC304" i="3"/>
  <c r="G304" i="3" s="1"/>
  <c r="H305" i="3"/>
  <c r="G305" i="3" s="1"/>
  <c r="AC305" i="3"/>
  <c r="H306" i="3"/>
  <c r="AC306" i="3"/>
  <c r="H307" i="3"/>
  <c r="G307" i="3" s="1"/>
  <c r="AC307" i="3"/>
  <c r="H308" i="3"/>
  <c r="AC308" i="3"/>
  <c r="G308" i="3" s="1"/>
  <c r="H309" i="3"/>
  <c r="AC309" i="3"/>
  <c r="G309" i="3" s="1"/>
  <c r="H310" i="3"/>
  <c r="AC310" i="3"/>
  <c r="H311" i="3"/>
  <c r="AC311" i="3"/>
  <c r="G311" i="3"/>
  <c r="H312" i="3"/>
  <c r="AC312" i="3"/>
  <c r="G312" i="3" s="1"/>
  <c r="H313" i="3"/>
  <c r="G313" i="3" s="1"/>
  <c r="AC313" i="3"/>
  <c r="H314" i="3"/>
  <c r="AC314" i="3"/>
  <c r="H315" i="3"/>
  <c r="G315" i="3" s="1"/>
  <c r="AC315" i="3"/>
  <c r="H316" i="3"/>
  <c r="AC316" i="3"/>
  <c r="G316" i="3" s="1"/>
  <c r="H317" i="3"/>
  <c r="AC317" i="3"/>
  <c r="G317" i="3" s="1"/>
  <c r="H318" i="3"/>
  <c r="AC318" i="3"/>
  <c r="H319" i="3"/>
  <c r="AC319" i="3"/>
  <c r="G319" i="3"/>
  <c r="H320" i="3"/>
  <c r="AC320" i="3"/>
  <c r="G320" i="3" s="1"/>
  <c r="H321" i="3"/>
  <c r="G321" i="3" s="1"/>
  <c r="AC321" i="3"/>
  <c r="H322" i="3"/>
  <c r="AC322" i="3"/>
  <c r="H323" i="3"/>
  <c r="G323" i="3" s="1"/>
  <c r="AC323" i="3"/>
  <c r="H324" i="3"/>
  <c r="AC324" i="3"/>
  <c r="G324" i="3" s="1"/>
  <c r="H325" i="3"/>
  <c r="AC325" i="3"/>
  <c r="G325" i="3" s="1"/>
  <c r="H326" i="3"/>
  <c r="AC326" i="3"/>
  <c r="H327" i="3"/>
  <c r="AC327" i="3"/>
  <c r="G327" i="3"/>
  <c r="H328" i="3"/>
  <c r="AC328" i="3"/>
  <c r="G328" i="3" s="1"/>
  <c r="H329" i="3"/>
  <c r="G329" i="3" s="1"/>
  <c r="AC329" i="3"/>
  <c r="H330" i="3"/>
  <c r="AC330" i="3"/>
  <c r="H331" i="3"/>
  <c r="G331" i="3" s="1"/>
  <c r="AC331" i="3"/>
  <c r="H332" i="3"/>
  <c r="AC332" i="3"/>
  <c r="G332" i="3" s="1"/>
  <c r="H333" i="3"/>
  <c r="AC333" i="3"/>
  <c r="G333" i="3" s="1"/>
  <c r="H334" i="3"/>
  <c r="AC334" i="3"/>
  <c r="H335" i="3"/>
  <c r="AC335" i="3"/>
  <c r="G335" i="3"/>
  <c r="H336" i="3"/>
  <c r="AC336" i="3"/>
  <c r="G336" i="3" s="1"/>
  <c r="H337" i="3"/>
  <c r="G337" i="3" s="1"/>
  <c r="AC337" i="3"/>
  <c r="H338" i="3"/>
  <c r="AC338" i="3"/>
  <c r="H339" i="3"/>
  <c r="G339" i="3" s="1"/>
  <c r="AC339" i="3"/>
  <c r="H340" i="3"/>
  <c r="AC340" i="3"/>
  <c r="G340" i="3" s="1"/>
  <c r="H341" i="3"/>
  <c r="AC341" i="3"/>
  <c r="G341" i="3" s="1"/>
  <c r="H342" i="3"/>
  <c r="AC342" i="3"/>
  <c r="H343" i="3"/>
  <c r="AC343" i="3"/>
  <c r="G343" i="3"/>
  <c r="H344" i="3"/>
  <c r="AC344" i="3"/>
  <c r="G344" i="3" s="1"/>
  <c r="H345" i="3"/>
  <c r="G345" i="3" s="1"/>
  <c r="AC345" i="3"/>
  <c r="H346" i="3"/>
  <c r="AC346" i="3"/>
  <c r="H347" i="3"/>
  <c r="G347" i="3" s="1"/>
  <c r="AC347" i="3"/>
  <c r="H348" i="3"/>
  <c r="AC348" i="3"/>
  <c r="G348" i="3" s="1"/>
  <c r="H349" i="3"/>
  <c r="AC349" i="3"/>
  <c r="G349" i="3" s="1"/>
  <c r="H350" i="3"/>
  <c r="AC350" i="3"/>
  <c r="H351" i="3"/>
  <c r="AC351" i="3"/>
  <c r="G351" i="3"/>
  <c r="H352" i="3"/>
  <c r="AC352" i="3"/>
  <c r="G352" i="3" s="1"/>
  <c r="H353" i="3"/>
  <c r="G353" i="3" s="1"/>
  <c r="AC353" i="3"/>
  <c r="H354" i="3"/>
  <c r="AC354" i="3"/>
  <c r="H355" i="3"/>
  <c r="G355" i="3" s="1"/>
  <c r="AC355" i="3"/>
  <c r="H356" i="3"/>
  <c r="AC356" i="3"/>
  <c r="G356" i="3" s="1"/>
  <c r="H357" i="3"/>
  <c r="AC357" i="3"/>
  <c r="G357" i="3" s="1"/>
  <c r="H358" i="3"/>
  <c r="AC358" i="3"/>
  <c r="H359" i="3"/>
  <c r="AC359" i="3"/>
  <c r="G359" i="3"/>
  <c r="H360" i="3"/>
  <c r="AC360" i="3"/>
  <c r="G360" i="3" s="1"/>
  <c r="H361" i="3"/>
  <c r="G361" i="3" s="1"/>
  <c r="AC361" i="3"/>
  <c r="H362" i="3"/>
  <c r="AC362" i="3"/>
  <c r="H363" i="3"/>
  <c r="G363" i="3" s="1"/>
  <c r="AC363" i="3"/>
  <c r="H364" i="3"/>
  <c r="AC364" i="3"/>
  <c r="G364" i="3" s="1"/>
  <c r="H365" i="3"/>
  <c r="AC365" i="3"/>
  <c r="G365" i="3" s="1"/>
  <c r="H366" i="3"/>
  <c r="AC366" i="3"/>
  <c r="H367" i="3"/>
  <c r="AC367" i="3"/>
  <c r="G367" i="3"/>
  <c r="H368" i="3"/>
  <c r="AC368" i="3"/>
  <c r="G368" i="3" s="1"/>
  <c r="H369" i="3"/>
  <c r="G369" i="3" s="1"/>
  <c r="AC369" i="3"/>
  <c r="H370" i="3"/>
  <c r="AC370" i="3"/>
  <c r="H371" i="3"/>
  <c r="G371" i="3" s="1"/>
  <c r="AC371" i="3"/>
  <c r="H372" i="3"/>
  <c r="AC372" i="3"/>
  <c r="G372" i="3" s="1"/>
  <c r="H373" i="3"/>
  <c r="AC373" i="3"/>
  <c r="G373" i="3" s="1"/>
  <c r="H374" i="3"/>
  <c r="AC374" i="3"/>
  <c r="H375" i="3"/>
  <c r="AC375" i="3"/>
  <c r="G375" i="3"/>
  <c r="H376" i="3"/>
  <c r="AC376" i="3"/>
  <c r="G376" i="3" s="1"/>
  <c r="H377" i="3"/>
  <c r="G377" i="3" s="1"/>
  <c r="AC377" i="3"/>
  <c r="H378" i="3"/>
  <c r="AC378" i="3"/>
  <c r="H379" i="3"/>
  <c r="G379" i="3" s="1"/>
  <c r="AC379" i="3"/>
  <c r="H380" i="3"/>
  <c r="AC380" i="3"/>
  <c r="G380" i="3" s="1"/>
  <c r="H381" i="3"/>
  <c r="AC381" i="3"/>
  <c r="G381" i="3" s="1"/>
  <c r="H382" i="3"/>
  <c r="AC382" i="3"/>
  <c r="H383" i="3"/>
  <c r="AC383" i="3"/>
  <c r="G383" i="3"/>
  <c r="H384" i="3"/>
  <c r="AC384" i="3"/>
  <c r="G384" i="3" s="1"/>
  <c r="H385" i="3"/>
  <c r="G385" i="3" s="1"/>
  <c r="AC385" i="3"/>
  <c r="H386" i="3"/>
  <c r="AC386" i="3"/>
  <c r="H387" i="3"/>
  <c r="G387" i="3" s="1"/>
  <c r="AC387" i="3"/>
  <c r="H388" i="3"/>
  <c r="AC388" i="3"/>
  <c r="G388" i="3" s="1"/>
  <c r="H389" i="3"/>
  <c r="AC389" i="3"/>
  <c r="G389" i="3" s="1"/>
  <c r="H390" i="3"/>
  <c r="AC390" i="3"/>
  <c r="H391" i="3"/>
  <c r="AC391" i="3"/>
  <c r="G391" i="3"/>
  <c r="H392" i="3"/>
  <c r="AC392" i="3"/>
  <c r="G392" i="3" s="1"/>
  <c r="H393" i="3"/>
  <c r="G393" i="3" s="1"/>
  <c r="AC393" i="3"/>
  <c r="H394" i="3"/>
  <c r="AC394" i="3"/>
  <c r="H395" i="3"/>
  <c r="G395" i="3" s="1"/>
  <c r="AC395" i="3"/>
  <c r="H396" i="3"/>
  <c r="AC396" i="3"/>
  <c r="G396" i="3" s="1"/>
  <c r="H397" i="3"/>
  <c r="AC397" i="3"/>
  <c r="G397" i="3" s="1"/>
  <c r="H398" i="3"/>
  <c r="AC398" i="3"/>
  <c r="H399" i="3"/>
  <c r="AC399" i="3"/>
  <c r="G399" i="3"/>
  <c r="H400" i="3"/>
  <c r="AC400" i="3"/>
  <c r="G400" i="3" s="1"/>
  <c r="H401" i="3"/>
  <c r="G401" i="3" s="1"/>
  <c r="AC401" i="3"/>
  <c r="H402" i="3"/>
  <c r="AC402" i="3"/>
  <c r="H403" i="3"/>
  <c r="G403" i="3" s="1"/>
  <c r="AC403" i="3"/>
  <c r="H404" i="3"/>
  <c r="AC404" i="3"/>
  <c r="G404" i="3" s="1"/>
  <c r="H405" i="3"/>
  <c r="AC405" i="3"/>
  <c r="G405" i="3" s="1"/>
  <c r="H406" i="3"/>
  <c r="AC406" i="3"/>
  <c r="H407" i="3"/>
  <c r="AC407" i="3"/>
  <c r="G407" i="3"/>
  <c r="H408" i="3"/>
  <c r="AC408" i="3"/>
  <c r="G408" i="3" s="1"/>
  <c r="H409" i="3"/>
  <c r="G409" i="3" s="1"/>
  <c r="AC409" i="3"/>
  <c r="H410" i="3"/>
  <c r="AC410" i="3"/>
  <c r="H411" i="3"/>
  <c r="G411" i="3" s="1"/>
  <c r="AC411" i="3"/>
  <c r="H412" i="3"/>
  <c r="AC412" i="3"/>
  <c r="G412" i="3" s="1"/>
  <c r="H413" i="3"/>
  <c r="AC413" i="3"/>
  <c r="G413" i="3" s="1"/>
  <c r="H414" i="3"/>
  <c r="AC414" i="3"/>
  <c r="H415" i="3"/>
  <c r="AC415" i="3"/>
  <c r="G415" i="3"/>
  <c r="H416" i="3"/>
  <c r="AC416" i="3"/>
  <c r="G416" i="3" s="1"/>
  <c r="H417" i="3"/>
  <c r="G417" i="3" s="1"/>
  <c r="AC417" i="3"/>
  <c r="H418" i="3"/>
  <c r="AC418" i="3"/>
  <c r="H419" i="3"/>
  <c r="G419" i="3" s="1"/>
  <c r="AC419" i="3"/>
  <c r="H420" i="3"/>
  <c r="AC420" i="3"/>
  <c r="G420" i="3" s="1"/>
  <c r="H421" i="3"/>
  <c r="AC421" i="3"/>
  <c r="G421" i="3" s="1"/>
  <c r="H422" i="3"/>
  <c r="AC422" i="3"/>
  <c r="H423" i="3"/>
  <c r="AC423" i="3"/>
  <c r="G423" i="3"/>
  <c r="H424" i="3"/>
  <c r="AC424" i="3"/>
  <c r="G424" i="3" s="1"/>
  <c r="H425" i="3"/>
  <c r="G425" i="3" s="1"/>
  <c r="AC425" i="3"/>
  <c r="H426" i="3"/>
  <c r="AC426" i="3"/>
  <c r="H427" i="3"/>
  <c r="G427" i="3" s="1"/>
  <c r="AC427" i="3"/>
  <c r="H428" i="3"/>
  <c r="AC428" i="3"/>
  <c r="G428" i="3" s="1"/>
  <c r="H429" i="3"/>
  <c r="AC429" i="3"/>
  <c r="G429" i="3" s="1"/>
  <c r="H430" i="3"/>
  <c r="AC430" i="3"/>
  <c r="H431" i="3"/>
  <c r="AC431" i="3"/>
  <c r="G431" i="3"/>
  <c r="H432" i="3"/>
  <c r="AC432" i="3"/>
  <c r="G432" i="3" s="1"/>
  <c r="H433" i="3"/>
  <c r="G433" i="3" s="1"/>
  <c r="AC433" i="3"/>
  <c r="H434" i="3"/>
  <c r="AC434" i="3"/>
  <c r="H435" i="3"/>
  <c r="G435" i="3" s="1"/>
  <c r="AC435" i="3"/>
  <c r="H436" i="3"/>
  <c r="AC436" i="3"/>
  <c r="G436" i="3" s="1"/>
  <c r="H437" i="3"/>
  <c r="AC437" i="3"/>
  <c r="G437" i="3" s="1"/>
  <c r="H438" i="3"/>
  <c r="AC438" i="3"/>
  <c r="H439" i="3"/>
  <c r="AC439" i="3"/>
  <c r="G439" i="3"/>
  <c r="H440" i="3"/>
  <c r="AC440" i="3"/>
  <c r="G440" i="3" s="1"/>
  <c r="H441" i="3"/>
  <c r="G441" i="3" s="1"/>
  <c r="AC441" i="3"/>
  <c r="H442" i="3"/>
  <c r="AC442" i="3"/>
  <c r="H443" i="3"/>
  <c r="G443" i="3" s="1"/>
  <c r="AC443" i="3"/>
  <c r="H444" i="3"/>
  <c r="AC444" i="3"/>
  <c r="G444" i="3" s="1"/>
  <c r="H445" i="3"/>
  <c r="AC445" i="3"/>
  <c r="G445" i="3" s="1"/>
  <c r="H446" i="3"/>
  <c r="AC446" i="3"/>
  <c r="H447" i="3"/>
  <c r="AC447" i="3"/>
  <c r="G447" i="3"/>
  <c r="H448" i="3"/>
  <c r="AC448" i="3"/>
  <c r="G448" i="3" s="1"/>
  <c r="H449" i="3"/>
  <c r="G449" i="3" s="1"/>
  <c r="AC449" i="3"/>
  <c r="H450" i="3"/>
  <c r="AC450" i="3"/>
  <c r="H451" i="3"/>
  <c r="G451" i="3" s="1"/>
  <c r="AC451" i="3"/>
  <c r="H452" i="3"/>
  <c r="AC452" i="3"/>
  <c r="G452" i="3" s="1"/>
  <c r="H453" i="3"/>
  <c r="AC453" i="3"/>
  <c r="G453" i="3" s="1"/>
  <c r="H454" i="3"/>
  <c r="AC454" i="3"/>
  <c r="H455" i="3"/>
  <c r="AC455" i="3"/>
  <c r="G455" i="3"/>
  <c r="H456" i="3"/>
  <c r="AC456" i="3"/>
  <c r="G456" i="3" s="1"/>
  <c r="H457" i="3"/>
  <c r="G457" i="3" s="1"/>
  <c r="AC457" i="3"/>
  <c r="H458" i="3"/>
  <c r="AC458" i="3"/>
  <c r="H459" i="3"/>
  <c r="G459" i="3" s="1"/>
  <c r="AC459" i="3"/>
  <c r="H460" i="3"/>
  <c r="AC460" i="3"/>
  <c r="G460" i="3" s="1"/>
  <c r="H461" i="3"/>
  <c r="AC461" i="3"/>
  <c r="G461" i="3" s="1"/>
  <c r="H462" i="3"/>
  <c r="AC462" i="3"/>
  <c r="H463" i="3"/>
  <c r="AC463" i="3"/>
  <c r="G463" i="3"/>
  <c r="H464" i="3"/>
  <c r="AC464" i="3"/>
  <c r="G464" i="3" s="1"/>
  <c r="H465" i="3"/>
  <c r="G465" i="3" s="1"/>
  <c r="AC465" i="3"/>
  <c r="H466" i="3"/>
  <c r="AC466" i="3"/>
  <c r="H467" i="3"/>
  <c r="G467" i="3" s="1"/>
  <c r="AC467" i="3"/>
  <c r="H468" i="3"/>
  <c r="AC468" i="3"/>
  <c r="G468" i="3" s="1"/>
  <c r="H469" i="3"/>
  <c r="AC469" i="3"/>
  <c r="G469" i="3" s="1"/>
  <c r="H470" i="3"/>
  <c r="AC470" i="3"/>
  <c r="H471" i="3"/>
  <c r="AC471" i="3"/>
  <c r="G471" i="3"/>
  <c r="H472" i="3"/>
  <c r="AC472" i="3"/>
  <c r="G472" i="3" s="1"/>
  <c r="H473" i="3"/>
  <c r="G473" i="3" s="1"/>
  <c r="AC473" i="3"/>
  <c r="H474" i="3"/>
  <c r="AC474" i="3"/>
  <c r="H475" i="3"/>
  <c r="G475" i="3" s="1"/>
  <c r="AC475" i="3"/>
  <c r="H476" i="3"/>
  <c r="AC476" i="3"/>
  <c r="G476" i="3" s="1"/>
  <c r="H477" i="3"/>
  <c r="AC477" i="3"/>
  <c r="G477" i="3" s="1"/>
  <c r="H478" i="3"/>
  <c r="AC478" i="3"/>
  <c r="H479" i="3"/>
  <c r="AC479" i="3"/>
  <c r="G479" i="3"/>
  <c r="H480" i="3"/>
  <c r="AC480" i="3"/>
  <c r="G480" i="3" s="1"/>
  <c r="H481" i="3"/>
  <c r="G481" i="3" s="1"/>
  <c r="AC481" i="3"/>
  <c r="H482" i="3"/>
  <c r="AC482" i="3"/>
  <c r="H483" i="3"/>
  <c r="G483" i="3" s="1"/>
  <c r="AC483" i="3"/>
  <c r="H484" i="3"/>
  <c r="AC484" i="3"/>
  <c r="G484" i="3" s="1"/>
  <c r="H485" i="3"/>
  <c r="AC485" i="3"/>
  <c r="G485" i="3" s="1"/>
  <c r="H486" i="3"/>
  <c r="AC486" i="3"/>
  <c r="H487" i="3"/>
  <c r="AC487" i="3"/>
  <c r="G487" i="3"/>
  <c r="H488" i="3"/>
  <c r="AC488" i="3"/>
  <c r="G488" i="3" s="1"/>
  <c r="H489" i="3"/>
  <c r="G489" i="3" s="1"/>
  <c r="AC489" i="3"/>
  <c r="H490" i="3"/>
  <c r="AC490" i="3"/>
  <c r="H491" i="3"/>
  <c r="G491" i="3" s="1"/>
  <c r="AC491" i="3"/>
  <c r="H492" i="3"/>
  <c r="AC492" i="3"/>
  <c r="G492" i="3" s="1"/>
  <c r="H493" i="3"/>
  <c r="AC493" i="3"/>
  <c r="G493" i="3" s="1"/>
  <c r="H494" i="3"/>
  <c r="AC494" i="3"/>
  <c r="H495" i="3"/>
  <c r="AC495" i="3"/>
  <c r="G495" i="3"/>
  <c r="H496" i="3"/>
  <c r="AC496" i="3"/>
  <c r="G496" i="3" s="1"/>
  <c r="H497" i="3"/>
  <c r="G497" i="3" s="1"/>
  <c r="AC497" i="3"/>
  <c r="H498" i="3"/>
  <c r="AC498" i="3"/>
  <c r="H499" i="3"/>
  <c r="G499" i="3" s="1"/>
  <c r="AC499" i="3"/>
  <c r="H500" i="3"/>
  <c r="AC500" i="3"/>
  <c r="G500" i="3" s="1"/>
  <c r="H501" i="3"/>
  <c r="AC501" i="3"/>
  <c r="G501" i="3" s="1"/>
  <c r="H502" i="3"/>
  <c r="AC502" i="3"/>
  <c r="H503" i="3"/>
  <c r="AC503" i="3"/>
  <c r="G503" i="3"/>
  <c r="H504" i="3"/>
  <c r="AC504" i="3"/>
  <c r="G504" i="3" s="1"/>
  <c r="H505" i="3"/>
  <c r="G505" i="3" s="1"/>
  <c r="AC505" i="3"/>
  <c r="H506" i="3"/>
  <c r="AC506" i="3"/>
  <c r="H507" i="3"/>
  <c r="G507" i="3" s="1"/>
  <c r="AC507" i="3"/>
  <c r="H508" i="3"/>
  <c r="AC508" i="3"/>
  <c r="G508" i="3" s="1"/>
  <c r="H509" i="3"/>
  <c r="AC509" i="3"/>
  <c r="G509" i="3" s="1"/>
  <c r="H510" i="3"/>
  <c r="AC510" i="3"/>
  <c r="H511" i="3"/>
  <c r="AC511" i="3"/>
  <c r="G511" i="3"/>
  <c r="H512" i="3"/>
  <c r="AC512" i="3"/>
  <c r="G512" i="3" s="1"/>
  <c r="H513" i="3"/>
  <c r="G513" i="3" s="1"/>
  <c r="AC513" i="3"/>
  <c r="H514" i="3"/>
  <c r="AC514" i="3"/>
  <c r="H515" i="3"/>
  <c r="G515" i="3" s="1"/>
  <c r="AC515" i="3"/>
  <c r="H516" i="3"/>
  <c r="AC516" i="3"/>
  <c r="G516" i="3" s="1"/>
  <c r="H517" i="3"/>
  <c r="AC517" i="3"/>
  <c r="G517" i="3" s="1"/>
  <c r="H518" i="3"/>
  <c r="AC518" i="3"/>
  <c r="H519" i="3"/>
  <c r="AC519" i="3"/>
  <c r="G519" i="3"/>
  <c r="H520" i="3"/>
  <c r="AC520" i="3"/>
  <c r="G520" i="3" s="1"/>
  <c r="H521" i="3"/>
  <c r="G521" i="3" s="1"/>
  <c r="AC521" i="3"/>
  <c r="H522" i="3"/>
  <c r="AC522" i="3"/>
  <c r="H523" i="3"/>
  <c r="G523" i="3" s="1"/>
  <c r="AC523" i="3"/>
  <c r="H524" i="3"/>
  <c r="AC524" i="3"/>
  <c r="G524" i="3" s="1"/>
  <c r="H525" i="3"/>
  <c r="AC525" i="3"/>
  <c r="G525" i="3" s="1"/>
  <c r="H526" i="3"/>
  <c r="AC526" i="3"/>
  <c r="H527" i="3"/>
  <c r="AC527" i="3"/>
  <c r="G527" i="3"/>
  <c r="H528" i="3"/>
  <c r="AC528" i="3"/>
  <c r="G528" i="3" s="1"/>
  <c r="H529" i="3"/>
  <c r="G529" i="3" s="1"/>
  <c r="AC529" i="3"/>
  <c r="H530" i="3"/>
  <c r="AC530" i="3"/>
  <c r="H531" i="3"/>
  <c r="G531" i="3" s="1"/>
  <c r="AC531" i="3"/>
  <c r="H532" i="3"/>
  <c r="AC532" i="3"/>
  <c r="G532" i="3" s="1"/>
  <c r="H533" i="3"/>
  <c r="AC533" i="3"/>
  <c r="G533" i="3" s="1"/>
  <c r="H534" i="3"/>
  <c r="AC534" i="3"/>
  <c r="H535" i="3"/>
  <c r="AC535" i="3"/>
  <c r="G535" i="3"/>
  <c r="H536" i="3"/>
  <c r="AC536" i="3"/>
  <c r="G536" i="3" s="1"/>
  <c r="H537" i="3"/>
  <c r="G537" i="3" s="1"/>
  <c r="AC537" i="3"/>
  <c r="H538" i="3"/>
  <c r="AC538" i="3"/>
  <c r="H539" i="3"/>
  <c r="G539" i="3" s="1"/>
  <c r="AC539" i="3"/>
  <c r="H540" i="3"/>
  <c r="AC540" i="3"/>
  <c r="G540" i="3" s="1"/>
  <c r="H541" i="3"/>
  <c r="AC541" i="3"/>
  <c r="G541" i="3" s="1"/>
  <c r="H542" i="3"/>
  <c r="AC542" i="3"/>
  <c r="H543" i="3"/>
  <c r="AC543" i="3"/>
  <c r="G543" i="3"/>
  <c r="H544" i="3"/>
  <c r="AC544" i="3"/>
  <c r="G544" i="3" s="1"/>
  <c r="H545" i="3"/>
  <c r="G545" i="3" s="1"/>
  <c r="AC545" i="3"/>
  <c r="H546" i="3"/>
  <c r="AC546" i="3"/>
  <c r="H547" i="3"/>
  <c r="G547" i="3" s="1"/>
  <c r="AC547" i="3"/>
  <c r="H548" i="3"/>
  <c r="AC548" i="3"/>
  <c r="G548" i="3" s="1"/>
  <c r="H549" i="3"/>
  <c r="AC549" i="3"/>
  <c r="G549" i="3" s="1"/>
  <c r="H550" i="3"/>
  <c r="AC550" i="3"/>
  <c r="H551" i="3"/>
  <c r="AC551" i="3"/>
  <c r="G551" i="3"/>
  <c r="H552" i="3"/>
  <c r="AC552" i="3"/>
  <c r="G552" i="3" s="1"/>
  <c r="H553" i="3"/>
  <c r="AC553" i="3"/>
  <c r="H554" i="3"/>
  <c r="AC554" i="3"/>
  <c r="H555" i="3"/>
  <c r="G555" i="3" s="1"/>
  <c r="AC555" i="3"/>
  <c r="H556" i="3"/>
  <c r="AC556" i="3"/>
  <c r="G556" i="3" s="1"/>
  <c r="H557" i="3"/>
  <c r="AC557" i="3"/>
  <c r="G557" i="3" s="1"/>
  <c r="H558" i="3"/>
  <c r="AC558" i="3"/>
  <c r="H559" i="3"/>
  <c r="AC559" i="3"/>
  <c r="G559" i="3"/>
  <c r="H560" i="3"/>
  <c r="AC560" i="3"/>
  <c r="G560" i="3" s="1"/>
  <c r="H561" i="3"/>
  <c r="G561" i="3" s="1"/>
  <c r="AC561" i="3"/>
  <c r="H562" i="3"/>
  <c r="AC562" i="3"/>
  <c r="H563" i="3"/>
  <c r="G563" i="3" s="1"/>
  <c r="AC563" i="3"/>
  <c r="H564" i="3"/>
  <c r="AC564" i="3"/>
  <c r="G564" i="3" s="1"/>
  <c r="H565" i="3"/>
  <c r="AC565" i="3"/>
  <c r="G565" i="3" s="1"/>
  <c r="H566" i="3"/>
  <c r="AC566" i="3"/>
  <c r="H567" i="3"/>
  <c r="AC567" i="3"/>
  <c r="G567" i="3"/>
  <c r="H568" i="3"/>
  <c r="AC568" i="3"/>
  <c r="G568" i="3" s="1"/>
  <c r="H569" i="3"/>
  <c r="AC569" i="3"/>
  <c r="H570" i="3"/>
  <c r="AC570" i="3"/>
  <c r="H571" i="3"/>
  <c r="G571" i="3" s="1"/>
  <c r="AC571" i="3"/>
  <c r="H572" i="3"/>
  <c r="AC572" i="3"/>
  <c r="G572" i="3" s="1"/>
  <c r="AE8" i="59"/>
  <c r="AF8" i="59"/>
  <c r="AG8" i="59"/>
  <c r="AH8" i="59"/>
  <c r="AD8" i="59"/>
  <c r="AB7" i="59"/>
  <c r="AA7" i="59"/>
  <c r="Y7" i="59"/>
  <c r="Z7" i="59" s="1"/>
  <c r="X7" i="59"/>
  <c r="L4" i="9"/>
  <c r="M4" i="9"/>
  <c r="A30" i="51"/>
  <c r="K59" i="15"/>
  <c r="P62" i="15"/>
  <c r="P75" i="15"/>
  <c r="Q74" i="44"/>
  <c r="Q61" i="44"/>
  <c r="Q60" i="44"/>
  <c r="Q53" i="44"/>
  <c r="A16" i="55"/>
  <c r="A15" i="55"/>
  <c r="A14" i="55"/>
  <c r="A11" i="55"/>
  <c r="A10" i="55"/>
  <c r="A9" i="55"/>
  <c r="A8" i="55"/>
  <c r="A6" i="54"/>
  <c r="A8" i="54"/>
  <c r="B53" i="63" s="1"/>
  <c r="A7" i="54"/>
  <c r="C57" i="10"/>
  <c r="A28" i="51"/>
  <c r="A27" i="51"/>
  <c r="AB8" i="59"/>
  <c r="Y8" i="59"/>
  <c r="Z8" i="59" s="1"/>
  <c r="X8" i="59"/>
  <c r="AA8" i="59"/>
  <c r="K75" i="9"/>
  <c r="K6" i="4"/>
  <c r="K76" i="9" s="1"/>
  <c r="L76"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s="1"/>
  <c r="AG3" i="59"/>
  <c r="AH3"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H23" i="59"/>
  <c r="AG23" i="59"/>
  <c r="AE23" i="59"/>
  <c r="AF23" i="59" s="1"/>
  <c r="AD23" i="59"/>
  <c r="AD24" i="59"/>
  <c r="AE24" i="59"/>
  <c r="AF24" i="59" s="1"/>
  <c r="AG24" i="59"/>
  <c r="AH24" i="59"/>
  <c r="X13" i="59"/>
  <c r="Y13" i="59"/>
  <c r="Z13" i="59"/>
  <c r="AA13" i="59"/>
  <c r="AB13" i="59"/>
  <c r="X14" i="59"/>
  <c r="Y14" i="59"/>
  <c r="Z14" i="59" s="1"/>
  <c r="AA14" i="59"/>
  <c r="AB14" i="59"/>
  <c r="X15" i="59"/>
  <c r="Y15" i="59"/>
  <c r="Z15" i="59" s="1"/>
  <c r="AA15" i="59"/>
  <c r="AB15" i="59"/>
  <c r="X16" i="59"/>
  <c r="Y16" i="59"/>
  <c r="Z16" i="59" s="1"/>
  <c r="AA16" i="59"/>
  <c r="AB16" i="59"/>
  <c r="X17" i="59"/>
  <c r="Y17" i="59"/>
  <c r="Z17" i="59"/>
  <c r="AA17" i="59"/>
  <c r="AB17" i="59"/>
  <c r="X18" i="59"/>
  <c r="Y18" i="59"/>
  <c r="Z18" i="59" s="1"/>
  <c r="AA18" i="59"/>
  <c r="AB18" i="59"/>
  <c r="X19" i="59"/>
  <c r="Y19" i="59"/>
  <c r="Z19" i="59" s="1"/>
  <c r="AA19" i="59"/>
  <c r="AB19" i="59"/>
  <c r="X20" i="59"/>
  <c r="Y20" i="59"/>
  <c r="Z20" i="59" s="1"/>
  <c r="AA20" i="59"/>
  <c r="AB20" i="59"/>
  <c r="X21" i="59"/>
  <c r="Y21" i="59"/>
  <c r="Z21" i="59"/>
  <c r="AA21" i="59"/>
  <c r="AB21" i="59"/>
  <c r="AB22" i="59"/>
  <c r="AA22" i="59"/>
  <c r="Y22" i="59"/>
  <c r="X22" i="59"/>
  <c r="S2" i="31"/>
  <c r="M2" i="31"/>
  <c r="N2" i="31"/>
  <c r="O2" i="31"/>
  <c r="P2" i="31"/>
  <c r="Q2" i="31"/>
  <c r="R2" i="31"/>
  <c r="C3" i="65"/>
  <c r="N1" i="65"/>
  <c r="T8" i="59"/>
  <c r="B76" i="63"/>
  <c r="M5" i="54"/>
  <c r="B41" i="63" s="1"/>
  <c r="A23" i="51"/>
  <c r="Y12" i="46"/>
  <c r="AA9" i="46"/>
  <c r="AB9" i="46"/>
  <c r="AC9" i="46"/>
  <c r="AD9" i="46"/>
  <c r="AD10" i="46" s="1"/>
  <c r="AE9" i="46"/>
  <c r="AE10" i="46" s="1"/>
  <c r="AF9" i="46"/>
  <c r="AF10" i="46" s="1"/>
  <c r="AG9" i="46"/>
  <c r="AH9" i="46"/>
  <c r="AH10" i="46" s="1"/>
  <c r="AI9" i="46"/>
  <c r="AI12" i="46" s="1"/>
  <c r="AJ9" i="46"/>
  <c r="Z9" i="46"/>
  <c r="Z10" i="46"/>
  <c r="AI10" i="46"/>
  <c r="AG10" i="46"/>
  <c r="AC10" i="46"/>
  <c r="AA10" i="46"/>
  <c r="Y10" i="46"/>
  <c r="AF12" i="46"/>
  <c r="Z12" i="46"/>
  <c r="AG12" i="46"/>
  <c r="AE12" i="46"/>
  <c r="AC12" i="46"/>
  <c r="AA12" i="46"/>
  <c r="A21" i="64"/>
  <c r="B75" i="63" s="1"/>
  <c r="B73" i="63"/>
  <c r="A28" i="64"/>
  <c r="A27" i="64"/>
  <c r="A15" i="64"/>
  <c r="A14" i="64"/>
  <c r="A11" i="64"/>
  <c r="A3" i="64"/>
  <c r="A45" i="9"/>
  <c r="K40" i="9" s="1"/>
  <c r="A44" i="9"/>
  <c r="C56" i="10"/>
  <c r="A26" i="64" s="1"/>
  <c r="C55" i="10"/>
  <c r="C54" i="10"/>
  <c r="B49" i="63"/>
  <c r="B44" i="63"/>
  <c r="B40" i="63"/>
  <c r="B30" i="63"/>
  <c r="B27" i="63"/>
  <c r="B25" i="63"/>
  <c r="A11" i="51"/>
  <c r="B10" i="63" s="1"/>
  <c r="A26" i="51"/>
  <c r="K39" i="9"/>
  <c r="B58"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c r="A14" i="51"/>
  <c r="B11" i="63"/>
  <c r="B66" i="63"/>
  <c r="A4" i="55"/>
  <c r="B57" i="63" s="1"/>
  <c r="G5" i="54"/>
  <c r="B34" i="63"/>
  <c r="E5" i="54"/>
  <c r="B32" i="63" s="1"/>
  <c r="R2" i="54"/>
  <c r="B24" i="63"/>
  <c r="B19" i="63"/>
  <c r="B49" i="50"/>
  <c r="B5" i="63" s="1"/>
  <c r="B40" i="50"/>
  <c r="B3" i="63" s="1"/>
  <c r="N4" i="63"/>
  <c r="B21" i="63"/>
  <c r="B67" i="63"/>
  <c r="I19" i="46"/>
  <c r="D73" i="59"/>
  <c r="F72" i="59"/>
  <c r="F71" i="59" s="1"/>
  <c r="F70" i="59" s="1"/>
  <c r="E72" i="59"/>
  <c r="E71" i="59" s="1"/>
  <c r="E70" i="59" s="1"/>
  <c r="C72" i="59"/>
  <c r="D72" i="59"/>
  <c r="B72" i="59"/>
  <c r="B71" i="59" s="1"/>
  <c r="B70" i="59" s="1"/>
  <c r="D69" i="59"/>
  <c r="F68" i="59"/>
  <c r="F67" i="59" s="1"/>
  <c r="F66" i="59" s="1"/>
  <c r="E68" i="59"/>
  <c r="E67" i="59" s="1"/>
  <c r="E66" i="59" s="1"/>
  <c r="C68" i="59"/>
  <c r="D68" i="59"/>
  <c r="B68" i="59"/>
  <c r="B67" i="59" s="1"/>
  <c r="B66" i="59" s="1"/>
  <c r="D65" i="59"/>
  <c r="Q64" i="59"/>
  <c r="P64" i="59"/>
  <c r="O64" i="59"/>
  <c r="N64" i="59"/>
  <c r="F64" i="59"/>
  <c r="V64" i="59" s="1"/>
  <c r="E64" i="59"/>
  <c r="E63" i="59" s="1"/>
  <c r="E62" i="59" s="1"/>
  <c r="U64" i="59"/>
  <c r="C64" i="59"/>
  <c r="T64" i="59" s="1"/>
  <c r="B64" i="59"/>
  <c r="S64" i="59"/>
  <c r="Q63" i="59"/>
  <c r="P63" i="59"/>
  <c r="O63" i="59"/>
  <c r="N63" i="59"/>
  <c r="F63" i="59"/>
  <c r="F62" i="59" s="1"/>
  <c r="B63" i="59"/>
  <c r="B62" i="59"/>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Q58" i="59"/>
  <c r="P58" i="59"/>
  <c r="O58" i="59"/>
  <c r="N58" i="59"/>
  <c r="Q57" i="59"/>
  <c r="P57" i="59"/>
  <c r="O57" i="59"/>
  <c r="N57" i="59"/>
  <c r="D57" i="59"/>
  <c r="Q56" i="59"/>
  <c r="P56" i="59"/>
  <c r="O56" i="59"/>
  <c r="N56" i="59"/>
  <c r="F56" i="59"/>
  <c r="V56" i="59" s="1"/>
  <c r="E56" i="59"/>
  <c r="U56" i="59"/>
  <c r="C56" i="59"/>
  <c r="T56" i="59" s="1"/>
  <c r="B56" i="59"/>
  <c r="S56" i="59"/>
  <c r="Q55" i="59"/>
  <c r="P55" i="59"/>
  <c r="O55" i="59"/>
  <c r="N55" i="59"/>
  <c r="F55" i="59"/>
  <c r="F54" i="59" s="1"/>
  <c r="B55" i="59"/>
  <c r="B54" i="59"/>
  <c r="Q54" i="59"/>
  <c r="P54" i="59"/>
  <c r="O54" i="59"/>
  <c r="N54" i="59"/>
  <c r="Q53" i="59"/>
  <c r="P53" i="59"/>
  <c r="O53" i="59"/>
  <c r="N53" i="59"/>
  <c r="D53" i="59"/>
  <c r="F52" i="59"/>
  <c r="V52" i="59" s="1"/>
  <c r="E52" i="59"/>
  <c r="E51" i="59" s="1"/>
  <c r="C52" i="59"/>
  <c r="T52" i="59" s="1"/>
  <c r="B52" i="59"/>
  <c r="N52" i="59" s="1"/>
  <c r="F51" i="59"/>
  <c r="F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D46" i="59" s="1"/>
  <c r="N45" i="59"/>
  <c r="B46" i="59"/>
  <c r="B47" i="59" s="1"/>
  <c r="B48" i="59" s="1"/>
  <c r="S48" i="59" s="1"/>
  <c r="D45" i="59"/>
  <c r="Q44" i="59"/>
  <c r="P44" i="59"/>
  <c r="O44" i="59"/>
  <c r="N44" i="59"/>
  <c r="Q43" i="59"/>
  <c r="P43" i="59"/>
  <c r="O43" i="59"/>
  <c r="N43" i="59"/>
  <c r="Q42" i="59"/>
  <c r="P42" i="59"/>
  <c r="O42" i="59"/>
  <c r="N42" i="59"/>
  <c r="Q41" i="59"/>
  <c r="F42" i="59"/>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c r="E31" i="59" s="1"/>
  <c r="E32" i="59" s="1"/>
  <c r="U32" i="59" s="1"/>
  <c r="O29" i="59"/>
  <c r="C30" i="59" s="1"/>
  <c r="N29" i="59"/>
  <c r="B30"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c r="C27" i="59" s="1"/>
  <c r="N25" i="59"/>
  <c r="B26" i="59"/>
  <c r="B27" i="59" s="1"/>
  <c r="B28" i="59" s="1"/>
  <c r="S28" i="59" s="1"/>
  <c r="D25" i="59"/>
  <c r="Q24" i="59"/>
  <c r="P24" i="59"/>
  <c r="O24" i="59"/>
  <c r="N24" i="59"/>
  <c r="AB23" i="59"/>
  <c r="Y23" i="59"/>
  <c r="Z23" i="59" s="1"/>
  <c r="X23" i="59"/>
  <c r="U24" i="59"/>
  <c r="U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U16" i="59"/>
  <c r="S52" i="59"/>
  <c r="Z22" i="59"/>
  <c r="AA23" i="59"/>
  <c r="V16" i="59"/>
  <c r="V20" i="59"/>
  <c r="V24" i="59"/>
  <c r="D26" i="59"/>
  <c r="C47" i="59"/>
  <c r="C48" i="59" s="1"/>
  <c r="O52" i="59"/>
  <c r="D52" i="59"/>
  <c r="C51" i="59"/>
  <c r="C50" i="59" s="1"/>
  <c r="Q52" i="59"/>
  <c r="E55" i="59"/>
  <c r="E54" i="59" s="1"/>
  <c r="E59" i="59"/>
  <c r="E58" i="59" s="1"/>
  <c r="D60" i="59"/>
  <c r="C63" i="59"/>
  <c r="C62" i="59" s="1"/>
  <c r="D62" i="59" s="1"/>
  <c r="C67" i="59"/>
  <c r="C66" i="59" s="1"/>
  <c r="D66" i="59" s="1"/>
  <c r="C71" i="59"/>
  <c r="D71" i="59" s="1"/>
  <c r="U16" i="4"/>
  <c r="S16" i="4"/>
  <c r="Q16" i="4"/>
  <c r="O16" i="4"/>
  <c r="N16" i="4" s="1"/>
  <c r="M16" i="4"/>
  <c r="K16" i="4"/>
  <c r="D63" i="59"/>
  <c r="D67" i="59"/>
  <c r="L16" i="4"/>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21" i="37"/>
  <c r="B74" i="46"/>
  <c r="E66" i="36"/>
  <c r="H18" i="35"/>
  <c r="J18" i="35"/>
  <c r="H21" i="37"/>
  <c r="J21" i="37"/>
  <c r="E84" i="34"/>
  <c r="F84" i="34" s="1"/>
  <c r="G84" i="34" s="1"/>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1" i="57"/>
  <c r="C32" i="57"/>
  <c r="E26" i="57" s="1"/>
  <c r="I23" i="57"/>
  <c r="D20" i="57"/>
  <c r="I19" i="57"/>
  <c r="I18" i="57"/>
  <c r="I17" i="57"/>
  <c r="I20" i="57" s="1"/>
  <c r="E15" i="57"/>
  <c r="I14" i="57"/>
  <c r="I13" i="57"/>
  <c r="I12" i="57"/>
  <c r="I9" i="57"/>
  <c r="I8" i="57"/>
  <c r="I7" i="57"/>
  <c r="I6" i="57"/>
  <c r="I5" i="57"/>
  <c r="I4" i="57"/>
  <c r="I3" i="57"/>
  <c r="C30" i="57"/>
  <c r="C112" i="9"/>
  <c r="C7" i="11"/>
  <c r="H81" i="46"/>
  <c r="G99" i="46"/>
  <c r="G108" i="46" s="1"/>
  <c r="H99" i="46"/>
  <c r="H108" i="46" s="1"/>
  <c r="I99" i="46"/>
  <c r="I108" i="46" s="1"/>
  <c r="J99" i="46"/>
  <c r="J108" i="46" s="1"/>
  <c r="K99" i="46"/>
  <c r="K108" i="46" s="1"/>
  <c r="L99" i="46"/>
  <c r="L108" i="46" s="1"/>
  <c r="M99" i="46"/>
  <c r="M108" i="46" s="1"/>
  <c r="N99" i="46"/>
  <c r="N108" i="46"/>
  <c r="K100" i="46"/>
  <c r="K58" i="46"/>
  <c r="J58" i="46" s="1"/>
  <c r="K50" i="46"/>
  <c r="J50" i="46" s="1"/>
  <c r="B83" i="46"/>
  <c r="B82" i="46"/>
  <c r="B71" i="46"/>
  <c r="B60" i="46"/>
  <c r="B49" i="46"/>
  <c r="M87" i="46"/>
  <c r="N87" i="46" s="1"/>
  <c r="K87" i="46"/>
  <c r="D87" i="46" s="1"/>
  <c r="M86" i="46"/>
  <c r="N86" i="46" s="1"/>
  <c r="K86" i="46"/>
  <c r="J86" i="46" s="1"/>
  <c r="K85" i="46"/>
  <c r="J85" i="46"/>
  <c r="M84" i="46"/>
  <c r="N84" i="46" s="1"/>
  <c r="J84" i="46"/>
  <c r="M83" i="46"/>
  <c r="N83" i="46" s="1"/>
  <c r="K83" i="46"/>
  <c r="J83" i="46" s="1"/>
  <c r="M82" i="46"/>
  <c r="N82" i="46" s="1"/>
  <c r="K82" i="46"/>
  <c r="D82" i="46" s="1"/>
  <c r="M81" i="46"/>
  <c r="N81" i="46" s="1"/>
  <c r="K81" i="46"/>
  <c r="D81" i="46" s="1"/>
  <c r="M80" i="46"/>
  <c r="N80" i="46" s="1"/>
  <c r="K80" i="46"/>
  <c r="D80" i="46" s="1"/>
  <c r="M77" i="46"/>
  <c r="N77" i="46" s="1"/>
  <c r="K77" i="46"/>
  <c r="J77" i="46" s="1"/>
  <c r="M76" i="46"/>
  <c r="N76" i="46" s="1"/>
  <c r="K76" i="46"/>
  <c r="J76" i="46" s="1"/>
  <c r="M75" i="46"/>
  <c r="N75" i="46" s="1"/>
  <c r="K75" i="46"/>
  <c r="J75" i="46" s="1"/>
  <c r="M74" i="46"/>
  <c r="N74" i="46" s="1"/>
  <c r="K74" i="46"/>
  <c r="J74" i="46" s="1"/>
  <c r="M73" i="46"/>
  <c r="N73" i="46" s="1"/>
  <c r="K73" i="46"/>
  <c r="J73" i="46" s="1"/>
  <c r="M72" i="46"/>
  <c r="N72" i="46"/>
  <c r="K72" i="46"/>
  <c r="J72" i="46" s="1"/>
  <c r="M71" i="46"/>
  <c r="N71" i="46"/>
  <c r="K71" i="46"/>
  <c r="J71" i="46" s="1"/>
  <c r="M70" i="46"/>
  <c r="N70" i="46"/>
  <c r="K70" i="46"/>
  <c r="J70" i="46" s="1"/>
  <c r="M69" i="46"/>
  <c r="N69" i="46"/>
  <c r="K69" i="46"/>
  <c r="J69" i="46" s="1"/>
  <c r="M66" i="46"/>
  <c r="N66" i="46"/>
  <c r="K66" i="46"/>
  <c r="J66" i="46" s="1"/>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J55" i="46" s="1"/>
  <c r="M54" i="46"/>
  <c r="N54" i="46"/>
  <c r="K54" i="46"/>
  <c r="M53" i="46"/>
  <c r="N53" i="46" s="1"/>
  <c r="K53" i="46"/>
  <c r="J53" i="46" s="1"/>
  <c r="M52" i="46"/>
  <c r="N52" i="46" s="1"/>
  <c r="K52" i="46"/>
  <c r="J52" i="46" s="1"/>
  <c r="M51" i="46"/>
  <c r="N51" i="46" s="1"/>
  <c r="K51" i="46"/>
  <c r="J51" i="46" s="1"/>
  <c r="M50" i="46"/>
  <c r="N50" i="46" s="1"/>
  <c r="M49" i="46"/>
  <c r="N49" i="46" s="1"/>
  <c r="K49" i="46"/>
  <c r="J49" i="46" s="1"/>
  <c r="M48" i="46"/>
  <c r="N48" i="46" s="1"/>
  <c r="K48" i="46"/>
  <c r="J48" i="46" s="1"/>
  <c r="M47" i="46"/>
  <c r="N47" i="46" s="1"/>
  <c r="K47" i="46"/>
  <c r="J47" i="46" s="1"/>
  <c r="J54"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s="1"/>
  <c r="D11" i="1"/>
  <c r="D12" i="1"/>
  <c r="D13" i="1"/>
  <c r="D6" i="1"/>
  <c r="D7" i="1"/>
  <c r="D8" i="1"/>
  <c r="D9" i="1"/>
  <c r="D10" i="1"/>
  <c r="C42" i="1"/>
  <c r="A12" i="1"/>
  <c r="R12" i="1"/>
  <c r="A13" i="1"/>
  <c r="B13" i="1" s="1"/>
  <c r="E13" i="1" s="1"/>
  <c r="E19" i="6"/>
  <c r="E20" i="6"/>
  <c r="E21" i="6"/>
  <c r="E23" i="6"/>
  <c r="A11" i="1"/>
  <c r="T4" i="1"/>
  <c r="K12" i="1"/>
  <c r="M12"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c r="C65" i="39" s="1"/>
  <c r="H64" i="39"/>
  <c r="I64" i="39" s="1"/>
  <c r="C64" i="39" s="1"/>
  <c r="H62" i="39"/>
  <c r="I62" i="39" s="1"/>
  <c r="C62" i="39" s="1"/>
  <c r="H61" i="39"/>
  <c r="I61" i="39" s="1"/>
  <c r="C61" i="39" s="1"/>
  <c r="H60" i="39"/>
  <c r="I60" i="39" s="1"/>
  <c r="C60" i="39" s="1"/>
  <c r="L25" i="4"/>
  <c r="C109" i="9"/>
  <c r="C145" i="21"/>
  <c r="K139" i="21" s="1"/>
  <c r="K145" i="21" s="1"/>
  <c r="J142" i="21"/>
  <c r="J140" i="21"/>
  <c r="M87" i="21"/>
  <c r="L87" i="21"/>
  <c r="K87" i="21"/>
  <c r="J87" i="21"/>
  <c r="I87" i="21"/>
  <c r="H87" i="21"/>
  <c r="G87" i="21"/>
  <c r="F87" i="21"/>
  <c r="E87" i="21"/>
  <c r="D87" i="21"/>
  <c r="X7" i="46"/>
  <c r="R26" i="31"/>
  <c r="S26" i="31" s="1"/>
  <c r="R27" i="31"/>
  <c r="R28" i="31"/>
  <c r="S28" i="31" s="1"/>
  <c r="R29" i="31"/>
  <c r="R30" i="31"/>
  <c r="S30" i="31" s="1"/>
  <c r="R31" i="31"/>
  <c r="R32" i="31"/>
  <c r="S32" i="31" s="1"/>
  <c r="R33" i="31"/>
  <c r="R34" i="31"/>
  <c r="S34" i="31" s="1"/>
  <c r="R35" i="31"/>
  <c r="R36" i="31"/>
  <c r="S36" i="3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c r="R53" i="31"/>
  <c r="R54" i="31"/>
  <c r="S54" i="31" s="1"/>
  <c r="R55" i="31"/>
  <c r="R56" i="31"/>
  <c r="S56" i="31"/>
  <c r="R57" i="31"/>
  <c r="R58" i="31"/>
  <c r="S58" i="31" s="1"/>
  <c r="R59" i="31"/>
  <c r="R60" i="31"/>
  <c r="S60" i="31" s="1"/>
  <c r="R61" i="31"/>
  <c r="R62" i="31"/>
  <c r="S62" i="31" s="1"/>
  <c r="R63" i="31"/>
  <c r="R64" i="31"/>
  <c r="S64" i="31" s="1"/>
  <c r="R65" i="31"/>
  <c r="R66" i="31"/>
  <c r="S66" i="31" s="1"/>
  <c r="R67" i="31"/>
  <c r="R68" i="31"/>
  <c r="S68" i="3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c r="R85" i="31"/>
  <c r="R86" i="31"/>
  <c r="S86" i="31" s="1"/>
  <c r="R87" i="31"/>
  <c r="R88" i="31"/>
  <c r="S88" i="31"/>
  <c r="R89" i="31"/>
  <c r="R90" i="31"/>
  <c r="S90" i="31" s="1"/>
  <c r="R91" i="31"/>
  <c r="R92" i="31"/>
  <c r="S92" i="31" s="1"/>
  <c r="R93" i="31"/>
  <c r="R94" i="31"/>
  <c r="S94" i="31" s="1"/>
  <c r="R95" i="31"/>
  <c r="R96" i="31"/>
  <c r="S96" i="31" s="1"/>
  <c r="R97" i="31"/>
  <c r="R98" i="31"/>
  <c r="S98" i="31" s="1"/>
  <c r="R99" i="31"/>
  <c r="R100" i="31"/>
  <c r="S100" i="31"/>
  <c r="R101" i="31"/>
  <c r="R102" i="31"/>
  <c r="S102" i="31" s="1"/>
  <c r="R103" i="31"/>
  <c r="R104" i="31"/>
  <c r="S104" i="3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c r="R121" i="31"/>
  <c r="R122" i="31"/>
  <c r="S122" i="31" s="1"/>
  <c r="R123" i="31"/>
  <c r="R124" i="31"/>
  <c r="S124" i="31" s="1"/>
  <c r="R125" i="31"/>
  <c r="R126" i="31"/>
  <c r="S126" i="31" s="1"/>
  <c r="R127" i="31"/>
  <c r="R128" i="31"/>
  <c r="S128" i="31" s="1"/>
  <c r="R129" i="31"/>
  <c r="R130" i="31"/>
  <c r="S130" i="31" s="1"/>
  <c r="R131" i="31"/>
  <c r="R132" i="31"/>
  <c r="S132" i="31"/>
  <c r="R133" i="31"/>
  <c r="R134" i="31"/>
  <c r="S134" i="31" s="1"/>
  <c r="R135" i="31"/>
  <c r="R136" i="31"/>
  <c r="S136" i="31"/>
  <c r="R137" i="31"/>
  <c r="R138" i="31"/>
  <c r="S138" i="31" s="1"/>
  <c r="R139" i="31"/>
  <c r="R140" i="31"/>
  <c r="S140" i="31" s="1"/>
  <c r="R141" i="31"/>
  <c r="R142" i="31"/>
  <c r="S142" i="31" s="1"/>
  <c r="R143" i="31"/>
  <c r="R144" i="31"/>
  <c r="S144" i="31" s="1"/>
  <c r="R145" i="31"/>
  <c r="R146" i="31"/>
  <c r="S146" i="31" s="1"/>
  <c r="R147" i="31"/>
  <c r="R148" i="31"/>
  <c r="S148" i="31"/>
  <c r="R149" i="31"/>
  <c r="R150" i="31"/>
  <c r="S150" i="31" s="1"/>
  <c r="R151" i="31"/>
  <c r="R152" i="31"/>
  <c r="S152" i="31"/>
  <c r="R153" i="31"/>
  <c r="R154" i="31"/>
  <c r="S154" i="31" s="1"/>
  <c r="R155" i="31"/>
  <c r="R156" i="31"/>
  <c r="S156" i="31" s="1"/>
  <c r="R157" i="31"/>
  <c r="R158" i="31"/>
  <c r="S158" i="31" s="1"/>
  <c r="R159" i="31"/>
  <c r="R160" i="31"/>
  <c r="S160" i="31" s="1"/>
  <c r="R161" i="31"/>
  <c r="R162" i="31"/>
  <c r="S162" i="31" s="1"/>
  <c r="R163" i="31"/>
  <c r="R164" i="31"/>
  <c r="S164" i="31"/>
  <c r="R165" i="31"/>
  <c r="R166" i="31"/>
  <c r="S166" i="31" s="1"/>
  <c r="R167" i="31"/>
  <c r="R168" i="31"/>
  <c r="S168" i="31"/>
  <c r="R169" i="31"/>
  <c r="R170" i="31"/>
  <c r="S170" i="31" s="1"/>
  <c r="R171" i="31"/>
  <c r="R172" i="31"/>
  <c r="S172" i="31" s="1"/>
  <c r="R173" i="31"/>
  <c r="R174" i="31"/>
  <c r="S174" i="31" s="1"/>
  <c r="R175" i="31"/>
  <c r="R176" i="31"/>
  <c r="S176" i="31" s="1"/>
  <c r="R177" i="31"/>
  <c r="R178" i="31"/>
  <c r="S178" i="31" s="1"/>
  <c r="R179" i="31"/>
  <c r="R180" i="31"/>
  <c r="S180" i="3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c r="R197" i="31"/>
  <c r="R198" i="31"/>
  <c r="S198" i="31" s="1"/>
  <c r="R199" i="31"/>
  <c r="R200" i="31"/>
  <c r="S200" i="3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c r="R505" i="31"/>
  <c r="R506" i="31"/>
  <c r="S506" i="31" s="1"/>
  <c r="R507" i="31"/>
  <c r="R508" i="31"/>
  <c r="S508" i="31" s="1"/>
  <c r="R509" i="31"/>
  <c r="R510" i="31"/>
  <c r="S510" i="31" s="1"/>
  <c r="R511" i="31"/>
  <c r="R512" i="31"/>
  <c r="S512" i="31" s="1"/>
  <c r="R513" i="31"/>
  <c r="R514" i="31"/>
  <c r="S514" i="31" s="1"/>
  <c r="R515" i="31"/>
  <c r="R516" i="31"/>
  <c r="S516" i="3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G36" i="4"/>
  <c r="K2" i="54"/>
  <c r="B23" i="63" s="1"/>
  <c r="A3" i="51"/>
  <c r="R41" i="4"/>
  <c r="Q41" i="4"/>
  <c r="P41" i="4"/>
  <c r="O41" i="4"/>
  <c r="N41" i="4"/>
  <c r="M41" i="4"/>
  <c r="L41" i="4"/>
  <c r="K40" i="4"/>
  <c r="T40" i="4" s="1"/>
  <c r="F23" i="4"/>
  <c r="D19" i="4"/>
  <c r="I19" i="4"/>
  <c r="F6" i="1" s="1"/>
  <c r="H19" i="4"/>
  <c r="G19" i="4"/>
  <c r="F19" i="4"/>
  <c r="E19" i="4"/>
  <c r="B2" i="52"/>
  <c r="E22" i="52" s="1"/>
  <c r="N12" i="46"/>
  <c r="F41" i="4"/>
  <c r="J52" i="40" s="1"/>
  <c r="H61" i="49"/>
  <c r="H39" i="46"/>
  <c r="H38" i="46"/>
  <c r="H37" i="46"/>
  <c r="H36" i="46"/>
  <c r="H35" i="46"/>
  <c r="H34" i="46"/>
  <c r="E32" i="6"/>
  <c r="K8" i="1"/>
  <c r="M8" i="1" s="1"/>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7" i="9"/>
  <c r="D17" i="9"/>
  <c r="C18" i="9"/>
  <c r="F17" i="44"/>
  <c r="F19" i="44"/>
  <c r="F22" i="44"/>
  <c r="F25" i="44"/>
  <c r="D25" i="44" s="1"/>
  <c r="F23" i="44"/>
  <c r="E16" i="43"/>
  <c r="F14" i="43"/>
  <c r="F15" i="43"/>
  <c r="F17" i="43"/>
  <c r="F19" i="43"/>
  <c r="F20" i="43"/>
  <c r="F10" i="40"/>
  <c r="AA10" i="40" s="1"/>
  <c r="F11" i="40"/>
  <c r="AA11" i="40"/>
  <c r="C21" i="40"/>
  <c r="C32" i="40"/>
  <c r="F36" i="40"/>
  <c r="AA36" i="40"/>
  <c r="H10" i="40"/>
  <c r="AB10" i="40" s="1"/>
  <c r="H11" i="40"/>
  <c r="AB11" i="40"/>
  <c r="H36" i="40"/>
  <c r="AB36" i="40" s="1"/>
  <c r="J10" i="40"/>
  <c r="AC10" i="40"/>
  <c r="J11" i="40"/>
  <c r="AC11" i="40" s="1"/>
  <c r="J36" i="40"/>
  <c r="AC36" i="40"/>
  <c r="F10" i="39"/>
  <c r="AA10" i="39" s="1"/>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c r="L75" i="9"/>
  <c r="F77" i="9"/>
  <c r="P75" i="9" s="1"/>
  <c r="O74" i="9"/>
  <c r="O73" i="9"/>
  <c r="E66" i="9"/>
  <c r="O72" i="9" s="1"/>
  <c r="F74" i="9"/>
  <c r="P74" i="9" s="1"/>
  <c r="N67" i="9"/>
  <c r="K44" i="9"/>
  <c r="K43" i="9"/>
  <c r="B31" i="1"/>
  <c r="E10" i="11" s="1"/>
  <c r="B22" i="1"/>
  <c r="C2" i="65"/>
  <c r="B23" i="1"/>
  <c r="BC11" i="3"/>
  <c r="BD11" i="3"/>
  <c r="C11" i="11"/>
  <c r="C30" i="40"/>
  <c r="G13" i="1"/>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B114"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c r="H111" i="33" s="1"/>
  <c r="I111" i="33" s="1"/>
  <c r="J111" i="33" s="1"/>
  <c r="K111" i="33" s="1"/>
  <c r="L111" i="33" s="1"/>
  <c r="M111" i="33" s="1"/>
  <c r="S515" i="31"/>
  <c r="S517" i="31"/>
  <c r="S519" i="31"/>
  <c r="S521" i="31"/>
  <c r="S523" i="31"/>
  <c r="F41" i="21"/>
  <c r="J41" i="21"/>
  <c r="AC41" i="21"/>
  <c r="H41" i="21"/>
  <c r="U41" i="21" s="1"/>
  <c r="D83" i="39"/>
  <c r="E83" i="39"/>
  <c r="F83" i="39" s="1"/>
  <c r="G83" i="39" s="1"/>
  <c r="H83" i="39" s="1"/>
  <c r="I83" i="39" s="1"/>
  <c r="J83" i="39" s="1"/>
  <c r="K83" i="39" s="1"/>
  <c r="L83" i="39" s="1"/>
  <c r="M83" i="39" s="1"/>
  <c r="D78" i="40"/>
  <c r="F13" i="40"/>
  <c r="S13" i="40" s="1"/>
  <c r="B122" i="40"/>
  <c r="F42" i="40" s="1"/>
  <c r="AA42" i="40" s="1"/>
  <c r="B120" i="40"/>
  <c r="B118" i="40"/>
  <c r="F40" i="40" s="1"/>
  <c r="AA40" i="40"/>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s="1"/>
  <c r="Q40" i="40"/>
  <c r="Z40" i="40"/>
  <c r="Q39" i="40"/>
  <c r="Z39" i="40" s="1"/>
  <c r="Q38" i="40"/>
  <c r="Z38" i="40"/>
  <c r="Q37" i="40"/>
  <c r="Z37" i="40" s="1"/>
  <c r="Q36" i="40"/>
  <c r="Z36" i="40"/>
  <c r="Q35" i="40"/>
  <c r="Z35" i="40" s="1"/>
  <c r="Q34" i="40"/>
  <c r="Z34" i="40"/>
  <c r="Q33" i="40"/>
  <c r="Z33" i="40" s="1"/>
  <c r="Q32" i="40"/>
  <c r="Z32" i="40"/>
  <c r="Q30" i="40"/>
  <c r="Z30" i="40" s="1"/>
  <c r="Q29" i="40"/>
  <c r="Z29" i="40"/>
  <c r="Q25" i="40"/>
  <c r="Z25" i="40" s="1"/>
  <c r="Q23" i="40"/>
  <c r="Z23" i="40"/>
  <c r="Q21" i="40"/>
  <c r="Z21" i="40" s="1"/>
  <c r="Q19" i="40"/>
  <c r="Z19" i="40"/>
  <c r="Q17" i="40"/>
  <c r="Z17" i="40" s="1"/>
  <c r="Q16" i="40"/>
  <c r="Z16" i="40"/>
  <c r="Q15" i="40"/>
  <c r="Z15" i="40" s="1"/>
  <c r="Q14" i="40"/>
  <c r="Z14" i="40"/>
  <c r="Q13" i="40"/>
  <c r="Z13" i="40" s="1"/>
  <c r="Q12" i="40"/>
  <c r="Z12" i="40"/>
  <c r="Q11" i="40"/>
  <c r="Z11" i="40" s="1"/>
  <c r="C9" i="40"/>
  <c r="C65" i="40"/>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C23" i="37"/>
  <c r="C19" i="37"/>
  <c r="C17" i="37"/>
  <c r="C15" i="37"/>
  <c r="B112" i="37"/>
  <c r="D107" i="37"/>
  <c r="E107" i="37"/>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G75" i="37" s="1"/>
  <c r="D73" i="37"/>
  <c r="E73" i="37" s="1"/>
  <c r="F73" i="37"/>
  <c r="G73" i="37" s="1"/>
  <c r="D71" i="37"/>
  <c r="E71" i="37" s="1"/>
  <c r="F71" i="37" s="1"/>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Q30" i="37"/>
  <c r="Z30" i="37" s="1"/>
  <c r="J30" i="37"/>
  <c r="W30" i="37" s="1"/>
  <c r="H30" i="37"/>
  <c r="AB30" i="37" s="1"/>
  <c r="F30" i="37"/>
  <c r="Q29" i="37"/>
  <c r="Z29" i="37"/>
  <c r="H29" i="37"/>
  <c r="U29" i="37" s="1"/>
  <c r="Q28" i="37"/>
  <c r="Z28" i="37"/>
  <c r="Q27" i="37"/>
  <c r="Z27" i="37" s="1"/>
  <c r="Q26" i="37"/>
  <c r="Z26" i="37"/>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J23" i="36" s="1"/>
  <c r="D70" i="36"/>
  <c r="H22" i="36"/>
  <c r="AB22" i="36" s="1"/>
  <c r="D68" i="36"/>
  <c r="E68" i="36" s="1"/>
  <c r="F68" i="36" s="1"/>
  <c r="G68" i="36" s="1"/>
  <c r="D64" i="36"/>
  <c r="E64" i="36" s="1"/>
  <c r="F64" i="36" s="1"/>
  <c r="G64" i="36" s="1"/>
  <c r="J16" i="36"/>
  <c r="D62" i="36"/>
  <c r="E62" i="36" s="1"/>
  <c r="B59" i="36"/>
  <c r="B57" i="36"/>
  <c r="J12" i="36" s="1"/>
  <c r="B55" i="36"/>
  <c r="F54" i="36"/>
  <c r="G54" i="36" s="1"/>
  <c r="H54" i="36"/>
  <c r="I54" i="36" s="1"/>
  <c r="J10" i="36"/>
  <c r="W10" i="36" s="1"/>
  <c r="C51" i="36"/>
  <c r="J9" i="36" s="1"/>
  <c r="AC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AB26" i="36" s="1"/>
  <c r="Q25" i="36"/>
  <c r="Z25" i="36"/>
  <c r="Q24" i="36"/>
  <c r="Z24" i="36" s="1"/>
  <c r="Q23" i="36"/>
  <c r="Z23" i="36"/>
  <c r="Q22" i="36"/>
  <c r="Z22" i="36"/>
  <c r="J22" i="36"/>
  <c r="AC22" i="36" s="1"/>
  <c r="Q20" i="36"/>
  <c r="Z20" i="36"/>
  <c r="Q16" i="36"/>
  <c r="Z16" i="36" s="1"/>
  <c r="Q14" i="36"/>
  <c r="Z14" i="36"/>
  <c r="Q13" i="36"/>
  <c r="Z13" i="36" s="1"/>
  <c r="Q12" i="36"/>
  <c r="Z12" i="36"/>
  <c r="Q11" i="36"/>
  <c r="Z11" i="36"/>
  <c r="Q10" i="36"/>
  <c r="Z10" i="36" s="1"/>
  <c r="F10" i="36"/>
  <c r="AA10" i="36"/>
  <c r="Q9" i="36"/>
  <c r="Z9" i="36" s="1"/>
  <c r="J8" i="36"/>
  <c r="AC8" i="36"/>
  <c r="H8" i="36"/>
  <c r="U8" i="36" s="1"/>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J23" i="35" s="1"/>
  <c r="AC23" i="35" s="1"/>
  <c r="B57" i="35"/>
  <c r="B61" i="35"/>
  <c r="B59" i="35"/>
  <c r="H12" i="35" s="1"/>
  <c r="AB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Q30" i="35"/>
  <c r="Z30" i="35"/>
  <c r="Q29" i="35"/>
  <c r="Z29" i="35" s="1"/>
  <c r="Q28" i="35"/>
  <c r="Z28" i="35"/>
  <c r="J28" i="35"/>
  <c r="H28" i="35"/>
  <c r="F28" i="35"/>
  <c r="AA28" i="35"/>
  <c r="Q27" i="35"/>
  <c r="Z27" i="35" s="1"/>
  <c r="Q26" i="35"/>
  <c r="Z26" i="35"/>
  <c r="Q25" i="35"/>
  <c r="Z25" i="35" s="1"/>
  <c r="Q24" i="35"/>
  <c r="Z24" i="35"/>
  <c r="Q23" i="35"/>
  <c r="Z23" i="35" s="1"/>
  <c r="Q22" i="35"/>
  <c r="Z22" i="35"/>
  <c r="Q20" i="35"/>
  <c r="Z20" i="35" s="1"/>
  <c r="Q16" i="35"/>
  <c r="Z16" i="35"/>
  <c r="Q14" i="35"/>
  <c r="Z14" i="35" s="1"/>
  <c r="Q13" i="35"/>
  <c r="Z13" i="35"/>
  <c r="Q12" i="35"/>
  <c r="Z12" i="35" s="1"/>
  <c r="F12" i="35"/>
  <c r="AA12" i="35" s="1"/>
  <c r="Q11" i="35"/>
  <c r="Z11" i="35"/>
  <c r="Q10" i="35"/>
  <c r="Z10" i="35" s="1"/>
  <c r="Q9" i="35"/>
  <c r="Z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N5" i="3"/>
  <c r="O5" i="3"/>
  <c r="P5" i="3"/>
  <c r="R5" i="3"/>
  <c r="S5" i="3"/>
  <c r="T5" i="3"/>
  <c r="U5" i="3"/>
  <c r="V5" i="3"/>
  <c r="W5" i="3"/>
  <c r="X5" i="3"/>
  <c r="Y5" i="3"/>
  <c r="Z5" i="3"/>
  <c r="AA5" i="3"/>
  <c r="AB5"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2" i="36"/>
  <c r="U26" i="36"/>
  <c r="AC31" i="36"/>
  <c r="J33" i="36"/>
  <c r="W33" i="36"/>
  <c r="AC27" i="35"/>
  <c r="U31" i="35"/>
  <c r="S34" i="35"/>
  <c r="S31" i="35"/>
  <c r="W31" i="35"/>
  <c r="U34" i="35"/>
  <c r="F36" i="34"/>
  <c r="S36" i="34"/>
  <c r="W9" i="34"/>
  <c r="S34" i="34"/>
  <c r="W39" i="34"/>
  <c r="H39" i="33"/>
  <c r="AB39" i="33" s="1"/>
  <c r="F26" i="33"/>
  <c r="AA26" i="33" s="1"/>
  <c r="U33" i="33"/>
  <c r="W38" i="33"/>
  <c r="S40" i="33"/>
  <c r="S33" i="33"/>
  <c r="W33" i="33"/>
  <c r="U38" i="33"/>
  <c r="S8" i="21"/>
  <c r="H39" i="37"/>
  <c r="AB39" i="37" s="1"/>
  <c r="AB27" i="35"/>
  <c r="S10" i="40"/>
  <c r="W10" i="40"/>
  <c r="S11" i="40"/>
  <c r="U11" i="40"/>
  <c r="S36" i="40"/>
  <c r="U36" i="40"/>
  <c r="S40" i="39"/>
  <c r="S36" i="39"/>
  <c r="F11" i="21"/>
  <c r="S11" i="21" s="1"/>
  <c r="AB36" i="21"/>
  <c r="AC35" i="21"/>
  <c r="C29" i="39"/>
  <c r="C23" i="39"/>
  <c r="U36" i="39"/>
  <c r="S42" i="39"/>
  <c r="H32" i="33"/>
  <c r="AB32" i="33" s="1"/>
  <c r="H11" i="21"/>
  <c r="U11" i="21" s="1"/>
  <c r="J11" i="21"/>
  <c r="W11" i="21" s="1"/>
  <c r="F100" i="40"/>
  <c r="F86" i="40"/>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S38" i="33"/>
  <c r="E113" i="33"/>
  <c r="F113" i="33" s="1"/>
  <c r="G113" i="33" s="1"/>
  <c r="H113" i="33" s="1"/>
  <c r="I113" i="33" s="1"/>
  <c r="J113" i="33" s="1"/>
  <c r="K113" i="33" s="1"/>
  <c r="L113" i="33" s="1"/>
  <c r="M113" i="33" s="1"/>
  <c r="F36" i="33"/>
  <c r="S36" i="33" s="1"/>
  <c r="F19" i="33"/>
  <c r="S19" i="33" s="1"/>
  <c r="J19" i="33"/>
  <c r="S10" i="21"/>
  <c r="W40" i="33"/>
  <c r="F125" i="21"/>
  <c r="G125" i="21" s="1"/>
  <c r="G86" i="40"/>
  <c r="AB30" i="36"/>
  <c r="AC34"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J14" i="21"/>
  <c r="AC14" i="21" s="1"/>
  <c r="F14" i="21"/>
  <c r="AA14" i="21"/>
  <c r="H14" i="21"/>
  <c r="U14" i="2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F107" i="37"/>
  <c r="G107" i="37" s="1"/>
  <c r="H107" i="37" s="1"/>
  <c r="I107" i="37" s="1"/>
  <c r="J107" i="37" s="1"/>
  <c r="K107" i="37" s="1"/>
  <c r="L107" i="37" s="1"/>
  <c r="M107" i="37" s="1"/>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AB13" i="21"/>
  <c r="S46" i="21"/>
  <c r="U46" i="21"/>
  <c r="AC30" i="21"/>
  <c r="W30" i="21"/>
  <c r="AB30" i="21"/>
  <c r="S28" i="21"/>
  <c r="AA28" i="21"/>
  <c r="AB14" i="21"/>
  <c r="W14" i="21"/>
  <c r="W42" i="21"/>
  <c r="U36" i="37"/>
  <c r="AC13" i="36"/>
  <c r="AB45" i="33"/>
  <c r="AA27" i="33"/>
  <c r="AB27" i="33"/>
  <c r="S45" i="21"/>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c r="AB43" i="33"/>
  <c r="D3" i="21"/>
  <c r="AC33" i="36"/>
  <c r="W23" i="35"/>
  <c r="S27" i="37"/>
  <c r="U39" i="37"/>
  <c r="AC8" i="37"/>
  <c r="S25" i="37"/>
  <c r="AC36" i="34"/>
  <c r="AB8" i="34"/>
  <c r="AC37" i="33"/>
  <c r="AA13" i="33"/>
  <c r="U19" i="21"/>
  <c r="AC33" i="21"/>
  <c r="AA36" i="21"/>
  <c r="S39" i="33"/>
  <c r="F43" i="33"/>
  <c r="AA43" i="33" s="1"/>
  <c r="AA23" i="37"/>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U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U31" i="37"/>
  <c r="E90" i="40"/>
  <c r="F21" i="40"/>
  <c r="S21" i="40" s="1"/>
  <c r="W36" i="40"/>
  <c r="U40" i="39"/>
  <c r="F90" i="40"/>
  <c r="G90" i="40" s="1"/>
  <c r="J21" i="40"/>
  <c r="AC21" i="40" s="1"/>
  <c r="S27" i="31"/>
  <c r="BT5" i="3"/>
  <c r="J57" i="39"/>
  <c r="H13" i="40"/>
  <c r="U13" i="40"/>
  <c r="H12" i="48"/>
  <c r="I4" i="4"/>
  <c r="K141" i="21"/>
  <c r="K143" i="21"/>
  <c r="K144" i="21"/>
  <c r="I59" i="40"/>
  <c r="C59" i="40" s="1"/>
  <c r="I60" i="40"/>
  <c r="C60" i="40" s="1"/>
  <c r="W9" i="33"/>
  <c r="H7" i="48"/>
  <c r="H16" i="48"/>
  <c r="H9" i="48"/>
  <c r="H8" i="48"/>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H13" i="39"/>
  <c r="AB13" i="39" s="1"/>
  <c r="F13" i="39"/>
  <c r="J13" i="39"/>
  <c r="AC13" i="39" s="1"/>
  <c r="AA36" i="35"/>
  <c r="H11" i="37"/>
  <c r="AB11" i="37" s="1"/>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s="1"/>
  <c r="AB40" i="33"/>
  <c r="U40" i="33"/>
  <c r="AA35" i="34"/>
  <c r="S35" i="34"/>
  <c r="E90" i="34"/>
  <c r="H27" i="34"/>
  <c r="AB27" i="34"/>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J5" i="3"/>
  <c r="BB5"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c r="J14" i="39"/>
  <c r="AC14" i="39" s="1"/>
  <c r="F16" i="39"/>
  <c r="AA16" i="39"/>
  <c r="H16" i="39"/>
  <c r="U16" i="39" s="1"/>
  <c r="J16" i="39"/>
  <c r="AC16" i="39"/>
  <c r="F23" i="39"/>
  <c r="AA23" i="39" s="1"/>
  <c r="E97" i="39"/>
  <c r="F27" i="39"/>
  <c r="AA27" i="39" s="1"/>
  <c r="H27" i="39"/>
  <c r="AB27" i="39" s="1"/>
  <c r="J27" i="39"/>
  <c r="AC27" i="39" s="1"/>
  <c r="F15" i="40"/>
  <c r="AA15" i="40" s="1"/>
  <c r="J15" i="40"/>
  <c r="H15" i="40"/>
  <c r="AB15" i="40" s="1"/>
  <c r="E92" i="40"/>
  <c r="F92" i="40"/>
  <c r="H23" i="40"/>
  <c r="U23" i="40" s="1"/>
  <c r="H41" i="40"/>
  <c r="AB41" i="40"/>
  <c r="F41" i="40"/>
  <c r="AA41" i="40" s="1"/>
  <c r="J41" i="40"/>
  <c r="H36" i="33"/>
  <c r="AB36" i="33" s="1"/>
  <c r="H37" i="34"/>
  <c r="F15" i="39"/>
  <c r="AA15" i="39" s="1"/>
  <c r="H15" i="39"/>
  <c r="U15" i="39"/>
  <c r="J15" i="39"/>
  <c r="AC15" i="39" s="1"/>
  <c r="H25" i="39"/>
  <c r="AB25" i="39" s="1"/>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s="1"/>
  <c r="H32" i="40"/>
  <c r="U32" i="40"/>
  <c r="H33" i="40"/>
  <c r="AB33" i="40" s="1"/>
  <c r="F33" i="40"/>
  <c r="AA33" i="40"/>
  <c r="J33" i="40"/>
  <c r="AC33" i="40" s="1"/>
  <c r="H35" i="40"/>
  <c r="AB35" i="40"/>
  <c r="F35" i="40"/>
  <c r="AA35" i="40" s="1"/>
  <c r="J35" i="40"/>
  <c r="AC35" i="40"/>
  <c r="J38" i="39"/>
  <c r="W38" i="39" s="1"/>
  <c r="H38" i="39"/>
  <c r="U38" i="39"/>
  <c r="J16" i="40"/>
  <c r="W16" i="40" s="1"/>
  <c r="J14" i="40"/>
  <c r="W14" i="40" s="1"/>
  <c r="H42" i="40"/>
  <c r="H40" i="40"/>
  <c r="U40" i="40" s="1"/>
  <c r="H34" i="40"/>
  <c r="U34" i="40" s="1"/>
  <c r="B41" i="1"/>
  <c r="F34" i="44" s="1"/>
  <c r="J42" i="40"/>
  <c r="AC42" i="40" s="1"/>
  <c r="J40" i="40"/>
  <c r="AC40" i="40" s="1"/>
  <c r="J34" i="40"/>
  <c r="AC34" i="40" s="1"/>
  <c r="H16" i="40"/>
  <c r="AB16" i="40" s="1"/>
  <c r="H14" i="40"/>
  <c r="U14" i="40" s="1"/>
  <c r="F32" i="40"/>
  <c r="AA32" i="40" s="1"/>
  <c r="M1" i="46"/>
  <c r="M6" i="46"/>
  <c r="M10" i="46"/>
  <c r="N2" i="46"/>
  <c r="H49" i="46"/>
  <c r="N7" i="46"/>
  <c r="M7" i="46"/>
  <c r="M11" i="46"/>
  <c r="N3" i="46"/>
  <c r="N6" i="46"/>
  <c r="N10" i="46"/>
  <c r="H47" i="46"/>
  <c r="J13" i="40"/>
  <c r="W13" i="40"/>
  <c r="AB14" i="40"/>
  <c r="W40" i="40"/>
  <c r="F27" i="43"/>
  <c r="F66" i="9"/>
  <c r="P72" i="9" s="1"/>
  <c r="F72" i="9"/>
  <c r="AC14" i="40"/>
  <c r="W35" i="40"/>
  <c r="S33" i="40"/>
  <c r="AB32" i="40"/>
  <c r="AC47" i="39"/>
  <c r="S47" i="39"/>
  <c r="U37" i="34"/>
  <c r="AB37" i="34"/>
  <c r="AC41" i="40"/>
  <c r="W41" i="40"/>
  <c r="U41" i="40"/>
  <c r="J23" i="40"/>
  <c r="AC23" i="40" s="1"/>
  <c r="G92" i="40"/>
  <c r="F23" i="40"/>
  <c r="S23" i="40" s="1"/>
  <c r="AC15" i="40"/>
  <c r="W15" i="40"/>
  <c r="W27" i="39"/>
  <c r="S23" i="39"/>
  <c r="AB16" i="39"/>
  <c r="W14" i="39"/>
  <c r="U23" i="35"/>
  <c r="AB23" i="35"/>
  <c r="H20" i="35"/>
  <c r="F20" i="35"/>
  <c r="S20" i="35" s="1"/>
  <c r="H15" i="34"/>
  <c r="AB15" i="34" s="1"/>
  <c r="F78" i="34"/>
  <c r="G78" i="34" s="1"/>
  <c r="J15" i="34"/>
  <c r="W15" i="34" s="1"/>
  <c r="H41" i="33"/>
  <c r="U41" i="33" s="1"/>
  <c r="F121" i="33"/>
  <c r="G121" i="33"/>
  <c r="H121" i="33" s="1"/>
  <c r="I121" i="33" s="1"/>
  <c r="J121" i="33" s="1"/>
  <c r="K121" i="33" s="1"/>
  <c r="L121" i="33" s="1"/>
  <c r="M121" i="33" s="1"/>
  <c r="F30" i="40"/>
  <c r="AA30" i="40" s="1"/>
  <c r="H100" i="40"/>
  <c r="I100" i="40"/>
  <c r="J100" i="40" s="1"/>
  <c r="K100" i="40" s="1"/>
  <c r="L100" i="40" s="1"/>
  <c r="M100" i="40" s="1"/>
  <c r="AB38" i="34"/>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W34" i="40"/>
  <c r="AB34" i="40"/>
  <c r="AB42" i="40"/>
  <c r="U42" i="40"/>
  <c r="W32" i="40"/>
  <c r="H25" i="40"/>
  <c r="AB25" i="40" s="1"/>
  <c r="F94" i="40"/>
  <c r="G94" i="40" s="1"/>
  <c r="W15" i="39"/>
  <c r="J37" i="34"/>
  <c r="AC37" i="34" s="1"/>
  <c r="J36" i="33"/>
  <c r="W36" i="33" s="1"/>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F25" i="40"/>
  <c r="AA25" i="40" s="1"/>
  <c r="J11" i="33"/>
  <c r="W11" i="33" s="1"/>
  <c r="H33" i="37"/>
  <c r="AB33" i="37" s="1"/>
  <c r="AC15" i="34"/>
  <c r="U20" i="35"/>
  <c r="AB20" i="35"/>
  <c r="D73" i="9"/>
  <c r="N73" i="9"/>
  <c r="AP11" i="1"/>
  <c r="B11" i="1"/>
  <c r="E11" i="1" s="1"/>
  <c r="K11" i="1"/>
  <c r="M11" i="1" s="1"/>
  <c r="B9" i="1"/>
  <c r="E9" i="1" s="1"/>
  <c r="B7" i="1"/>
  <c r="E7" i="1" s="1"/>
  <c r="K7" i="1"/>
  <c r="M7" i="1" s="1"/>
  <c r="C20" i="43"/>
  <c r="AP6" i="1"/>
  <c r="G11" i="1"/>
  <c r="M22" i="44"/>
  <c r="F32" i="15"/>
  <c r="F59" i="15" s="1"/>
  <c r="F29" i="12"/>
  <c r="C29" i="12" s="1"/>
  <c r="F70" i="9"/>
  <c r="D86" i="9"/>
  <c r="M20" i="44"/>
  <c r="F31" i="43"/>
  <c r="C31" i="43" s="1"/>
  <c r="F30" i="44"/>
  <c r="C30" i="44" s="1"/>
  <c r="C27" i="43"/>
  <c r="C25" i="12"/>
  <c r="AC25" i="36"/>
  <c r="S8" i="36"/>
  <c r="AA26" i="36"/>
  <c r="AA28" i="36"/>
  <c r="U25" i="36"/>
  <c r="H20" i="36"/>
  <c r="U20" i="36" s="1"/>
  <c r="J20" i="36"/>
  <c r="AC20" i="36" s="1"/>
  <c r="F20" i="36"/>
  <c r="S20" i="36"/>
  <c r="F62" i="36"/>
  <c r="G62" i="36" s="1"/>
  <c r="J14" i="36"/>
  <c r="H14" i="36"/>
  <c r="F14" i="36"/>
  <c r="AA14" i="36" s="1"/>
  <c r="U27" i="36"/>
  <c r="U32"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s="1"/>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J23" i="21"/>
  <c r="W23" i="21" s="1"/>
  <c r="F23" i="21"/>
  <c r="H23" i="21"/>
  <c r="AA17" i="21"/>
  <c r="W17" i="21"/>
  <c r="F15" i="21"/>
  <c r="S15"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W11" i="40"/>
  <c r="AA21" i="40"/>
  <c r="U21" i="40"/>
  <c r="W25" i="40"/>
  <c r="U25" i="40"/>
  <c r="W42" i="40"/>
  <c r="U35" i="40"/>
  <c r="F37" i="40"/>
  <c r="J37" i="40"/>
  <c r="AC37" i="40" s="1"/>
  <c r="H37" i="40"/>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s="1"/>
  <c r="M43" i="9"/>
  <c r="B22" i="63"/>
  <c r="M20" i="15"/>
  <c r="D96" i="9"/>
  <c r="F28" i="15"/>
  <c r="C28" i="15" s="1"/>
  <c r="M18" i="15"/>
  <c r="A18" i="64"/>
  <c r="B74" i="63" s="1"/>
  <c r="C53" i="10"/>
  <c r="A25" i="64"/>
  <c r="A18" i="51"/>
  <c r="B14" i="63" s="1"/>
  <c r="C24" i="12"/>
  <c r="F3" i="35"/>
  <c r="K1" i="43"/>
  <c r="K1" i="12"/>
  <c r="BK5" i="3"/>
  <c r="BO5" i="3"/>
  <c r="BP5" i="3"/>
  <c r="BN5" i="3"/>
  <c r="BC5" i="3"/>
  <c r="E8" i="6" s="1"/>
  <c r="E53" i="40" s="1"/>
  <c r="BD5" i="3"/>
  <c r="E12" i="6" s="1"/>
  <c r="E64" i="39" s="1"/>
  <c r="BR5" i="3"/>
  <c r="G28" i="6"/>
  <c r="BS5" i="3"/>
  <c r="F28" i="6" s="1"/>
  <c r="BQ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H6" i="48"/>
  <c r="H15" i="48"/>
  <c r="H5" i="48"/>
  <c r="H14" i="48"/>
  <c r="H13" i="48"/>
  <c r="H11" i="48"/>
  <c r="A4" i="64"/>
  <c r="A4" i="51"/>
  <c r="B6" i="63" s="1"/>
  <c r="C51" i="10"/>
  <c r="H58" i="46"/>
  <c r="H61" i="46"/>
  <c r="H62" i="46"/>
  <c r="H71" i="46"/>
  <c r="H75" i="46"/>
  <c r="H76" i="46"/>
  <c r="I100" i="46"/>
  <c r="N100" i="46"/>
  <c r="H100" i="46"/>
  <c r="H80" i="46"/>
  <c r="AB11" i="46"/>
  <c r="G100" i="46"/>
  <c r="H84" i="46"/>
  <c r="H65" i="46"/>
  <c r="H66" i="46"/>
  <c r="J100" i="46"/>
  <c r="M100" i="46"/>
  <c r="AA12" i="36"/>
  <c r="U12" i="35"/>
  <c r="W11" i="35"/>
  <c r="AA11" i="35"/>
  <c r="S14" i="37"/>
  <c r="U13" i="37"/>
  <c r="S13" i="21"/>
  <c r="C24" i="9"/>
  <c r="C25" i="9"/>
  <c r="L5" i="54"/>
  <c r="B39" i="63" s="1"/>
  <c r="K5" i="54"/>
  <c r="B38" i="63" s="1"/>
  <c r="T41" i="4"/>
  <c r="A17" i="64" s="1"/>
  <c r="B46" i="50"/>
  <c r="B4" i="63" s="1"/>
  <c r="C46" i="36"/>
  <c r="D46" i="36" s="1"/>
  <c r="C59" i="34"/>
  <c r="D59" i="34" s="1"/>
  <c r="C48" i="35"/>
  <c r="D48" i="35" s="1"/>
  <c r="C52" i="37"/>
  <c r="D52" i="37"/>
  <c r="E52" i="37" s="1"/>
  <c r="F52" i="37" s="1"/>
  <c r="C67" i="40"/>
  <c r="D65" i="40"/>
  <c r="P24" i="46"/>
  <c r="B68" i="40" s="1"/>
  <c r="P25" i="46"/>
  <c r="B73" i="39"/>
  <c r="P23" i="46"/>
  <c r="P21" i="46"/>
  <c r="P22" i="46"/>
  <c r="C72" i="39"/>
  <c r="D70" i="39"/>
  <c r="O19" i="46"/>
  <c r="K17" i="4"/>
  <c r="A22" i="51"/>
  <c r="B16" i="63" s="1"/>
  <c r="H77" i="46"/>
  <c r="H73" i="46"/>
  <c r="H69" i="46"/>
  <c r="H74" i="46"/>
  <c r="H86" i="46"/>
  <c r="H82" i="46"/>
  <c r="H63" i="46"/>
  <c r="H59" i="46"/>
  <c r="H64" i="46"/>
  <c r="H60" i="46"/>
  <c r="H10" i="48"/>
  <c r="H87" i="46"/>
  <c r="H85" i="46"/>
  <c r="H83" i="46"/>
  <c r="K10" i="1"/>
  <c r="M10" i="1" s="1"/>
  <c r="S11" i="1"/>
  <c r="R11" i="1"/>
  <c r="S13" i="1"/>
  <c r="R13" i="1"/>
  <c r="B6" i="1"/>
  <c r="E6" i="1" s="1"/>
  <c r="B10" i="1"/>
  <c r="E10" i="1" s="1"/>
  <c r="B8" i="1"/>
  <c r="E8" i="1"/>
  <c r="B12" i="1"/>
  <c r="E12" i="1" s="1"/>
  <c r="S12" i="1"/>
  <c r="K6" i="1"/>
  <c r="M6" i="1" s="1"/>
  <c r="C15" i="43"/>
  <c r="O12" i="1"/>
  <c r="P12" i="1" s="1"/>
  <c r="F66" i="36"/>
  <c r="H18" i="36"/>
  <c r="U18" i="36" s="1"/>
  <c r="U16" i="36"/>
  <c r="S25" i="36"/>
  <c r="AA34"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G6" i="1"/>
  <c r="G6" i="1"/>
  <c r="AE11" i="46"/>
  <c r="AE13" i="46" s="1"/>
  <c r="F29" i="6"/>
  <c r="AJ11" i="46"/>
  <c r="H101" i="46"/>
  <c r="H102" i="46" s="1"/>
  <c r="I101" i="46"/>
  <c r="J101" i="46"/>
  <c r="J102" i="46" s="1"/>
  <c r="K101" i="46"/>
  <c r="K102" i="46" s="1"/>
  <c r="L101" i="46"/>
  <c r="L102" i="46" s="1"/>
  <c r="M101" i="46"/>
  <c r="M102" i="46" s="1"/>
  <c r="N101" i="46"/>
  <c r="N102" i="46" s="1"/>
  <c r="AF11" i="46"/>
  <c r="AF13" i="46" s="1"/>
  <c r="AI11" i="46"/>
  <c r="AI13" i="46" s="1"/>
  <c r="AA11" i="46"/>
  <c r="AA13" i="46" s="1"/>
  <c r="AH11" i="46"/>
  <c r="AD11" i="46"/>
  <c r="Z11" i="46"/>
  <c r="Z13" i="46" s="1"/>
  <c r="Y11" i="46"/>
  <c r="Y13" i="46" s="1"/>
  <c r="AG11" i="46"/>
  <c r="AG13" i="46" s="1"/>
  <c r="AC11" i="46"/>
  <c r="AC13" i="46" s="1"/>
  <c r="Z7" i="46"/>
  <c r="N104" i="4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s="1"/>
  <c r="E58" i="39"/>
  <c r="E5" i="6"/>
  <c r="D12" i="11" s="1"/>
  <c r="C12" i="11" s="1"/>
  <c r="C15" i="12"/>
  <c r="G29" i="6"/>
  <c r="G30" i="6" s="1"/>
  <c r="G31" i="6" s="1"/>
  <c r="E14" i="6"/>
  <c r="E61" i="40" s="1"/>
  <c r="E10" i="6"/>
  <c r="E15" i="6"/>
  <c r="E67" i="39" s="1"/>
  <c r="E28" i="6"/>
  <c r="K14" i="1" s="1"/>
  <c r="M14" i="1" s="1"/>
  <c r="E13" i="6"/>
  <c r="E60" i="40" s="1"/>
  <c r="E11" i="6"/>
  <c r="E63" i="39" s="1"/>
  <c r="H70" i="46"/>
  <c r="H72" i="46"/>
  <c r="A9" i="64"/>
  <c r="A9" i="51"/>
  <c r="B9" i="63" s="1"/>
  <c r="A25" i="51"/>
  <c r="B18" i="63" s="1"/>
  <c r="A3" i="55"/>
  <c r="B56" i="63" s="1"/>
  <c r="E48" i="35"/>
  <c r="F48" i="35" s="1"/>
  <c r="G48" i="35" s="1"/>
  <c r="D72" i="39"/>
  <c r="E70" i="39"/>
  <c r="F70" i="39" s="1"/>
  <c r="D67" i="40"/>
  <c r="E65" i="40"/>
  <c r="F65" i="40" s="1"/>
  <c r="E4" i="4"/>
  <c r="B21" i="55" s="1"/>
  <c r="B72" i="63" s="1"/>
  <c r="C4" i="4"/>
  <c r="G66" i="36"/>
  <c r="J18" i="36"/>
  <c r="W18" i="36" s="1"/>
  <c r="AE8" i="1"/>
  <c r="AE7" i="1"/>
  <c r="AE6" i="1"/>
  <c r="F33" i="44"/>
  <c r="F31" i="15"/>
  <c r="F58" i="15"/>
  <c r="M17" i="15"/>
  <c r="M19" i="44"/>
  <c r="H109" i="46"/>
  <c r="AC18" i="36"/>
  <c r="L20" i="6"/>
  <c r="E65" i="39"/>
  <c r="L19" i="6"/>
  <c r="E62" i="40"/>
  <c r="B20" i="55"/>
  <c r="B70" i="63" s="1"/>
  <c r="F7" i="21"/>
  <c r="J7" i="21"/>
  <c r="AC7" i="21" s="1"/>
  <c r="V48" i="21" s="1"/>
  <c r="I48" i="21" s="1"/>
  <c r="H7" i="21"/>
  <c r="AB7" i="21" s="1"/>
  <c r="T48" i="21" s="1"/>
  <c r="G48" i="21" s="1"/>
  <c r="E67" i="40"/>
  <c r="E72" i="39"/>
  <c r="J22" i="46"/>
  <c r="U7" i="21"/>
  <c r="S7" i="21"/>
  <c r="AA7" i="21"/>
  <c r="R48" i="21" s="1"/>
  <c r="E48" i="21" s="1"/>
  <c r="R49" i="21"/>
  <c r="C48" i="21" s="1"/>
  <c r="C45" i="9"/>
  <c r="C44" i="9"/>
  <c r="G14" i="66" s="1"/>
  <c r="B6" i="66" s="1"/>
  <c r="O40" i="9"/>
  <c r="K31" i="9" s="1"/>
  <c r="K32" i="9" s="1"/>
  <c r="R7" i="54"/>
  <c r="B52" i="63" s="1"/>
  <c r="K29" i="9"/>
  <c r="K30" i="9"/>
  <c r="N76" i="9"/>
  <c r="C46" i="9"/>
  <c r="I14" i="66" s="1"/>
  <c r="B8" i="66" s="1"/>
  <c r="I5" i="65"/>
  <c r="I4" i="65"/>
  <c r="B12" i="67"/>
  <c r="J7" i="65"/>
  <c r="E10" i="67"/>
  <c r="E9" i="67"/>
  <c r="B8" i="67"/>
  <c r="B13" i="67"/>
  <c r="N4" i="65"/>
  <c r="N3" i="65"/>
  <c r="F13" i="67"/>
  <c r="E14" i="67"/>
  <c r="E13" i="67"/>
  <c r="E8" i="67"/>
  <c r="F14" i="67"/>
  <c r="B9" i="67"/>
  <c r="F10" i="67"/>
  <c r="F12" i="67"/>
  <c r="I3" i="65"/>
  <c r="I6" i="65"/>
  <c r="N6" i="65"/>
  <c r="B11" i="67"/>
  <c r="I7" i="65"/>
  <c r="E12" i="67"/>
  <c r="F11" i="67"/>
  <c r="F9" i="67"/>
  <c r="B10" i="67"/>
  <c r="J4" i="65"/>
  <c r="J5" i="65"/>
  <c r="J3" i="65"/>
  <c r="E11" i="67"/>
  <c r="N5" i="65"/>
  <c r="B14" i="67"/>
  <c r="N7" i="65"/>
  <c r="J6" i="65"/>
  <c r="F8" i="67"/>
  <c r="AC27" i="34" l="1"/>
  <c r="W27" i="34"/>
  <c r="W7" i="21"/>
  <c r="AC31" i="39"/>
  <c r="AB18" i="36"/>
  <c r="I102" i="46"/>
  <c r="I103" i="46"/>
  <c r="W12" i="36"/>
  <c r="AC12" i="36"/>
  <c r="W23" i="36"/>
  <c r="AC23" i="36"/>
  <c r="D50" i="59"/>
  <c r="O50" i="59"/>
  <c r="O49" i="59"/>
  <c r="O39" i="9"/>
  <c r="R6" i="54" s="1"/>
  <c r="B50" i="63" s="1"/>
  <c r="AB9" i="35"/>
  <c r="U9" i="35"/>
  <c r="AA16" i="40"/>
  <c r="S16" i="40"/>
  <c r="S22" i="31"/>
  <c r="N69" i="9"/>
  <c r="C49" i="21"/>
  <c r="B3" i="21" s="1"/>
  <c r="B2" i="21" s="1"/>
  <c r="AA12" i="21"/>
  <c r="S12" i="21"/>
  <c r="D58" i="33"/>
  <c r="AC24" i="35"/>
  <c r="W24" i="35"/>
  <c r="AA32" i="37"/>
  <c r="W20" i="36"/>
  <c r="W23" i="40"/>
  <c r="AC36" i="33"/>
  <c r="S41" i="40"/>
  <c r="U47" i="39"/>
  <c r="AC16" i="40"/>
  <c r="F71" i="9"/>
  <c r="AB12" i="37"/>
  <c r="AC45" i="33"/>
  <c r="AC28" i="33"/>
  <c r="AB31" i="33"/>
  <c r="S46" i="33"/>
  <c r="AA12" i="33"/>
  <c r="AA38" i="21"/>
  <c r="F9" i="35"/>
  <c r="J12" i="35"/>
  <c r="H23" i="36"/>
  <c r="C110" i="9"/>
  <c r="K13" i="1"/>
  <c r="M13" i="1" s="1"/>
  <c r="O13" i="1" s="1"/>
  <c r="P13" i="1" s="1"/>
  <c r="I15" i="57"/>
  <c r="S31" i="39"/>
  <c r="AC23" i="21"/>
  <c r="S17" i="34"/>
  <c r="AC23" i="37"/>
  <c r="AC40" i="21"/>
  <c r="I10" i="57"/>
  <c r="S21" i="21"/>
  <c r="D51" i="59"/>
  <c r="C70" i="59"/>
  <c r="D70" i="59" s="1"/>
  <c r="C55" i="59"/>
  <c r="C39" i="59"/>
  <c r="G569" i="3"/>
  <c r="W8" i="21"/>
  <c r="J9" i="35"/>
  <c r="J36" i="35"/>
  <c r="H12" i="36"/>
  <c r="F23" i="36"/>
  <c r="D47" i="59"/>
  <c r="O51" i="59"/>
  <c r="D64" i="59"/>
  <c r="B39" i="59"/>
  <c r="B40" i="59" s="1"/>
  <c r="S40" i="59" s="1"/>
  <c r="B59" i="59"/>
  <c r="B58" i="59" s="1"/>
  <c r="AJ10" i="46"/>
  <c r="AJ12" i="46"/>
  <c r="AJ13" i="46" s="1"/>
  <c r="AB10" i="46"/>
  <c r="AB12" i="46"/>
  <c r="AB13" i="46" s="1"/>
  <c r="C31" i="39"/>
  <c r="S18" i="36"/>
  <c r="D56" i="59"/>
  <c r="P52" i="59"/>
  <c r="B31" i="59"/>
  <c r="B32" i="59" s="1"/>
  <c r="S32" i="59" s="1"/>
  <c r="G553" i="3"/>
  <c r="BA572" i="3"/>
  <c r="BA556" i="3"/>
  <c r="BA540" i="3"/>
  <c r="BA524" i="3"/>
  <c r="BA508" i="3"/>
  <c r="BA492" i="3"/>
  <c r="BA476" i="3"/>
  <c r="BA460" i="3"/>
  <c r="BA444" i="3"/>
  <c r="BA428" i="3"/>
  <c r="BA412" i="3"/>
  <c r="BA406" i="3"/>
  <c r="BA394" i="3"/>
  <c r="BA392" i="3"/>
  <c r="BA378" i="3"/>
  <c r="BA371" i="3"/>
  <c r="BA355" i="3"/>
  <c r="BA337" i="3"/>
  <c r="BL330" i="3"/>
  <c r="BA321" i="3"/>
  <c r="BL314" i="3"/>
  <c r="BL302" i="3"/>
  <c r="BL286" i="3"/>
  <c r="BL254" i="3"/>
  <c r="BL222" i="3"/>
  <c r="BL190" i="3"/>
  <c r="BA184" i="3"/>
  <c r="BL183" i="3"/>
  <c r="BL158" i="3"/>
  <c r="BA146" i="3"/>
  <c r="BA144" i="3"/>
  <c r="BL133" i="3"/>
  <c r="BA133" i="3"/>
  <c r="BL132" i="3"/>
  <c r="BA130" i="3"/>
  <c r="BA128" i="3"/>
  <c r="BL117" i="3"/>
  <c r="BA117" i="3"/>
  <c r="AZ117" i="3" s="1"/>
  <c r="BL116" i="3"/>
  <c r="BA114" i="3"/>
  <c r="BA112" i="3"/>
  <c r="BL101" i="3"/>
  <c r="BA101" i="3"/>
  <c r="AZ101" i="3" s="1"/>
  <c r="BL100" i="3"/>
  <c r="BA98" i="3"/>
  <c r="BA96" i="3"/>
  <c r="BL85" i="3"/>
  <c r="BA85" i="3"/>
  <c r="BL84" i="3"/>
  <c r="BA82" i="3"/>
  <c r="BA80" i="3"/>
  <c r="BL69" i="3"/>
  <c r="BA69" i="3"/>
  <c r="BL68" i="3"/>
  <c r="BA66" i="3"/>
  <c r="BA64" i="3"/>
  <c r="BL53" i="3"/>
  <c r="BA50" i="3"/>
  <c r="BA48" i="3"/>
  <c r="BL37" i="3"/>
  <c r="BA34" i="3"/>
  <c r="BA32" i="3"/>
  <c r="BL21" i="3"/>
  <c r="BA18" i="3"/>
  <c r="BA16" i="3"/>
  <c r="O76" i="9"/>
  <c r="A30" i="64"/>
  <c r="G570" i="3"/>
  <c r="G562" i="3"/>
  <c r="G554" i="3"/>
  <c r="G546" i="3"/>
  <c r="G538" i="3"/>
  <c r="G530" i="3"/>
  <c r="G522" i="3"/>
  <c r="G514" i="3"/>
  <c r="G506" i="3"/>
  <c r="G498" i="3"/>
  <c r="G490" i="3"/>
  <c r="G482" i="3"/>
  <c r="G474" i="3"/>
  <c r="G466" i="3"/>
  <c r="G458" i="3"/>
  <c r="G450" i="3"/>
  <c r="G442" i="3"/>
  <c r="G434" i="3"/>
  <c r="G426" i="3"/>
  <c r="G418" i="3"/>
  <c r="G410" i="3"/>
  <c r="G402" i="3"/>
  <c r="G394" i="3"/>
  <c r="G386" i="3"/>
  <c r="G378" i="3"/>
  <c r="G370" i="3"/>
  <c r="G362" i="3"/>
  <c r="G354" i="3"/>
  <c r="G346" i="3"/>
  <c r="G338" i="3"/>
  <c r="G330" i="3"/>
  <c r="G322" i="3"/>
  <c r="G314" i="3"/>
  <c r="G306" i="3"/>
  <c r="G298" i="3"/>
  <c r="G290" i="3"/>
  <c r="G282" i="3"/>
  <c r="G274" i="3"/>
  <c r="G266" i="3"/>
  <c r="G258" i="3"/>
  <c r="G250" i="3"/>
  <c r="G242" i="3"/>
  <c r="G234" i="3"/>
  <c r="G226" i="3"/>
  <c r="G221" i="3"/>
  <c r="G213" i="3"/>
  <c r="G205" i="3"/>
  <c r="G197" i="3"/>
  <c r="G189" i="3"/>
  <c r="G181" i="3"/>
  <c r="G173" i="3"/>
  <c r="G165" i="3"/>
  <c r="G157" i="3"/>
  <c r="G149" i="3"/>
  <c r="G136" i="3"/>
  <c r="G128" i="3"/>
  <c r="G120" i="3"/>
  <c r="G112" i="3"/>
  <c r="G104" i="3"/>
  <c r="G96" i="3"/>
  <c r="G88" i="3"/>
  <c r="G80" i="3"/>
  <c r="G72" i="3"/>
  <c r="G64" i="3"/>
  <c r="G56" i="3"/>
  <c r="G43" i="3"/>
  <c r="F33" i="71" s="1"/>
  <c r="G27" i="3"/>
  <c r="F17" i="71" s="1"/>
  <c r="BA568" i="3"/>
  <c r="BA566" i="3"/>
  <c r="BL561" i="3"/>
  <c r="BA552" i="3"/>
  <c r="BA550" i="3"/>
  <c r="BL545" i="3"/>
  <c r="BA536" i="3"/>
  <c r="BA534" i="3"/>
  <c r="BL529" i="3"/>
  <c r="BA520" i="3"/>
  <c r="BA518" i="3"/>
  <c r="BL513" i="3"/>
  <c r="BA504" i="3"/>
  <c r="BA502" i="3"/>
  <c r="BL497" i="3"/>
  <c r="BA488" i="3"/>
  <c r="BA486" i="3"/>
  <c r="BL481" i="3"/>
  <c r="BA472" i="3"/>
  <c r="BA470" i="3"/>
  <c r="BL465" i="3"/>
  <c r="BA456" i="3"/>
  <c r="BA454" i="3"/>
  <c r="BL449" i="3"/>
  <c r="BA440" i="3"/>
  <c r="BA438" i="3"/>
  <c r="BL433" i="3"/>
  <c r="BA424" i="3"/>
  <c r="BA422" i="3"/>
  <c r="BL417" i="3"/>
  <c r="BA407" i="3"/>
  <c r="BL406" i="3"/>
  <c r="AZ406" i="3" s="1"/>
  <c r="BA564" i="3"/>
  <c r="BA562" i="3"/>
  <c r="BL557" i="3"/>
  <c r="BA548" i="3"/>
  <c r="BA546" i="3"/>
  <c r="BL541" i="3"/>
  <c r="BA532" i="3"/>
  <c r="BA530" i="3"/>
  <c r="BL525" i="3"/>
  <c r="BA516" i="3"/>
  <c r="BA514" i="3"/>
  <c r="BL509" i="3"/>
  <c r="BA500" i="3"/>
  <c r="BA498" i="3"/>
  <c r="BL493" i="3"/>
  <c r="BA484" i="3"/>
  <c r="BA482" i="3"/>
  <c r="BL477" i="3"/>
  <c r="BA468" i="3"/>
  <c r="BA466" i="3"/>
  <c r="BL461" i="3"/>
  <c r="BA452" i="3"/>
  <c r="BA450" i="3"/>
  <c r="BL445" i="3"/>
  <c r="BA436" i="3"/>
  <c r="BA434" i="3"/>
  <c r="BL429" i="3"/>
  <c r="BA420" i="3"/>
  <c r="BA418" i="3"/>
  <c r="BL413" i="3"/>
  <c r="BA402" i="3"/>
  <c r="BA400" i="3"/>
  <c r="BA386" i="3"/>
  <c r="BA384" i="3"/>
  <c r="K77" i="9"/>
  <c r="K79" i="9" s="1"/>
  <c r="K81" i="9" s="1"/>
  <c r="G566" i="3"/>
  <c r="G558" i="3"/>
  <c r="G550" i="3"/>
  <c r="G542" i="3"/>
  <c r="G534" i="3"/>
  <c r="G526" i="3"/>
  <c r="G518" i="3"/>
  <c r="G510" i="3"/>
  <c r="G502" i="3"/>
  <c r="G494" i="3"/>
  <c r="G486" i="3"/>
  <c r="G478" i="3"/>
  <c r="G470" i="3"/>
  <c r="G462" i="3"/>
  <c r="G454" i="3"/>
  <c r="G446" i="3"/>
  <c r="G438" i="3"/>
  <c r="G430" i="3"/>
  <c r="G422" i="3"/>
  <c r="G414" i="3"/>
  <c r="G406" i="3"/>
  <c r="G398" i="3"/>
  <c r="G390" i="3"/>
  <c r="G382" i="3"/>
  <c r="G374" i="3"/>
  <c r="G366" i="3"/>
  <c r="G358" i="3"/>
  <c r="G350" i="3"/>
  <c r="G342" i="3"/>
  <c r="G334" i="3"/>
  <c r="G326" i="3"/>
  <c r="G318" i="3"/>
  <c r="G310" i="3"/>
  <c r="G302" i="3"/>
  <c r="G294" i="3"/>
  <c r="G286" i="3"/>
  <c r="G278" i="3"/>
  <c r="G270" i="3"/>
  <c r="G262" i="3"/>
  <c r="G254" i="3"/>
  <c r="G246" i="3"/>
  <c r="G238" i="3"/>
  <c r="G230" i="3"/>
  <c r="G222" i="3"/>
  <c r="G217" i="3"/>
  <c r="G209" i="3"/>
  <c r="G201" i="3"/>
  <c r="G193" i="3"/>
  <c r="G185" i="3"/>
  <c r="G177" i="3"/>
  <c r="G169" i="3"/>
  <c r="G161" i="3"/>
  <c r="G153" i="3"/>
  <c r="G145" i="3"/>
  <c r="G140" i="3"/>
  <c r="G132" i="3"/>
  <c r="G124" i="3"/>
  <c r="G116" i="3"/>
  <c r="G108" i="3"/>
  <c r="G100" i="3"/>
  <c r="G92" i="3"/>
  <c r="G84" i="3"/>
  <c r="G76" i="3"/>
  <c r="G68" i="3"/>
  <c r="G60" i="3"/>
  <c r="G35" i="3"/>
  <c r="F25" i="71" s="1"/>
  <c r="G19" i="3"/>
  <c r="F9" i="71" s="1"/>
  <c r="BA560" i="3"/>
  <c r="BA544" i="3"/>
  <c r="BA528" i="3"/>
  <c r="BA512" i="3"/>
  <c r="BA496" i="3"/>
  <c r="BA480" i="3"/>
  <c r="BA464" i="3"/>
  <c r="BA448" i="3"/>
  <c r="BA432" i="3"/>
  <c r="BA416" i="3"/>
  <c r="BL405" i="3"/>
  <c r="BA571" i="3"/>
  <c r="AZ571" i="3" s="1"/>
  <c r="BL570" i="3"/>
  <c r="AZ570" i="3" s="1"/>
  <c r="BA567" i="3"/>
  <c r="AZ567" i="3" s="1"/>
  <c r="BL566" i="3"/>
  <c r="AZ566" i="3" s="1"/>
  <c r="BA563" i="3"/>
  <c r="AZ563" i="3" s="1"/>
  <c r="BL562" i="3"/>
  <c r="BA559" i="3"/>
  <c r="AZ559" i="3" s="1"/>
  <c r="BL558" i="3"/>
  <c r="AZ558" i="3" s="1"/>
  <c r="BA555" i="3"/>
  <c r="AZ555" i="3" s="1"/>
  <c r="BL554" i="3"/>
  <c r="AZ554" i="3" s="1"/>
  <c r="BA551" i="3"/>
  <c r="AZ551" i="3" s="1"/>
  <c r="BL550" i="3"/>
  <c r="AZ550" i="3" s="1"/>
  <c r="BA547" i="3"/>
  <c r="AZ547" i="3" s="1"/>
  <c r="BL546" i="3"/>
  <c r="BA543" i="3"/>
  <c r="AZ543" i="3" s="1"/>
  <c r="BL542" i="3"/>
  <c r="AZ542" i="3" s="1"/>
  <c r="BA539" i="3"/>
  <c r="AZ539" i="3" s="1"/>
  <c r="BL538" i="3"/>
  <c r="AZ538" i="3" s="1"/>
  <c r="BA535" i="3"/>
  <c r="AZ535" i="3" s="1"/>
  <c r="BL534" i="3"/>
  <c r="AZ534" i="3" s="1"/>
  <c r="BA531" i="3"/>
  <c r="AZ531" i="3" s="1"/>
  <c r="BL530" i="3"/>
  <c r="BA527" i="3"/>
  <c r="AZ527" i="3" s="1"/>
  <c r="BL526" i="3"/>
  <c r="AZ526" i="3" s="1"/>
  <c r="BA523" i="3"/>
  <c r="AZ523" i="3" s="1"/>
  <c r="BL522" i="3"/>
  <c r="AZ522" i="3" s="1"/>
  <c r="BA519" i="3"/>
  <c r="AZ519" i="3" s="1"/>
  <c r="BL518" i="3"/>
  <c r="AZ518" i="3" s="1"/>
  <c r="BA515" i="3"/>
  <c r="AZ515" i="3" s="1"/>
  <c r="BL514" i="3"/>
  <c r="AZ514" i="3" s="1"/>
  <c r="BA511" i="3"/>
  <c r="AZ511" i="3" s="1"/>
  <c r="BL510" i="3"/>
  <c r="AZ510" i="3" s="1"/>
  <c r="BA507" i="3"/>
  <c r="AZ507" i="3" s="1"/>
  <c r="BL506" i="3"/>
  <c r="AZ506" i="3" s="1"/>
  <c r="BA503" i="3"/>
  <c r="AZ503" i="3" s="1"/>
  <c r="BL502" i="3"/>
  <c r="AZ502" i="3" s="1"/>
  <c r="BA499" i="3"/>
  <c r="AZ499" i="3" s="1"/>
  <c r="BL498" i="3"/>
  <c r="AZ498" i="3" s="1"/>
  <c r="BA495" i="3"/>
  <c r="AZ495" i="3" s="1"/>
  <c r="BL494" i="3"/>
  <c r="AZ494" i="3" s="1"/>
  <c r="BA491" i="3"/>
  <c r="AZ491" i="3" s="1"/>
  <c r="BL490" i="3"/>
  <c r="AZ490" i="3" s="1"/>
  <c r="BA487" i="3"/>
  <c r="AZ487" i="3" s="1"/>
  <c r="BL486" i="3"/>
  <c r="AZ486" i="3" s="1"/>
  <c r="BA483" i="3"/>
  <c r="AZ483" i="3" s="1"/>
  <c r="BL482" i="3"/>
  <c r="BA479" i="3"/>
  <c r="AZ479" i="3" s="1"/>
  <c r="BL478" i="3"/>
  <c r="AZ478" i="3" s="1"/>
  <c r="BA475" i="3"/>
  <c r="AZ475" i="3" s="1"/>
  <c r="BL474" i="3"/>
  <c r="AZ474" i="3" s="1"/>
  <c r="BA471" i="3"/>
  <c r="AZ471" i="3" s="1"/>
  <c r="BL470" i="3"/>
  <c r="AZ470" i="3" s="1"/>
  <c r="BA467" i="3"/>
  <c r="AZ467" i="3" s="1"/>
  <c r="BL466" i="3"/>
  <c r="BA463" i="3"/>
  <c r="AZ463" i="3" s="1"/>
  <c r="BL462" i="3"/>
  <c r="AZ462" i="3" s="1"/>
  <c r="BA459" i="3"/>
  <c r="AZ459" i="3" s="1"/>
  <c r="BL458" i="3"/>
  <c r="AZ458" i="3" s="1"/>
  <c r="BA455" i="3"/>
  <c r="AZ455" i="3" s="1"/>
  <c r="BL454" i="3"/>
  <c r="AZ454" i="3" s="1"/>
  <c r="BA451" i="3"/>
  <c r="AZ451" i="3" s="1"/>
  <c r="BL450" i="3"/>
  <c r="AZ450" i="3" s="1"/>
  <c r="BA447" i="3"/>
  <c r="AZ447" i="3" s="1"/>
  <c r="BL446" i="3"/>
  <c r="AZ446" i="3" s="1"/>
  <c r="BA443" i="3"/>
  <c r="AZ443" i="3" s="1"/>
  <c r="BL442" i="3"/>
  <c r="AZ442" i="3" s="1"/>
  <c r="BA439" i="3"/>
  <c r="AZ439" i="3" s="1"/>
  <c r="BL438" i="3"/>
  <c r="AZ438" i="3" s="1"/>
  <c r="BA435" i="3"/>
  <c r="AZ435" i="3" s="1"/>
  <c r="BL434" i="3"/>
  <c r="AZ434" i="3" s="1"/>
  <c r="BA431" i="3"/>
  <c r="AZ431" i="3" s="1"/>
  <c r="BL430" i="3"/>
  <c r="AZ430" i="3" s="1"/>
  <c r="BA427" i="3"/>
  <c r="AZ427" i="3" s="1"/>
  <c r="BL426" i="3"/>
  <c r="AZ426" i="3" s="1"/>
  <c r="BA423" i="3"/>
  <c r="AZ423" i="3" s="1"/>
  <c r="BL422" i="3"/>
  <c r="AZ422" i="3" s="1"/>
  <c r="BA419" i="3"/>
  <c r="AZ419" i="3" s="1"/>
  <c r="BL418" i="3"/>
  <c r="BA415" i="3"/>
  <c r="AZ415" i="3" s="1"/>
  <c r="BL414" i="3"/>
  <c r="AZ414" i="3" s="1"/>
  <c r="BA411" i="3"/>
  <c r="AZ411" i="3" s="1"/>
  <c r="BL410" i="3"/>
  <c r="AZ410" i="3" s="1"/>
  <c r="BL403" i="3"/>
  <c r="BA401" i="3"/>
  <c r="AZ401" i="3" s="1"/>
  <c r="BL400" i="3"/>
  <c r="AZ400" i="3" s="1"/>
  <c r="BL395" i="3"/>
  <c r="BA393" i="3"/>
  <c r="AZ393" i="3" s="1"/>
  <c r="BL392" i="3"/>
  <c r="AZ392" i="3" s="1"/>
  <c r="BL387" i="3"/>
  <c r="BA385" i="3"/>
  <c r="AZ385" i="3" s="1"/>
  <c r="BL384" i="3"/>
  <c r="AZ384" i="3" s="1"/>
  <c r="BL379" i="3"/>
  <c r="BA377" i="3"/>
  <c r="AZ377" i="3" s="1"/>
  <c r="BA374" i="3"/>
  <c r="BA367" i="3"/>
  <c r="BA365" i="3"/>
  <c r="BL360" i="3"/>
  <c r="BA351" i="3"/>
  <c r="BA349" i="3"/>
  <c r="BL344" i="3"/>
  <c r="BA331" i="3"/>
  <c r="BA322" i="3"/>
  <c r="BL321" i="3"/>
  <c r="AZ321" i="3" s="1"/>
  <c r="BA315" i="3"/>
  <c r="BA303" i="3"/>
  <c r="BA287" i="3"/>
  <c r="BA262" i="3"/>
  <c r="BL261" i="3"/>
  <c r="BA260" i="3"/>
  <c r="BL259" i="3"/>
  <c r="BA255" i="3"/>
  <c r="BA230" i="3"/>
  <c r="BL229" i="3"/>
  <c r="BA228" i="3"/>
  <c r="BL227" i="3"/>
  <c r="BA223" i="3"/>
  <c r="BA198" i="3"/>
  <c r="BL197" i="3"/>
  <c r="BA196" i="3"/>
  <c r="BL195" i="3"/>
  <c r="BA191" i="3"/>
  <c r="BA159" i="3"/>
  <c r="G50" i="3"/>
  <c r="G42" i="3"/>
  <c r="F32" i="71" s="1"/>
  <c r="G34" i="3"/>
  <c r="F24" i="71" s="1"/>
  <c r="G18" i="3"/>
  <c r="F8" i="71" s="1"/>
  <c r="BL407" i="3"/>
  <c r="BA405" i="3"/>
  <c r="AZ405" i="3" s="1"/>
  <c r="BL404" i="3"/>
  <c r="AZ404" i="3" s="1"/>
  <c r="BA396" i="3"/>
  <c r="BA388" i="3"/>
  <c r="BA380" i="3"/>
  <c r="BA363" i="3"/>
  <c r="BA361" i="3"/>
  <c r="BL356" i="3"/>
  <c r="BA347" i="3"/>
  <c r="BA345" i="3"/>
  <c r="BL340" i="3"/>
  <c r="BA332" i="3"/>
  <c r="AZ332" i="3" s="1"/>
  <c r="BL331" i="3"/>
  <c r="AZ331" i="3" s="1"/>
  <c r="BL324" i="3"/>
  <c r="BA316" i="3"/>
  <c r="BL315" i="3"/>
  <c r="BL308" i="3"/>
  <c r="BL294" i="3"/>
  <c r="G48" i="3"/>
  <c r="F38" i="71" s="1"/>
  <c r="G40" i="3"/>
  <c r="F30" i="71" s="1"/>
  <c r="G32" i="3"/>
  <c r="F22" i="71" s="1"/>
  <c r="G24" i="3"/>
  <c r="F14" i="71" s="1"/>
  <c r="BL572" i="3"/>
  <c r="AZ572" i="3" s="1"/>
  <c r="BA569" i="3"/>
  <c r="AZ569" i="3" s="1"/>
  <c r="BL568" i="3"/>
  <c r="AZ568" i="3" s="1"/>
  <c r="BA565" i="3"/>
  <c r="AZ565" i="3" s="1"/>
  <c r="BL564" i="3"/>
  <c r="BA561" i="3"/>
  <c r="AZ561" i="3" s="1"/>
  <c r="BL560" i="3"/>
  <c r="AZ560" i="3" s="1"/>
  <c r="BA557" i="3"/>
  <c r="AZ557" i="3" s="1"/>
  <c r="BL556" i="3"/>
  <c r="AZ556" i="3" s="1"/>
  <c r="BA553" i="3"/>
  <c r="AZ553" i="3" s="1"/>
  <c r="BL552" i="3"/>
  <c r="AZ552" i="3" s="1"/>
  <c r="BA549" i="3"/>
  <c r="AZ549" i="3" s="1"/>
  <c r="BL548" i="3"/>
  <c r="BA545" i="3"/>
  <c r="AZ545" i="3" s="1"/>
  <c r="BL544" i="3"/>
  <c r="AZ544" i="3" s="1"/>
  <c r="BA541" i="3"/>
  <c r="AZ541" i="3" s="1"/>
  <c r="BL540" i="3"/>
  <c r="BA537" i="3"/>
  <c r="AZ537" i="3" s="1"/>
  <c r="BL536" i="3"/>
  <c r="AZ536" i="3" s="1"/>
  <c r="BA533" i="3"/>
  <c r="AZ533" i="3" s="1"/>
  <c r="BL532" i="3"/>
  <c r="AZ532" i="3" s="1"/>
  <c r="BA529" i="3"/>
  <c r="AZ529" i="3" s="1"/>
  <c r="BL528" i="3"/>
  <c r="AZ528" i="3" s="1"/>
  <c r="BA525" i="3"/>
  <c r="BL524" i="3"/>
  <c r="AZ524" i="3" s="1"/>
  <c r="BA521" i="3"/>
  <c r="AZ521" i="3" s="1"/>
  <c r="BL520" i="3"/>
  <c r="AZ520" i="3" s="1"/>
  <c r="BA517" i="3"/>
  <c r="AZ517" i="3" s="1"/>
  <c r="BL516" i="3"/>
  <c r="AZ516" i="3" s="1"/>
  <c r="BA513" i="3"/>
  <c r="AZ513" i="3" s="1"/>
  <c r="BL512" i="3"/>
  <c r="AZ512" i="3" s="1"/>
  <c r="BA509" i="3"/>
  <c r="AZ509" i="3" s="1"/>
  <c r="BL508" i="3"/>
  <c r="AZ508" i="3" s="1"/>
  <c r="BA505" i="3"/>
  <c r="AZ505" i="3" s="1"/>
  <c r="BL504" i="3"/>
  <c r="AZ504" i="3" s="1"/>
  <c r="BA501" i="3"/>
  <c r="AZ501" i="3" s="1"/>
  <c r="BL500" i="3"/>
  <c r="BA497" i="3"/>
  <c r="AZ497" i="3" s="1"/>
  <c r="BL496" i="3"/>
  <c r="AZ496" i="3" s="1"/>
  <c r="BA493" i="3"/>
  <c r="AZ493" i="3" s="1"/>
  <c r="BL492" i="3"/>
  <c r="AZ492" i="3" s="1"/>
  <c r="BA489" i="3"/>
  <c r="AZ489" i="3" s="1"/>
  <c r="BL488" i="3"/>
  <c r="AZ488" i="3" s="1"/>
  <c r="BA485" i="3"/>
  <c r="AZ485" i="3" s="1"/>
  <c r="BL484" i="3"/>
  <c r="AZ484" i="3" s="1"/>
  <c r="BA481" i="3"/>
  <c r="AZ481" i="3" s="1"/>
  <c r="BL480" i="3"/>
  <c r="AZ480" i="3" s="1"/>
  <c r="BA477" i="3"/>
  <c r="AZ477" i="3" s="1"/>
  <c r="BL476" i="3"/>
  <c r="BA473" i="3"/>
  <c r="AZ473" i="3" s="1"/>
  <c r="BL472" i="3"/>
  <c r="AZ472" i="3" s="1"/>
  <c r="BA469" i="3"/>
  <c r="AZ469" i="3" s="1"/>
  <c r="BL468" i="3"/>
  <c r="AZ468" i="3" s="1"/>
  <c r="BA465" i="3"/>
  <c r="AZ465" i="3" s="1"/>
  <c r="BL464" i="3"/>
  <c r="AZ464" i="3" s="1"/>
  <c r="BA461" i="3"/>
  <c r="BL460" i="3"/>
  <c r="AZ460" i="3" s="1"/>
  <c r="BA457" i="3"/>
  <c r="AZ457" i="3" s="1"/>
  <c r="BL456" i="3"/>
  <c r="AZ456" i="3" s="1"/>
  <c r="BA453" i="3"/>
  <c r="AZ453" i="3" s="1"/>
  <c r="BL452" i="3"/>
  <c r="AZ452" i="3" s="1"/>
  <c r="BA449" i="3"/>
  <c r="AZ449" i="3" s="1"/>
  <c r="BL448" i="3"/>
  <c r="AZ448" i="3" s="1"/>
  <c r="BA445" i="3"/>
  <c r="AZ445" i="3" s="1"/>
  <c r="BL444" i="3"/>
  <c r="AZ444" i="3" s="1"/>
  <c r="BA441" i="3"/>
  <c r="AZ441" i="3" s="1"/>
  <c r="BL440" i="3"/>
  <c r="AZ440" i="3" s="1"/>
  <c r="BA437" i="3"/>
  <c r="AZ437" i="3" s="1"/>
  <c r="BL436" i="3"/>
  <c r="BA433" i="3"/>
  <c r="AZ433" i="3" s="1"/>
  <c r="BL432" i="3"/>
  <c r="AZ432" i="3" s="1"/>
  <c r="BA429" i="3"/>
  <c r="AZ429" i="3" s="1"/>
  <c r="BL428" i="3"/>
  <c r="AZ428" i="3" s="1"/>
  <c r="BA425" i="3"/>
  <c r="AZ425" i="3" s="1"/>
  <c r="BL424" i="3"/>
  <c r="AZ424" i="3" s="1"/>
  <c r="BA421" i="3"/>
  <c r="AZ421" i="3" s="1"/>
  <c r="BL420" i="3"/>
  <c r="AZ420" i="3" s="1"/>
  <c r="BA417" i="3"/>
  <c r="AZ417" i="3" s="1"/>
  <c r="BL416" i="3"/>
  <c r="AZ416" i="3" s="1"/>
  <c r="BA413" i="3"/>
  <c r="AZ413" i="3" s="1"/>
  <c r="BL412" i="3"/>
  <c r="BA409" i="3"/>
  <c r="AZ409" i="3" s="1"/>
  <c r="BL408" i="3"/>
  <c r="AZ408" i="3" s="1"/>
  <c r="BA403" i="3"/>
  <c r="AZ403" i="3" s="1"/>
  <c r="BL402" i="3"/>
  <c r="AZ402" i="3" s="1"/>
  <c r="BL399" i="3"/>
  <c r="BA397" i="3"/>
  <c r="AZ397" i="3" s="1"/>
  <c r="BL396" i="3"/>
  <c r="AZ396" i="3" s="1"/>
  <c r="BL391" i="3"/>
  <c r="BA389" i="3"/>
  <c r="AZ389" i="3" s="1"/>
  <c r="BL388" i="3"/>
  <c r="AZ388" i="3" s="1"/>
  <c r="BL383" i="3"/>
  <c r="BA381" i="3"/>
  <c r="AZ381" i="3" s="1"/>
  <c r="BL380" i="3"/>
  <c r="BL375" i="3"/>
  <c r="BL368" i="3"/>
  <c r="BA359" i="3"/>
  <c r="BA357" i="3"/>
  <c r="BL352" i="3"/>
  <c r="BA343" i="3"/>
  <c r="BA341" i="3"/>
  <c r="BL338" i="3"/>
  <c r="BA327" i="3"/>
  <c r="BA325" i="3"/>
  <c r="BL322" i="3"/>
  <c r="BA311" i="3"/>
  <c r="BA309" i="3"/>
  <c r="BA295" i="3"/>
  <c r="BA283" i="3"/>
  <c r="BA281" i="3"/>
  <c r="BL274" i="3"/>
  <c r="BA251" i="3"/>
  <c r="BA249" i="3"/>
  <c r="BL242" i="3"/>
  <c r="BA219" i="3"/>
  <c r="BA217" i="3"/>
  <c r="BL210" i="3"/>
  <c r="BA181" i="3"/>
  <c r="BL376" i="3"/>
  <c r="AZ376" i="3" s="1"/>
  <c r="BA373" i="3"/>
  <c r="AZ373" i="3" s="1"/>
  <c r="BL372" i="3"/>
  <c r="BA336" i="3"/>
  <c r="BL335" i="3"/>
  <c r="AZ335" i="3" s="1"/>
  <c r="BL328" i="3"/>
  <c r="BA326" i="3"/>
  <c r="AZ326" i="3" s="1"/>
  <c r="BL325" i="3"/>
  <c r="AZ325" i="3" s="1"/>
  <c r="BA320" i="3"/>
  <c r="AZ320" i="3" s="1"/>
  <c r="BL319" i="3"/>
  <c r="AZ319" i="3" s="1"/>
  <c r="BL312" i="3"/>
  <c r="BA310" i="3"/>
  <c r="AZ310" i="3" s="1"/>
  <c r="BL309" i="3"/>
  <c r="AZ309" i="3" s="1"/>
  <c r="BA304" i="3"/>
  <c r="AZ304" i="3" s="1"/>
  <c r="BL303" i="3"/>
  <c r="AZ303" i="3" s="1"/>
  <c r="BL300" i="3"/>
  <c r="BA296" i="3"/>
  <c r="AZ296" i="3" s="1"/>
  <c r="BL295" i="3"/>
  <c r="AZ295" i="3" s="1"/>
  <c r="BL292" i="3"/>
  <c r="BA288" i="3"/>
  <c r="BL287" i="3"/>
  <c r="AZ287" i="3" s="1"/>
  <c r="BL284" i="3"/>
  <c r="BA282" i="3"/>
  <c r="AZ282" i="3" s="1"/>
  <c r="BL281" i="3"/>
  <c r="AZ281" i="3" s="1"/>
  <c r="BA277" i="3"/>
  <c r="BA275" i="3"/>
  <c r="BL264" i="3"/>
  <c r="BA256" i="3"/>
  <c r="BL255" i="3"/>
  <c r="AZ255" i="3" s="1"/>
  <c r="BL252" i="3"/>
  <c r="BA250" i="3"/>
  <c r="AZ250" i="3" s="1"/>
  <c r="BL249" i="3"/>
  <c r="AZ249" i="3" s="1"/>
  <c r="BA245" i="3"/>
  <c r="BA243" i="3"/>
  <c r="BL232" i="3"/>
  <c r="BA224" i="3"/>
  <c r="AZ224" i="3" s="1"/>
  <c r="BL223" i="3"/>
  <c r="AZ223" i="3" s="1"/>
  <c r="BL220" i="3"/>
  <c r="BA218" i="3"/>
  <c r="AZ218" i="3" s="1"/>
  <c r="BL217" i="3"/>
  <c r="AZ217" i="3" s="1"/>
  <c r="BA213" i="3"/>
  <c r="BA211" i="3"/>
  <c r="BL200" i="3"/>
  <c r="BA192" i="3"/>
  <c r="BL191" i="3"/>
  <c r="AZ191" i="3" s="1"/>
  <c r="BL188" i="3"/>
  <c r="BA167" i="3"/>
  <c r="BA160" i="3"/>
  <c r="BL159" i="3"/>
  <c r="AZ159" i="3" s="1"/>
  <c r="BL156" i="3"/>
  <c r="BL152" i="3"/>
  <c r="BA152" i="3"/>
  <c r="AZ152" i="3" s="1"/>
  <c r="BL151" i="3"/>
  <c r="BA149" i="3"/>
  <c r="BL135" i="3"/>
  <c r="BL119" i="3"/>
  <c r="BL103" i="3"/>
  <c r="BL87" i="3"/>
  <c r="BL71" i="3"/>
  <c r="BL55" i="3"/>
  <c r="BL39" i="3"/>
  <c r="BL23" i="3"/>
  <c r="BL332" i="3"/>
  <c r="BA330" i="3"/>
  <c r="AZ330" i="3" s="1"/>
  <c r="BL329" i="3"/>
  <c r="AZ329" i="3" s="1"/>
  <c r="BA324" i="3"/>
  <c r="AZ324" i="3" s="1"/>
  <c r="BL323" i="3"/>
  <c r="AZ323" i="3" s="1"/>
  <c r="BL316" i="3"/>
  <c r="BA314" i="3"/>
  <c r="AZ314" i="3" s="1"/>
  <c r="BL313" i="3"/>
  <c r="AZ313" i="3" s="1"/>
  <c r="BA308" i="3"/>
  <c r="BL307" i="3"/>
  <c r="AZ307" i="3" s="1"/>
  <c r="BA299" i="3"/>
  <c r="BA291" i="3"/>
  <c r="BA278" i="3"/>
  <c r="AZ278" i="3" s="1"/>
  <c r="BL277" i="3"/>
  <c r="BA276" i="3"/>
  <c r="AZ276" i="3" s="1"/>
  <c r="BL275" i="3"/>
  <c r="AZ275" i="3" s="1"/>
  <c r="BA271" i="3"/>
  <c r="BA265" i="3"/>
  <c r="BL262" i="3"/>
  <c r="BL258" i="3"/>
  <c r="BA246" i="3"/>
  <c r="AZ246" i="3" s="1"/>
  <c r="BL245" i="3"/>
  <c r="BA244" i="3"/>
  <c r="AZ244" i="3" s="1"/>
  <c r="BL243" i="3"/>
  <c r="AZ243" i="3" s="1"/>
  <c r="BA239" i="3"/>
  <c r="BA233" i="3"/>
  <c r="BL230" i="3"/>
  <c r="BL226" i="3"/>
  <c r="BA214" i="3"/>
  <c r="AZ214" i="3" s="1"/>
  <c r="BL213" i="3"/>
  <c r="BA212" i="3"/>
  <c r="AZ212" i="3" s="1"/>
  <c r="BL211" i="3"/>
  <c r="AZ211" i="3" s="1"/>
  <c r="BA207" i="3"/>
  <c r="BA201" i="3"/>
  <c r="BL198" i="3"/>
  <c r="BL194" i="3"/>
  <c r="BA175" i="3"/>
  <c r="BA168" i="3"/>
  <c r="BL167" i="3"/>
  <c r="AZ167" i="3" s="1"/>
  <c r="BL164" i="3"/>
  <c r="BA399" i="3"/>
  <c r="BL398" i="3"/>
  <c r="AZ398" i="3" s="1"/>
  <c r="BA395" i="3"/>
  <c r="AZ395" i="3" s="1"/>
  <c r="BL394" i="3"/>
  <c r="AZ394" i="3" s="1"/>
  <c r="BA391" i="3"/>
  <c r="AZ391" i="3" s="1"/>
  <c r="BL390" i="3"/>
  <c r="AZ390" i="3" s="1"/>
  <c r="BA387" i="3"/>
  <c r="AZ387" i="3" s="1"/>
  <c r="BL386" i="3"/>
  <c r="AZ386" i="3" s="1"/>
  <c r="BA383" i="3"/>
  <c r="BL382" i="3"/>
  <c r="AZ382" i="3" s="1"/>
  <c r="BA379" i="3"/>
  <c r="AZ379" i="3" s="1"/>
  <c r="BL378" i="3"/>
  <c r="AZ378" i="3" s="1"/>
  <c r="BA375" i="3"/>
  <c r="BL374" i="3"/>
  <c r="AZ374" i="3" s="1"/>
  <c r="BL336" i="3"/>
  <c r="BA334" i="3"/>
  <c r="AZ334" i="3" s="1"/>
  <c r="BL333" i="3"/>
  <c r="AZ333" i="3" s="1"/>
  <c r="BA328" i="3"/>
  <c r="AZ328" i="3" s="1"/>
  <c r="BL327" i="3"/>
  <c r="AZ327" i="3" s="1"/>
  <c r="BL320" i="3"/>
  <c r="BA318" i="3"/>
  <c r="AZ318" i="3" s="1"/>
  <c r="BL317" i="3"/>
  <c r="AZ317" i="3" s="1"/>
  <c r="BA312" i="3"/>
  <c r="AZ312" i="3" s="1"/>
  <c r="BL311" i="3"/>
  <c r="AZ311" i="3" s="1"/>
  <c r="BL304" i="3"/>
  <c r="BA300" i="3"/>
  <c r="AZ300" i="3" s="1"/>
  <c r="BL299" i="3"/>
  <c r="AZ299" i="3" s="1"/>
  <c r="BL296" i="3"/>
  <c r="BA292" i="3"/>
  <c r="AZ292" i="3" s="1"/>
  <c r="BL291" i="3"/>
  <c r="AZ291" i="3" s="1"/>
  <c r="BL288" i="3"/>
  <c r="BL280" i="3"/>
  <c r="BA272" i="3"/>
  <c r="BL271" i="3"/>
  <c r="AZ271" i="3" s="1"/>
  <c r="BL268" i="3"/>
  <c r="BA266" i="3"/>
  <c r="AZ266" i="3" s="1"/>
  <c r="BL265" i="3"/>
  <c r="BA261" i="3"/>
  <c r="BA259" i="3"/>
  <c r="BL248" i="3"/>
  <c r="BA240" i="3"/>
  <c r="BL239" i="3"/>
  <c r="AZ239" i="3" s="1"/>
  <c r="BL236" i="3"/>
  <c r="BA234" i="3"/>
  <c r="AZ234" i="3" s="1"/>
  <c r="BL233" i="3"/>
  <c r="BA229" i="3"/>
  <c r="BA227" i="3"/>
  <c r="BL216" i="3"/>
  <c r="BA208" i="3"/>
  <c r="BL207" i="3"/>
  <c r="AZ207" i="3" s="1"/>
  <c r="BL204" i="3"/>
  <c r="BA202" i="3"/>
  <c r="AZ202" i="3" s="1"/>
  <c r="BL201" i="3"/>
  <c r="BA197" i="3"/>
  <c r="BA195" i="3"/>
  <c r="BA183" i="3"/>
  <c r="BA176" i="3"/>
  <c r="BL175" i="3"/>
  <c r="AZ175" i="3" s="1"/>
  <c r="BL172" i="3"/>
  <c r="BA306" i="3"/>
  <c r="AZ306" i="3" s="1"/>
  <c r="BL305" i="3"/>
  <c r="AZ305" i="3" s="1"/>
  <c r="BA302" i="3"/>
  <c r="AZ302" i="3" s="1"/>
  <c r="BL301" i="3"/>
  <c r="AZ301" i="3" s="1"/>
  <c r="BA298" i="3"/>
  <c r="AZ298" i="3" s="1"/>
  <c r="BL297" i="3"/>
  <c r="AZ297" i="3" s="1"/>
  <c r="BA294" i="3"/>
  <c r="AZ294" i="3" s="1"/>
  <c r="BL293" i="3"/>
  <c r="AZ293" i="3" s="1"/>
  <c r="BA290" i="3"/>
  <c r="AZ290" i="3" s="1"/>
  <c r="BL289" i="3"/>
  <c r="AZ289" i="3" s="1"/>
  <c r="BA286" i="3"/>
  <c r="AZ286" i="3" s="1"/>
  <c r="BL285" i="3"/>
  <c r="AZ285" i="3" s="1"/>
  <c r="BA280" i="3"/>
  <c r="AZ280" i="3" s="1"/>
  <c r="BL279" i="3"/>
  <c r="AZ279" i="3" s="1"/>
  <c r="BL272" i="3"/>
  <c r="BA270" i="3"/>
  <c r="AZ270" i="3" s="1"/>
  <c r="BL269" i="3"/>
  <c r="AZ269" i="3" s="1"/>
  <c r="BA264" i="3"/>
  <c r="AZ264" i="3" s="1"/>
  <c r="BL263" i="3"/>
  <c r="AZ263" i="3" s="1"/>
  <c r="BL256" i="3"/>
  <c r="BA254" i="3"/>
  <c r="AZ254" i="3" s="1"/>
  <c r="BL253" i="3"/>
  <c r="AZ253" i="3" s="1"/>
  <c r="BA248" i="3"/>
  <c r="AZ248" i="3" s="1"/>
  <c r="BL247" i="3"/>
  <c r="AZ247" i="3" s="1"/>
  <c r="BL240" i="3"/>
  <c r="BA238" i="3"/>
  <c r="AZ238" i="3" s="1"/>
  <c r="BL237" i="3"/>
  <c r="AZ237" i="3" s="1"/>
  <c r="BA232" i="3"/>
  <c r="AZ232" i="3" s="1"/>
  <c r="BL231" i="3"/>
  <c r="AZ231" i="3" s="1"/>
  <c r="BL224" i="3"/>
  <c r="BA222" i="3"/>
  <c r="AZ222" i="3" s="1"/>
  <c r="BL221" i="3"/>
  <c r="AZ221" i="3" s="1"/>
  <c r="BA216" i="3"/>
  <c r="AZ216" i="3" s="1"/>
  <c r="BL215" i="3"/>
  <c r="AZ215" i="3" s="1"/>
  <c r="BL208" i="3"/>
  <c r="BA206" i="3"/>
  <c r="AZ206" i="3" s="1"/>
  <c r="BL205" i="3"/>
  <c r="AZ205" i="3" s="1"/>
  <c r="BA200" i="3"/>
  <c r="AZ200" i="3" s="1"/>
  <c r="BL199" i="3"/>
  <c r="AZ199" i="3" s="1"/>
  <c r="BL192" i="3"/>
  <c r="BA190" i="3"/>
  <c r="AZ190" i="3" s="1"/>
  <c r="BA187" i="3"/>
  <c r="BA179" i="3"/>
  <c r="BA171" i="3"/>
  <c r="BA163" i="3"/>
  <c r="BA155" i="3"/>
  <c r="BL141" i="3"/>
  <c r="BA141" i="3"/>
  <c r="AZ141" i="3" s="1"/>
  <c r="BL140" i="3"/>
  <c r="BA138" i="3"/>
  <c r="BA136" i="3"/>
  <c r="BL125" i="3"/>
  <c r="BA125" i="3"/>
  <c r="BL124" i="3"/>
  <c r="BA122" i="3"/>
  <c r="BA120" i="3"/>
  <c r="BL109" i="3"/>
  <c r="BA109" i="3"/>
  <c r="BL108" i="3"/>
  <c r="BA106" i="3"/>
  <c r="BA104" i="3"/>
  <c r="BL93" i="3"/>
  <c r="BA93" i="3"/>
  <c r="AZ93" i="3" s="1"/>
  <c r="BL92" i="3"/>
  <c r="AZ92" i="3" s="1"/>
  <c r="BA90" i="3"/>
  <c r="BA88" i="3"/>
  <c r="BL77" i="3"/>
  <c r="BA77" i="3"/>
  <c r="AZ77" i="3" s="1"/>
  <c r="BL76" i="3"/>
  <c r="BA74" i="3"/>
  <c r="BA72" i="3"/>
  <c r="BL61" i="3"/>
  <c r="BA61" i="3"/>
  <c r="BA58" i="3"/>
  <c r="BA56" i="3"/>
  <c r="BL45" i="3"/>
  <c r="BA42" i="3"/>
  <c r="BA40" i="3"/>
  <c r="BL29" i="3"/>
  <c r="BA26" i="3"/>
  <c r="BA24" i="3"/>
  <c r="BL13" i="3"/>
  <c r="C100" i="46"/>
  <c r="C108" i="46"/>
  <c r="BA284" i="3"/>
  <c r="AZ284" i="3" s="1"/>
  <c r="BL283" i="3"/>
  <c r="AZ283" i="3" s="1"/>
  <c r="BL276" i="3"/>
  <c r="BA274" i="3"/>
  <c r="AZ274" i="3" s="1"/>
  <c r="BL273" i="3"/>
  <c r="AZ273" i="3" s="1"/>
  <c r="BA268" i="3"/>
  <c r="BL267" i="3"/>
  <c r="AZ267" i="3" s="1"/>
  <c r="BL260" i="3"/>
  <c r="BA258" i="3"/>
  <c r="AZ258" i="3" s="1"/>
  <c r="BL257" i="3"/>
  <c r="AZ257" i="3" s="1"/>
  <c r="BA252" i="3"/>
  <c r="AZ252" i="3" s="1"/>
  <c r="BL251" i="3"/>
  <c r="AZ251" i="3" s="1"/>
  <c r="BL244" i="3"/>
  <c r="BA242" i="3"/>
  <c r="AZ242" i="3" s="1"/>
  <c r="BL241" i="3"/>
  <c r="AZ241" i="3" s="1"/>
  <c r="BA236" i="3"/>
  <c r="AZ236" i="3" s="1"/>
  <c r="BL235" i="3"/>
  <c r="AZ235" i="3" s="1"/>
  <c r="BL228" i="3"/>
  <c r="BA226" i="3"/>
  <c r="AZ226" i="3" s="1"/>
  <c r="BL225" i="3"/>
  <c r="AZ225" i="3" s="1"/>
  <c r="BA220" i="3"/>
  <c r="AZ220" i="3" s="1"/>
  <c r="BL219" i="3"/>
  <c r="BL212" i="3"/>
  <c r="BA210" i="3"/>
  <c r="AZ210" i="3" s="1"/>
  <c r="BL209" i="3"/>
  <c r="AZ209" i="3" s="1"/>
  <c r="BA204" i="3"/>
  <c r="BL203" i="3"/>
  <c r="AZ203" i="3" s="1"/>
  <c r="BL196" i="3"/>
  <c r="BA194" i="3"/>
  <c r="AZ194" i="3" s="1"/>
  <c r="BL193" i="3"/>
  <c r="AZ193" i="3" s="1"/>
  <c r="BA188" i="3"/>
  <c r="AZ188" i="3" s="1"/>
  <c r="BL187" i="3"/>
  <c r="AZ187" i="3" s="1"/>
  <c r="BL184" i="3"/>
  <c r="BA180" i="3"/>
  <c r="AZ180" i="3" s="1"/>
  <c r="BL179" i="3"/>
  <c r="AZ179" i="3" s="1"/>
  <c r="BL176" i="3"/>
  <c r="BA172" i="3"/>
  <c r="BL171" i="3"/>
  <c r="BL168" i="3"/>
  <c r="BA164" i="3"/>
  <c r="AZ164" i="3" s="1"/>
  <c r="BL163" i="3"/>
  <c r="AZ163" i="3" s="1"/>
  <c r="BL160" i="3"/>
  <c r="BA156" i="3"/>
  <c r="AZ156" i="3" s="1"/>
  <c r="BL155" i="3"/>
  <c r="AZ155" i="3" s="1"/>
  <c r="BL143" i="3"/>
  <c r="BL127" i="3"/>
  <c r="BL111" i="3"/>
  <c r="BL95" i="3"/>
  <c r="BL79" i="3"/>
  <c r="BL63" i="3"/>
  <c r="BL47" i="3"/>
  <c r="BL31" i="3"/>
  <c r="BL15" i="3"/>
  <c r="E69" i="46"/>
  <c r="B67" i="46" s="1"/>
  <c r="BL189" i="3"/>
  <c r="AZ189" i="3" s="1"/>
  <c r="BA186" i="3"/>
  <c r="AZ186" i="3" s="1"/>
  <c r="BL185" i="3"/>
  <c r="AZ185" i="3" s="1"/>
  <c r="BA182" i="3"/>
  <c r="AZ182" i="3" s="1"/>
  <c r="BL181" i="3"/>
  <c r="AZ181" i="3" s="1"/>
  <c r="BA178" i="3"/>
  <c r="AZ178" i="3" s="1"/>
  <c r="BL177" i="3"/>
  <c r="AZ177" i="3" s="1"/>
  <c r="BA174" i="3"/>
  <c r="AZ174" i="3" s="1"/>
  <c r="BL173" i="3"/>
  <c r="AZ173" i="3" s="1"/>
  <c r="BA170" i="3"/>
  <c r="AZ170" i="3" s="1"/>
  <c r="BL169" i="3"/>
  <c r="AZ169" i="3" s="1"/>
  <c r="BA166" i="3"/>
  <c r="AZ166" i="3" s="1"/>
  <c r="BL165" i="3"/>
  <c r="AZ165" i="3" s="1"/>
  <c r="BA162" i="3"/>
  <c r="AZ162" i="3" s="1"/>
  <c r="BL161" i="3"/>
  <c r="AZ161" i="3" s="1"/>
  <c r="BA158" i="3"/>
  <c r="AZ158" i="3" s="1"/>
  <c r="BL157" i="3"/>
  <c r="AZ157" i="3" s="1"/>
  <c r="BA154" i="3"/>
  <c r="AZ154" i="3" s="1"/>
  <c r="BL150" i="3"/>
  <c r="BA148" i="3"/>
  <c r="AZ148" i="3" s="1"/>
  <c r="BL147" i="3"/>
  <c r="BL139" i="3"/>
  <c r="BA137" i="3"/>
  <c r="AZ137" i="3" s="1"/>
  <c r="BL136" i="3"/>
  <c r="BL131" i="3"/>
  <c r="BA129" i="3"/>
  <c r="AZ129" i="3" s="1"/>
  <c r="BL128" i="3"/>
  <c r="AZ128" i="3" s="1"/>
  <c r="BL123" i="3"/>
  <c r="BA121" i="3"/>
  <c r="AZ121" i="3" s="1"/>
  <c r="BL120" i="3"/>
  <c r="AZ120" i="3" s="1"/>
  <c r="BL115" i="3"/>
  <c r="BA113" i="3"/>
  <c r="AZ113" i="3" s="1"/>
  <c r="BL112" i="3"/>
  <c r="AZ112" i="3" s="1"/>
  <c r="BL107" i="3"/>
  <c r="BA105" i="3"/>
  <c r="AZ105" i="3" s="1"/>
  <c r="BL104" i="3"/>
  <c r="AZ104" i="3" s="1"/>
  <c r="BL99" i="3"/>
  <c r="BA97" i="3"/>
  <c r="AZ97" i="3" s="1"/>
  <c r="BL96" i="3"/>
  <c r="AZ96" i="3" s="1"/>
  <c r="BL91" i="3"/>
  <c r="BA89" i="3"/>
  <c r="AZ89" i="3" s="1"/>
  <c r="BL88" i="3"/>
  <c r="AZ88" i="3" s="1"/>
  <c r="BL83" i="3"/>
  <c r="BA81" i="3"/>
  <c r="AZ81" i="3" s="1"/>
  <c r="BL80" i="3"/>
  <c r="AZ80" i="3" s="1"/>
  <c r="BL75" i="3"/>
  <c r="BA73" i="3"/>
  <c r="AZ73" i="3" s="1"/>
  <c r="BL72" i="3"/>
  <c r="BL67" i="3"/>
  <c r="BA65" i="3"/>
  <c r="AZ65" i="3" s="1"/>
  <c r="BL64" i="3"/>
  <c r="AZ64" i="3" s="1"/>
  <c r="BL59" i="3"/>
  <c r="BL51" i="3"/>
  <c r="BL43" i="3"/>
  <c r="BL35" i="3"/>
  <c r="BL27" i="3"/>
  <c r="BL19" i="3"/>
  <c r="BA151" i="3"/>
  <c r="BA140" i="3"/>
  <c r="BA132" i="3"/>
  <c r="BA124" i="3"/>
  <c r="BA116" i="3"/>
  <c r="BA108" i="3"/>
  <c r="BA100" i="3"/>
  <c r="BA92" i="3"/>
  <c r="BA84" i="3"/>
  <c r="BA76" i="3"/>
  <c r="BA68" i="3"/>
  <c r="BA60" i="3"/>
  <c r="BA52" i="3"/>
  <c r="BA44" i="3"/>
  <c r="BA36" i="3"/>
  <c r="BA28" i="3"/>
  <c r="BA20" i="3"/>
  <c r="BL153" i="3"/>
  <c r="AZ153" i="3" s="1"/>
  <c r="BA150" i="3"/>
  <c r="BL149" i="3"/>
  <c r="AZ149" i="3" s="1"/>
  <c r="BA143" i="3"/>
  <c r="AZ143" i="3" s="1"/>
  <c r="BL142" i="3"/>
  <c r="AZ142" i="3" s="1"/>
  <c r="BA139" i="3"/>
  <c r="BL138" i="3"/>
  <c r="AZ138" i="3" s="1"/>
  <c r="BA135" i="3"/>
  <c r="AZ135" i="3" s="1"/>
  <c r="BL134" i="3"/>
  <c r="AZ134" i="3" s="1"/>
  <c r="BA131" i="3"/>
  <c r="BL130" i="3"/>
  <c r="AZ130" i="3" s="1"/>
  <c r="BA127" i="3"/>
  <c r="AZ127" i="3" s="1"/>
  <c r="BL126" i="3"/>
  <c r="AZ126" i="3" s="1"/>
  <c r="BA123" i="3"/>
  <c r="AZ123" i="3" s="1"/>
  <c r="BL122" i="3"/>
  <c r="AZ122" i="3" s="1"/>
  <c r="BA119" i="3"/>
  <c r="AZ119" i="3" s="1"/>
  <c r="BL118" i="3"/>
  <c r="AZ118" i="3" s="1"/>
  <c r="BA115" i="3"/>
  <c r="BL114" i="3"/>
  <c r="AZ114" i="3" s="1"/>
  <c r="BA111" i="3"/>
  <c r="AZ111" i="3" s="1"/>
  <c r="BL110" i="3"/>
  <c r="AZ110" i="3" s="1"/>
  <c r="BA107" i="3"/>
  <c r="BL106" i="3"/>
  <c r="BA103" i="3"/>
  <c r="AZ103" i="3" s="1"/>
  <c r="BL102" i="3"/>
  <c r="AZ102" i="3" s="1"/>
  <c r="BA99" i="3"/>
  <c r="BL98" i="3"/>
  <c r="AZ98" i="3" s="1"/>
  <c r="BA95" i="3"/>
  <c r="AZ95" i="3" s="1"/>
  <c r="BL94" i="3"/>
  <c r="AZ94" i="3" s="1"/>
  <c r="BA91" i="3"/>
  <c r="AZ91" i="3" s="1"/>
  <c r="BL90" i="3"/>
  <c r="AZ90" i="3" s="1"/>
  <c r="BA87" i="3"/>
  <c r="AZ87" i="3" s="1"/>
  <c r="BL86" i="3"/>
  <c r="AZ86" i="3" s="1"/>
  <c r="BA83" i="3"/>
  <c r="BL82" i="3"/>
  <c r="AZ82" i="3" s="1"/>
  <c r="BA79" i="3"/>
  <c r="AZ79" i="3" s="1"/>
  <c r="BL78" i="3"/>
  <c r="AZ78" i="3" s="1"/>
  <c r="BA75" i="3"/>
  <c r="BL74" i="3"/>
  <c r="AZ74" i="3" s="1"/>
  <c r="BA71" i="3"/>
  <c r="AZ71" i="3" s="1"/>
  <c r="BL70" i="3"/>
  <c r="AZ70" i="3" s="1"/>
  <c r="BA67" i="3"/>
  <c r="BL66" i="3"/>
  <c r="AZ66" i="3" s="1"/>
  <c r="BA63" i="3"/>
  <c r="AZ63" i="3" s="1"/>
  <c r="BL62" i="3"/>
  <c r="AZ62" i="3" s="1"/>
  <c r="E58" i="46"/>
  <c r="B56" i="46" s="1"/>
  <c r="C6" i="46"/>
  <c r="B23" i="59"/>
  <c r="B24" i="59" s="1"/>
  <c r="S24" i="59" s="1"/>
  <c r="B19" i="59"/>
  <c r="B20" i="59" s="1"/>
  <c r="S20" i="59" s="1"/>
  <c r="B15" i="59"/>
  <c r="B16" i="59" s="1"/>
  <c r="S16" i="59" s="1"/>
  <c r="X5" i="59"/>
  <c r="AB5" i="59"/>
  <c r="F7" i="59"/>
  <c r="F6" i="59" s="1"/>
  <c r="F5" i="59" s="1"/>
  <c r="AA6" i="59"/>
  <c r="AA5" i="59"/>
  <c r="E47" i="46"/>
  <c r="B45" i="46" s="1"/>
  <c r="F35" i="46"/>
  <c r="F38" i="46"/>
  <c r="Y5" i="59"/>
  <c r="Z5" i="59" s="1"/>
  <c r="I22" i="71"/>
  <c r="J22" i="71" s="1"/>
  <c r="I1" i="65"/>
  <c r="F30" i="6"/>
  <c r="E29" i="6"/>
  <c r="K15" i="1" s="1"/>
  <c r="L27" i="6"/>
  <c r="M105" i="46"/>
  <c r="D105" i="46"/>
  <c r="G22" i="46"/>
  <c r="C105" i="46"/>
  <c r="E58" i="40"/>
  <c r="I107" i="46"/>
  <c r="K104" i="46"/>
  <c r="D107" i="46"/>
  <c r="D103" i="46"/>
  <c r="H22" i="46"/>
  <c r="C107" i="46"/>
  <c r="C103" i="46"/>
  <c r="F101" i="46"/>
  <c r="F103" i="46" s="1"/>
  <c r="F22" i="46"/>
  <c r="B113" i="46"/>
  <c r="B118" i="46" s="1"/>
  <c r="C118" i="46" s="1"/>
  <c r="E22" i="46"/>
  <c r="I109" i="46"/>
  <c r="M107" i="46"/>
  <c r="K106" i="46"/>
  <c r="I105" i="46"/>
  <c r="M103" i="46"/>
  <c r="G30" i="3"/>
  <c r="F20" i="71" s="1"/>
  <c r="F39" i="71" s="1"/>
  <c r="I116" i="46"/>
  <c r="J116" i="46" s="1"/>
  <c r="K116" i="46" s="1"/>
  <c r="L116" i="46" s="1"/>
  <c r="M116" i="46" s="1"/>
  <c r="D109" i="46"/>
  <c r="D106" i="46"/>
  <c r="D104" i="46"/>
  <c r="E66" i="39"/>
  <c r="B117" i="46"/>
  <c r="C117" i="46" s="1"/>
  <c r="K107" i="46"/>
  <c r="M106" i="46"/>
  <c r="I106" i="46"/>
  <c r="K105" i="46"/>
  <c r="M104" i="46"/>
  <c r="I104" i="46"/>
  <c r="K103" i="46"/>
  <c r="G16" i="3"/>
  <c r="F6" i="71" s="1"/>
  <c r="D21" i="12"/>
  <c r="C21" i="12" s="1"/>
  <c r="E16" i="6"/>
  <c r="G102" i="46"/>
  <c r="G103" i="46"/>
  <c r="G104" i="46"/>
  <c r="G105" i="46"/>
  <c r="G106" i="46"/>
  <c r="G107" i="46"/>
  <c r="N109" i="46"/>
  <c r="C109" i="46"/>
  <c r="C106" i="46"/>
  <c r="C104" i="46"/>
  <c r="F105" i="46"/>
  <c r="E59" i="40"/>
  <c r="G109" i="46"/>
  <c r="C23" i="46" s="1"/>
  <c r="E101" i="46"/>
  <c r="E109" i="46" s="1"/>
  <c r="K33" i="9"/>
  <c r="O41" i="9"/>
  <c r="R8" i="54" s="1"/>
  <c r="B54" i="63" s="1"/>
  <c r="H14" i="66"/>
  <c r="B7" i="66" s="1"/>
  <c r="E53" i="21"/>
  <c r="F53" i="21" s="1"/>
  <c r="E52" i="21"/>
  <c r="F52" i="21" s="1"/>
  <c r="G52" i="21"/>
  <c r="H52" i="21" s="1"/>
  <c r="G53" i="21"/>
  <c r="H53" i="21" s="1"/>
  <c r="O6" i="1"/>
  <c r="P6" i="1" s="1"/>
  <c r="O10" i="1"/>
  <c r="P10" i="1" s="1"/>
  <c r="E46" i="36"/>
  <c r="F46" i="36" s="1"/>
  <c r="G46" i="36" s="1"/>
  <c r="H46" i="36" s="1"/>
  <c r="I46" i="36" s="1"/>
  <c r="J46" i="36" s="1"/>
  <c r="K46" i="36" s="1"/>
  <c r="L46" i="36" s="1"/>
  <c r="M46" i="36" s="1"/>
  <c r="N46" i="36" s="1"/>
  <c r="O46" i="36" s="1"/>
  <c r="H7" i="36"/>
  <c r="F7" i="36"/>
  <c r="O7" i="1"/>
  <c r="P7" i="1" s="1"/>
  <c r="I52" i="21"/>
  <c r="J52" i="21" s="1"/>
  <c r="I53" i="21"/>
  <c r="J53" i="21" s="1"/>
  <c r="G65" i="40"/>
  <c r="F67" i="40"/>
  <c r="G70" i="39"/>
  <c r="F72" i="39"/>
  <c r="H48" i="35"/>
  <c r="I48" i="35" s="1"/>
  <c r="J48" i="35" s="1"/>
  <c r="K48" i="35" s="1"/>
  <c r="L48" i="35" s="1"/>
  <c r="M48" i="35" s="1"/>
  <c r="N48" i="35" s="1"/>
  <c r="O48" i="35" s="1"/>
  <c r="G52" i="37"/>
  <c r="H52" i="37" s="1"/>
  <c r="I52" i="37" s="1"/>
  <c r="J52" i="37" s="1"/>
  <c r="K52" i="37" s="1"/>
  <c r="L52" i="37" s="1"/>
  <c r="M52" i="37" s="1"/>
  <c r="N52" i="37" s="1"/>
  <c r="O52" i="37" s="1"/>
  <c r="E59" i="34"/>
  <c r="F59" i="34" s="1"/>
  <c r="G59" i="34" s="1"/>
  <c r="H59" i="34" s="1"/>
  <c r="I59" i="34" s="1"/>
  <c r="J59" i="34" s="1"/>
  <c r="K59" i="34" s="1"/>
  <c r="L59" i="34" s="1"/>
  <c r="M59" i="34" s="1"/>
  <c r="N59" i="34" s="1"/>
  <c r="O59" i="34" s="1"/>
  <c r="H7" i="34"/>
  <c r="O11" i="1"/>
  <c r="P11" i="1" s="1"/>
  <c r="O14" i="1"/>
  <c r="P14" i="1" s="1"/>
  <c r="E30" i="6"/>
  <c r="M109" i="46"/>
  <c r="L109" i="46"/>
  <c r="J7" i="37"/>
  <c r="J7" i="35"/>
  <c r="J109" i="46"/>
  <c r="K109" i="46"/>
  <c r="N107" i="46"/>
  <c r="L107" i="46"/>
  <c r="J107" i="46"/>
  <c r="H107" i="46"/>
  <c r="N106" i="46"/>
  <c r="L106" i="46"/>
  <c r="J106" i="46"/>
  <c r="H106" i="46"/>
  <c r="N105" i="46"/>
  <c r="L105" i="46"/>
  <c r="J105" i="46"/>
  <c r="H105" i="46"/>
  <c r="N104" i="46"/>
  <c r="L104" i="46"/>
  <c r="J104" i="46"/>
  <c r="H104" i="46"/>
  <c r="N103" i="46"/>
  <c r="L103" i="46"/>
  <c r="J103" i="46"/>
  <c r="H103" i="46"/>
  <c r="AB9" i="21"/>
  <c r="U9" i="21"/>
  <c r="S10" i="35"/>
  <c r="AC41" i="34"/>
  <c r="W31" i="34"/>
  <c r="AB40" i="37"/>
  <c r="W46" i="33"/>
  <c r="W35" i="35"/>
  <c r="O8" i="1"/>
  <c r="P8" i="1" s="1"/>
  <c r="D48" i="59"/>
  <c r="T48" i="59"/>
  <c r="D27" i="59"/>
  <c r="C28" i="59"/>
  <c r="C31" i="59"/>
  <c r="D31" i="59" s="1"/>
  <c r="D30" i="59"/>
  <c r="C43" i="59"/>
  <c r="D42" i="59"/>
  <c r="P51" i="59"/>
  <c r="E50" i="59"/>
  <c r="F22" i="6"/>
  <c r="E22" i="6" s="1"/>
  <c r="I4" i="6"/>
  <c r="F9" i="33"/>
  <c r="H9" i="33"/>
  <c r="F9" i="36"/>
  <c r="H9" i="36"/>
  <c r="H24" i="36"/>
  <c r="F26" i="37"/>
  <c r="I21" i="57"/>
  <c r="D1" i="57" s="1"/>
  <c r="E10" i="57" s="1"/>
  <c r="C35" i="59"/>
  <c r="D34" i="59"/>
  <c r="Q50" i="59"/>
  <c r="Q49" i="59"/>
  <c r="F7" i="1"/>
  <c r="F8" i="1"/>
  <c r="F9" i="1"/>
  <c r="F10" i="1"/>
  <c r="B54" i="46"/>
  <c r="C27" i="40"/>
  <c r="S27" i="40"/>
  <c r="S21" i="34"/>
  <c r="S18" i="35"/>
  <c r="C59" i="59"/>
  <c r="U52" i="59"/>
  <c r="Q51" i="59"/>
  <c r="C19" i="46"/>
  <c r="B51" i="59"/>
  <c r="AD12" i="46"/>
  <c r="AD13" i="46" s="1"/>
  <c r="AH12" i="46"/>
  <c r="AH13" i="46" s="1"/>
  <c r="I20" i="46"/>
  <c r="G1" i="44"/>
  <c r="G1" i="15"/>
  <c r="J80" i="46"/>
  <c r="J81" i="46"/>
  <c r="J82" i="46"/>
  <c r="J87" i="46"/>
  <c r="L100" i="46"/>
  <c r="AZ369" i="3"/>
  <c r="AZ353" i="3"/>
  <c r="AZ337" i="3"/>
  <c r="BL371" i="3"/>
  <c r="AZ371" i="3" s="1"/>
  <c r="BA370" i="3"/>
  <c r="AZ370" i="3" s="1"/>
  <c r="BL367" i="3"/>
  <c r="AZ367" i="3" s="1"/>
  <c r="BA366" i="3"/>
  <c r="AZ366" i="3" s="1"/>
  <c r="BL363" i="3"/>
  <c r="AZ363" i="3" s="1"/>
  <c r="BA362" i="3"/>
  <c r="AZ362" i="3" s="1"/>
  <c r="BL359" i="3"/>
  <c r="AZ359" i="3" s="1"/>
  <c r="BA358" i="3"/>
  <c r="AZ358" i="3" s="1"/>
  <c r="BL355" i="3"/>
  <c r="AZ355" i="3" s="1"/>
  <c r="BA354" i="3"/>
  <c r="AZ354" i="3" s="1"/>
  <c r="BL351" i="3"/>
  <c r="AZ351" i="3" s="1"/>
  <c r="BA350" i="3"/>
  <c r="AZ350" i="3" s="1"/>
  <c r="BL347" i="3"/>
  <c r="AZ347" i="3" s="1"/>
  <c r="BA346" i="3"/>
  <c r="AZ346" i="3" s="1"/>
  <c r="BL343" i="3"/>
  <c r="AZ343" i="3" s="1"/>
  <c r="BA342" i="3"/>
  <c r="AZ342" i="3" s="1"/>
  <c r="BL339" i="3"/>
  <c r="AZ339" i="3" s="1"/>
  <c r="BA338" i="3"/>
  <c r="AZ338" i="3" s="1"/>
  <c r="BA372" i="3"/>
  <c r="AZ372" i="3" s="1"/>
  <c r="BL369" i="3"/>
  <c r="BA368" i="3"/>
  <c r="AZ368" i="3" s="1"/>
  <c r="BL365" i="3"/>
  <c r="AZ365" i="3" s="1"/>
  <c r="BA364" i="3"/>
  <c r="AZ364" i="3" s="1"/>
  <c r="BL361" i="3"/>
  <c r="AZ361" i="3" s="1"/>
  <c r="BA360" i="3"/>
  <c r="AZ360" i="3" s="1"/>
  <c r="BL357" i="3"/>
  <c r="AZ357" i="3" s="1"/>
  <c r="BA356" i="3"/>
  <c r="AZ356" i="3" s="1"/>
  <c r="BL353" i="3"/>
  <c r="BA352" i="3"/>
  <c r="AZ352" i="3" s="1"/>
  <c r="BL349" i="3"/>
  <c r="AZ349" i="3" s="1"/>
  <c r="BA348" i="3"/>
  <c r="AZ348" i="3" s="1"/>
  <c r="BL345" i="3"/>
  <c r="AZ345" i="3" s="1"/>
  <c r="BA344" i="3"/>
  <c r="AZ344" i="3" s="1"/>
  <c r="BL341" i="3"/>
  <c r="AZ341" i="3" s="1"/>
  <c r="BA340" i="3"/>
  <c r="AZ340" i="3" s="1"/>
  <c r="BL337" i="3"/>
  <c r="BL146" i="3"/>
  <c r="AZ146" i="3" s="1"/>
  <c r="BA145" i="3"/>
  <c r="AZ145" i="3" s="1"/>
  <c r="BA147" i="3"/>
  <c r="AZ147" i="3" s="1"/>
  <c r="BL144" i="3"/>
  <c r="AZ144" i="3" s="1"/>
  <c r="AZ38" i="3"/>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L58" i="3"/>
  <c r="AZ58" i="3" s="1"/>
  <c r="BA57" i="3"/>
  <c r="AZ57" i="3" s="1"/>
  <c r="BL54" i="3"/>
  <c r="AZ54" i="3" s="1"/>
  <c r="BA53" i="3"/>
  <c r="AZ53" i="3" s="1"/>
  <c r="BL50" i="3"/>
  <c r="AZ50" i="3" s="1"/>
  <c r="BA49" i="3"/>
  <c r="AZ49" i="3" s="1"/>
  <c r="BL46" i="3"/>
  <c r="AZ46" i="3" s="1"/>
  <c r="BA45" i="3"/>
  <c r="AZ45" i="3" s="1"/>
  <c r="BL42" i="3"/>
  <c r="AZ42" i="3" s="1"/>
  <c r="BA41" i="3"/>
  <c r="AZ41" i="3" s="1"/>
  <c r="BL38" i="3"/>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AZ14" i="3" s="1"/>
  <c r="BA13" i="3"/>
  <c r="F107" i="46"/>
  <c r="F100" i="46"/>
  <c r="F108" i="46"/>
  <c r="F109" i="46" s="1"/>
  <c r="C10" i="59"/>
  <c r="D10" i="59" s="1"/>
  <c r="D11" i="59"/>
  <c r="C6" i="59"/>
  <c r="D7" i="59"/>
  <c r="F102" i="46"/>
  <c r="F104" i="46"/>
  <c r="F106" i="46"/>
  <c r="D115" i="46"/>
  <c r="D116" i="46"/>
  <c r="E116" i="46" s="1"/>
  <c r="F116" i="46" s="1"/>
  <c r="G116" i="46" s="1"/>
  <c r="H116" i="46" s="1"/>
  <c r="D117" i="46"/>
  <c r="E117" i="46" s="1"/>
  <c r="F117" i="46" s="1"/>
  <c r="G117" i="46" s="1"/>
  <c r="H117" i="46" s="1"/>
  <c r="D118" i="46"/>
  <c r="E118" i="46" s="1"/>
  <c r="F118" i="46" s="1"/>
  <c r="I115" i="46"/>
  <c r="J115" i="46" s="1"/>
  <c r="K115" i="46" s="1"/>
  <c r="L115" i="46" s="1"/>
  <c r="M115" i="46" s="1"/>
  <c r="I117" i="46"/>
  <c r="J117" i="46" s="1"/>
  <c r="K117" i="46" s="1"/>
  <c r="L117" i="46" s="1"/>
  <c r="M117" i="46" s="1"/>
  <c r="E8" i="46"/>
  <c r="E10" i="46"/>
  <c r="E9" i="46"/>
  <c r="E11" i="46"/>
  <c r="C23" i="59"/>
  <c r="C19" i="59"/>
  <c r="C15" i="59"/>
  <c r="D12" i="59"/>
  <c r="D8" i="59"/>
  <c r="J17" i="46"/>
  <c r="H17" i="46"/>
  <c r="E80" i="46"/>
  <c r="B78" i="46" s="1"/>
  <c r="C24" i="46" s="1"/>
  <c r="S7" i="71"/>
  <c r="M7" i="71" s="1"/>
  <c r="N7" i="71" s="1"/>
  <c r="P7" i="71" s="1"/>
  <c r="Q7" i="71" s="1"/>
  <c r="J19" i="71"/>
  <c r="K19" i="71" s="1"/>
  <c r="K20" i="71"/>
  <c r="S20" i="71" s="1"/>
  <c r="M20" i="71" s="1"/>
  <c r="K36" i="71"/>
  <c r="L36" i="71" s="1"/>
  <c r="J12" i="71"/>
  <c r="J34" i="71"/>
  <c r="S18" i="71"/>
  <c r="M18" i="71" s="1"/>
  <c r="L15" i="71"/>
  <c r="K35" i="71"/>
  <c r="L35" i="71" s="1"/>
  <c r="S5" i="71"/>
  <c r="M5" i="71" s="1"/>
  <c r="N5" i="71" s="1"/>
  <c r="P5" i="71" s="1"/>
  <c r="Q5" i="71" s="1"/>
  <c r="K22" i="71"/>
  <c r="L22" i="71" s="1"/>
  <c r="K31" i="71"/>
  <c r="S31" i="71" s="1"/>
  <c r="M31" i="71" s="1"/>
  <c r="S8" i="71"/>
  <c r="M8" i="71" s="1"/>
  <c r="N8" i="71" s="1"/>
  <c r="P8" i="71" s="1"/>
  <c r="Q8" i="71" s="1"/>
  <c r="L18" i="71"/>
  <c r="L14" i="71"/>
  <c r="N14" i="71" s="1"/>
  <c r="P14" i="71" s="1"/>
  <c r="Q14" i="71" s="1"/>
  <c r="L11" i="71"/>
  <c r="S15" i="71"/>
  <c r="M15" i="71" s="1"/>
  <c r="E4" i="52"/>
  <c r="B14" i="52"/>
  <c r="B11" i="52"/>
  <c r="E7" i="52"/>
  <c r="B5" i="52"/>
  <c r="B22" i="52"/>
  <c r="L9" i="71"/>
  <c r="S9" i="71"/>
  <c r="M9" i="71" s="1"/>
  <c r="J29" i="71"/>
  <c r="K29" i="71" s="1"/>
  <c r="L29" i="71" s="1"/>
  <c r="B6" i="52"/>
  <c r="B23" i="52"/>
  <c r="E9" i="52"/>
  <c r="B4" i="52"/>
  <c r="B10" i="52"/>
  <c r="E11" i="52"/>
  <c r="L28" i="71"/>
  <c r="N28" i="71" s="1"/>
  <c r="P28" i="71" s="1"/>
  <c r="Q28" i="71" s="1"/>
  <c r="S11" i="71"/>
  <c r="M11" i="71" s="1"/>
  <c r="J30" i="71"/>
  <c r="K30" i="71" s="1"/>
  <c r="S3" i="71"/>
  <c r="M3" i="71" s="1"/>
  <c r="L26" i="71"/>
  <c r="N26" i="71" s="1"/>
  <c r="P26" i="71" s="1"/>
  <c r="Q26" i="71" s="1"/>
  <c r="L6" i="71"/>
  <c r="L4" i="71"/>
  <c r="J37" i="71"/>
  <c r="K37" i="71" s="1"/>
  <c r="S37" i="71" s="1"/>
  <c r="M37" i="71" s="1"/>
  <c r="E16" i="52"/>
  <c r="E8" i="52"/>
  <c r="B13" i="52"/>
  <c r="E21" i="52"/>
  <c r="E6" i="52"/>
  <c r="L32" i="71"/>
  <c r="S36" i="71"/>
  <c r="M36" i="71" s="1"/>
  <c r="S23" i="71"/>
  <c r="M23" i="71" s="1"/>
  <c r="N23" i="71" s="1"/>
  <c r="P23" i="71" s="1"/>
  <c r="Q23" i="71" s="1"/>
  <c r="S32" i="71"/>
  <c r="M32" i="71" s="1"/>
  <c r="J38" i="71"/>
  <c r="J25" i="71"/>
  <c r="J16" i="71"/>
  <c r="S6" i="71"/>
  <c r="M6" i="71" s="1"/>
  <c r="K10" i="71"/>
  <c r="L10" i="71" s="1"/>
  <c r="S4" i="71"/>
  <c r="M4" i="71" s="1"/>
  <c r="J33" i="71"/>
  <c r="E5" i="52"/>
  <c r="B16" i="52"/>
  <c r="E10" i="52"/>
  <c r="B8" i="52"/>
  <c r="B9" i="52"/>
  <c r="B7" i="52"/>
  <c r="J21" i="71"/>
  <c r="K27" i="71"/>
  <c r="K13" i="71"/>
  <c r="L13" i="71" s="1"/>
  <c r="J24" i="71"/>
  <c r="J17" i="71"/>
  <c r="E20" i="46"/>
  <c r="J1" i="65"/>
  <c r="C4" i="65"/>
  <c r="B39" i="1" s="1"/>
  <c r="E2" i="65"/>
  <c r="E3" i="65"/>
  <c r="G5" i="3" l="1"/>
  <c r="B3" i="3" s="1"/>
  <c r="F7" i="35"/>
  <c r="J7" i="36"/>
  <c r="AZ172" i="3"/>
  <c r="AZ61" i="3"/>
  <c r="AZ76" i="3"/>
  <c r="AZ125" i="3"/>
  <c r="AZ140" i="3"/>
  <c r="AZ461" i="3"/>
  <c r="AZ525" i="3"/>
  <c r="AZ198" i="3"/>
  <c r="AZ229" i="3"/>
  <c r="AZ260" i="3"/>
  <c r="AZ85" i="3"/>
  <c r="AZ100" i="3"/>
  <c r="AZ183" i="3"/>
  <c r="U12" i="36"/>
  <c r="AB12" i="36"/>
  <c r="W12" i="35"/>
  <c r="AC12" i="35"/>
  <c r="AZ151" i="3"/>
  <c r="AZ195" i="3"/>
  <c r="AZ230" i="3"/>
  <c r="AZ261" i="3"/>
  <c r="AZ116" i="3"/>
  <c r="AZ184" i="3"/>
  <c r="AC36" i="35"/>
  <c r="W36" i="35"/>
  <c r="C40" i="59"/>
  <c r="D39" i="59"/>
  <c r="AA9" i="35"/>
  <c r="S9" i="35"/>
  <c r="E58" i="33"/>
  <c r="M84" i="9"/>
  <c r="N84" i="9" s="1"/>
  <c r="M83" i="9"/>
  <c r="N83" i="9" s="1"/>
  <c r="N89" i="9" s="1"/>
  <c r="O89" i="9" s="1"/>
  <c r="M88" i="9"/>
  <c r="N88" i="9" s="1"/>
  <c r="M86" i="9"/>
  <c r="N86" i="9" s="1"/>
  <c r="M85" i="9"/>
  <c r="N85" i="9" s="1"/>
  <c r="M87" i="9"/>
  <c r="N87" i="9" s="1"/>
  <c r="C16" i="46"/>
  <c r="C5" i="46" s="1"/>
  <c r="H7" i="35"/>
  <c r="AZ106" i="3"/>
  <c r="AZ108" i="3"/>
  <c r="AZ168" i="3"/>
  <c r="AZ213" i="3"/>
  <c r="AZ245" i="3"/>
  <c r="AZ277" i="3"/>
  <c r="AZ160" i="3"/>
  <c r="AZ192" i="3"/>
  <c r="AZ256" i="3"/>
  <c r="AZ288" i="3"/>
  <c r="AZ336" i="3"/>
  <c r="AZ380" i="3"/>
  <c r="AZ315" i="3"/>
  <c r="AZ196" i="3"/>
  <c r="AZ227" i="3"/>
  <c r="AZ262" i="3"/>
  <c r="AZ68" i="3"/>
  <c r="AZ132" i="3"/>
  <c r="W9" i="35"/>
  <c r="AC9" i="35"/>
  <c r="D55" i="59"/>
  <c r="C54" i="59"/>
  <c r="D54" i="59" s="1"/>
  <c r="B20" i="31"/>
  <c r="R22" i="31"/>
  <c r="B21" i="31" s="1"/>
  <c r="AZ67" i="3"/>
  <c r="AZ75" i="3"/>
  <c r="AZ83" i="3"/>
  <c r="AZ99" i="3"/>
  <c r="AZ107" i="3"/>
  <c r="AZ115" i="3"/>
  <c r="AZ131" i="3"/>
  <c r="AZ139" i="3"/>
  <c r="AZ150" i="3"/>
  <c r="AZ72" i="3"/>
  <c r="AZ136" i="3"/>
  <c r="AZ171" i="3"/>
  <c r="AZ204" i="3"/>
  <c r="AZ219" i="3"/>
  <c r="AZ268" i="3"/>
  <c r="AZ109" i="3"/>
  <c r="AZ124" i="3"/>
  <c r="AZ176" i="3"/>
  <c r="AZ201" i="3"/>
  <c r="AZ208" i="3"/>
  <c r="AZ233" i="3"/>
  <c r="AZ240" i="3"/>
  <c r="AZ265" i="3"/>
  <c r="AZ272" i="3"/>
  <c r="AZ375" i="3"/>
  <c r="AZ383" i="3"/>
  <c r="AZ399" i="3"/>
  <c r="AZ308" i="3"/>
  <c r="AZ412" i="3"/>
  <c r="AZ436" i="3"/>
  <c r="AZ476" i="3"/>
  <c r="AZ500" i="3"/>
  <c r="AZ540" i="3"/>
  <c r="AZ548" i="3"/>
  <c r="AZ564" i="3"/>
  <c r="AZ316" i="3"/>
  <c r="AZ197" i="3"/>
  <c r="AZ228" i="3"/>
  <c r="AZ259" i="3"/>
  <c r="AZ322" i="3"/>
  <c r="AZ418" i="3"/>
  <c r="AZ466" i="3"/>
  <c r="AZ482" i="3"/>
  <c r="AZ530" i="3"/>
  <c r="AZ546" i="3"/>
  <c r="AZ562" i="3"/>
  <c r="AZ407" i="3"/>
  <c r="AZ69" i="3"/>
  <c r="AZ84" i="3"/>
  <c r="AZ133" i="3"/>
  <c r="S23" i="36"/>
  <c r="AA23" i="36"/>
  <c r="AB23" i="36"/>
  <c r="U23" i="36"/>
  <c r="D22" i="46"/>
  <c r="C21" i="46" s="1"/>
  <c r="B116" i="46"/>
  <c r="C116" i="46" s="1"/>
  <c r="B115" i="46"/>
  <c r="C115" i="46" s="1"/>
  <c r="I118" i="46"/>
  <c r="J118" i="46" s="1"/>
  <c r="K118" i="46" s="1"/>
  <c r="L118" i="46" s="1"/>
  <c r="M118" i="46" s="1"/>
  <c r="G118" i="46"/>
  <c r="H118" i="46" s="1"/>
  <c r="E103" i="46"/>
  <c r="E105" i="46"/>
  <c r="E107" i="46"/>
  <c r="E102" i="46"/>
  <c r="S3" i="46" s="1"/>
  <c r="E104" i="46"/>
  <c r="E106" i="46"/>
  <c r="AZ13" i="3"/>
  <c r="BA5" i="3"/>
  <c r="E27" i="6" s="1"/>
  <c r="N6" i="71"/>
  <c r="P6" i="71" s="1"/>
  <c r="Q6" i="71" s="1"/>
  <c r="D15" i="59"/>
  <c r="C16" i="59"/>
  <c r="D23" i="59"/>
  <c r="C24" i="59"/>
  <c r="C5" i="59"/>
  <c r="D6" i="59"/>
  <c r="BL5" i="3"/>
  <c r="B50" i="59"/>
  <c r="N51" i="59"/>
  <c r="D59" i="59"/>
  <c r="C58" i="59"/>
  <c r="D58" i="59" s="1"/>
  <c r="AP10" i="1"/>
  <c r="G10" i="1"/>
  <c r="AP8" i="1"/>
  <c r="G8" i="1"/>
  <c r="E413" i="3"/>
  <c r="E86" i="3"/>
  <c r="E475" i="3"/>
  <c r="E135" i="3"/>
  <c r="E421" i="3"/>
  <c r="E114" i="3"/>
  <c r="E147" i="3"/>
  <c r="E348" i="3"/>
  <c r="E132" i="3"/>
  <c r="E152" i="3"/>
  <c r="E333" i="3"/>
  <c r="E437" i="3"/>
  <c r="E91" i="3"/>
  <c r="E117" i="3"/>
  <c r="E282" i="3"/>
  <c r="E359" i="3"/>
  <c r="E457" i="3"/>
  <c r="E375" i="3"/>
  <c r="E391" i="3"/>
  <c r="E534" i="3"/>
  <c r="E492" i="3"/>
  <c r="E472" i="3"/>
  <c r="E83" i="3"/>
  <c r="AA6" i="3"/>
  <c r="E186" i="3"/>
  <c r="E127" i="3"/>
  <c r="E124" i="3"/>
  <c r="AD6" i="3"/>
  <c r="E311" i="3"/>
  <c r="E266" i="3"/>
  <c r="E222" i="3"/>
  <c r="E299" i="3"/>
  <c r="E263" i="3"/>
  <c r="E215" i="3"/>
  <c r="E388" i="3"/>
  <c r="E327" i="3"/>
  <c r="E424" i="3"/>
  <c r="I6" i="3"/>
  <c r="E430" i="3"/>
  <c r="E103" i="3"/>
  <c r="E82" i="3"/>
  <c r="E146" i="3"/>
  <c r="E200" i="3"/>
  <c r="E164" i="3"/>
  <c r="Z6" i="3"/>
  <c r="E62" i="3"/>
  <c r="E454" i="3"/>
  <c r="E262" i="3"/>
  <c r="E552" i="3"/>
  <c r="E101" i="3"/>
  <c r="E57" i="3"/>
  <c r="E274" i="3"/>
  <c r="E463" i="3"/>
  <c r="E32" i="3"/>
  <c r="E292" i="3"/>
  <c r="E399" i="3"/>
  <c r="E141" i="3"/>
  <c r="E500" i="3"/>
  <c r="E34" i="3"/>
  <c r="E444" i="3"/>
  <c r="E407" i="3"/>
  <c r="E383" i="3"/>
  <c r="E550" i="3"/>
  <c r="E247" i="3"/>
  <c r="E136" i="3"/>
  <c r="E568" i="3"/>
  <c r="E85" i="3"/>
  <c r="E539" i="3"/>
  <c r="E332" i="3"/>
  <c r="E245" i="3"/>
  <c r="E139" i="3"/>
  <c r="E52" i="3"/>
  <c r="E445" i="3"/>
  <c r="E451" i="3"/>
  <c r="E556" i="3"/>
  <c r="U6" i="3"/>
  <c r="E258" i="3"/>
  <c r="E207" i="3"/>
  <c r="E479" i="3"/>
  <c r="E449" i="3"/>
  <c r="E43" i="3"/>
  <c r="E126" i="3"/>
  <c r="E248" i="3"/>
  <c r="E211" i="3"/>
  <c r="E336" i="3"/>
  <c r="Y6" i="3"/>
  <c r="E416" i="3"/>
  <c r="E477" i="3"/>
  <c r="E51" i="3"/>
  <c r="E513" i="3"/>
  <c r="E198" i="3"/>
  <c r="E345" i="3"/>
  <c r="E281" i="3"/>
  <c r="E72" i="3"/>
  <c r="E290" i="3"/>
  <c r="E440" i="3"/>
  <c r="AF6" i="3"/>
  <c r="E331" i="3"/>
  <c r="E128" i="3"/>
  <c r="E29" i="3"/>
  <c r="E176" i="3"/>
  <c r="E228" i="3"/>
  <c r="E314" i="3"/>
  <c r="E324" i="3"/>
  <c r="E502" i="3"/>
  <c r="K6" i="3"/>
  <c r="E456" i="3"/>
  <c r="E353" i="3"/>
  <c r="E569" i="3"/>
  <c r="E50" i="3"/>
  <c r="AJ6" i="3"/>
  <c r="E320" i="3"/>
  <c r="E392" i="3"/>
  <c r="E15" i="3"/>
  <c r="E171" i="3"/>
  <c r="E251" i="3"/>
  <c r="E354" i="3"/>
  <c r="E56" i="3"/>
  <c r="E531" i="3"/>
  <c r="E122" i="3"/>
  <c r="E269" i="3"/>
  <c r="E219" i="3"/>
  <c r="E338" i="3"/>
  <c r="E506" i="3"/>
  <c r="E483" i="3"/>
  <c r="E366" i="3"/>
  <c r="E532" i="3"/>
  <c r="E330" i="3"/>
  <c r="E340" i="3"/>
  <c r="E350" i="3"/>
  <c r="E553" i="3"/>
  <c r="E496" i="3"/>
  <c r="E273" i="3"/>
  <c r="E542" i="3"/>
  <c r="E563" i="3"/>
  <c r="E254" i="3"/>
  <c r="E519" i="3"/>
  <c r="E155" i="3"/>
  <c r="E252" i="3"/>
  <c r="E175" i="3"/>
  <c r="E318" i="3"/>
  <c r="E565" i="3"/>
  <c r="E380" i="3"/>
  <c r="E50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E476" i="3"/>
  <c r="M6" i="3"/>
  <c r="E68" i="3"/>
  <c r="E192" i="3"/>
  <c r="E241" i="3"/>
  <c r="E69" i="3"/>
  <c r="E206" i="3"/>
  <c r="E446" i="3"/>
  <c r="E22" i="3"/>
  <c r="E93" i="3"/>
  <c r="E439" i="3"/>
  <c r="E394" i="3"/>
  <c r="E459" i="3"/>
  <c r="E55" i="3"/>
  <c r="E46" i="3"/>
  <c r="E115" i="3"/>
  <c r="E221" i="3"/>
  <c r="E231" i="3"/>
  <c r="E570" i="3"/>
  <c r="E528" i="3"/>
  <c r="E195" i="3"/>
  <c r="E31" i="3"/>
  <c r="E470" i="3"/>
  <c r="E409" i="3"/>
  <c r="E548" i="3"/>
  <c r="E77" i="3"/>
  <c r="E99" i="3"/>
  <c r="E434" i="3"/>
  <c r="E389" i="3"/>
  <c r="E520" i="3"/>
  <c r="E230" i="3"/>
  <c r="AK6" i="3"/>
  <c r="E143" i="3"/>
  <c r="E223" i="3"/>
  <c r="E441" i="3"/>
  <c r="E205" i="3"/>
  <c r="E367" i="3"/>
  <c r="E547" i="3"/>
  <c r="E426" i="3"/>
  <c r="E415" i="3"/>
  <c r="E447" i="3"/>
  <c r="E478" i="3"/>
  <c r="E60" i="3"/>
  <c r="E80" i="3"/>
  <c r="E33" i="3"/>
  <c r="E317" i="3"/>
  <c r="E75" i="3"/>
  <c r="E28" i="3"/>
  <c r="Q6" i="3"/>
  <c r="E357" i="3"/>
  <c r="E178" i="3"/>
  <c r="E119" i="3"/>
  <c r="E179" i="3"/>
  <c r="J6" i="3"/>
  <c r="E168" i="3"/>
  <c r="AS6" i="3"/>
  <c r="E48" i="3"/>
  <c r="E97" i="3"/>
  <c r="E438" i="3"/>
  <c r="AE6" i="3"/>
  <c r="E455" i="3"/>
  <c r="E289" i="3"/>
  <c r="E363" i="3"/>
  <c r="E113" i="3"/>
  <c r="E79" i="3"/>
  <c r="E425" i="3"/>
  <c r="E401" i="3"/>
  <c r="E257" i="3"/>
  <c r="E272" i="3"/>
  <c r="E166" i="3"/>
  <c r="E102" i="3"/>
  <c r="O6" i="3"/>
  <c r="E25" i="3"/>
  <c r="E204" i="3"/>
  <c r="E291" i="3"/>
  <c r="E305" i="3"/>
  <c r="E527" i="3"/>
  <c r="E73" i="3"/>
  <c r="E365" i="3"/>
  <c r="E196" i="3"/>
  <c r="E276" i="3"/>
  <c r="E259" i="3"/>
  <c r="E370" i="3"/>
  <c r="E308" i="3"/>
  <c r="E526" i="3"/>
  <c r="AR6" i="3"/>
  <c r="E466" i="3"/>
  <c r="E65" i="3"/>
  <c r="E96" i="3"/>
  <c r="E540" i="3"/>
  <c r="E160" i="3"/>
  <c r="E134" i="3"/>
  <c r="E242" i="3"/>
  <c r="AI6" i="3"/>
  <c r="E133" i="3"/>
  <c r="E239" i="3"/>
  <c r="E87" i="3"/>
  <c r="E234" i="3"/>
  <c r="E458" i="3"/>
  <c r="E40" i="3"/>
  <c r="E362" i="3"/>
  <c r="E559" i="3"/>
  <c r="E150" i="3"/>
  <c r="E256" i="3"/>
  <c r="E554" i="3"/>
  <c r="E491" i="3"/>
  <c r="E525" i="3"/>
  <c r="E319" i="3"/>
  <c r="E334" i="3"/>
  <c r="E489" i="3"/>
  <c r="E325" i="3"/>
  <c r="E286" i="3"/>
  <c r="E396" i="3"/>
  <c r="E183" i="3"/>
  <c r="E216" i="3"/>
  <c r="E236" i="3"/>
  <c r="E546" i="3"/>
  <c r="E474" i="3"/>
  <c r="E45" i="3"/>
  <c r="E373" i="3"/>
  <c r="E284" i="3"/>
  <c r="E360" i="3"/>
  <c r="E42" i="3"/>
  <c r="T6" i="3"/>
  <c r="E181" i="3"/>
  <c r="E144" i="3"/>
  <c r="E495" i="3"/>
  <c r="E208" i="3"/>
  <c r="E344" i="3"/>
  <c r="E485" i="3"/>
  <c r="E335" i="3"/>
  <c r="E562" i="3"/>
  <c r="E571" i="3"/>
  <c r="E518" i="3"/>
  <c r="E497" i="3"/>
  <c r="E167" i="3"/>
  <c r="E566" i="3"/>
  <c r="E515" i="3"/>
  <c r="E521" i="3"/>
  <c r="E494" i="3"/>
  <c r="E130" i="3"/>
  <c r="E352" i="3"/>
  <c r="E461" i="3"/>
  <c r="E138" i="3"/>
  <c r="E328" i="3"/>
  <c r="E112" i="3"/>
  <c r="E341" i="3"/>
  <c r="E268" i="3"/>
  <c r="E316" i="3"/>
  <c r="E346" i="3"/>
  <c r="E544" i="3"/>
  <c r="E541" i="3"/>
  <c r="E523" i="3"/>
  <c r="E557" i="3"/>
  <c r="E13" i="3"/>
  <c r="D35" i="59"/>
  <c r="C36" i="59"/>
  <c r="AB24" i="36"/>
  <c r="U24" i="36"/>
  <c r="AA9" i="36"/>
  <c r="S9" i="36"/>
  <c r="AA9" i="33"/>
  <c r="S9" i="33"/>
  <c r="K9" i="1"/>
  <c r="K22" i="6"/>
  <c r="C44" i="59"/>
  <c r="D43" i="59"/>
  <c r="F27" i="6"/>
  <c r="F31" i="6" s="1"/>
  <c r="U7" i="35"/>
  <c r="AB7" i="35"/>
  <c r="T38" i="35" s="1"/>
  <c r="G38" i="35" s="1"/>
  <c r="W7" i="37"/>
  <c r="AC7" i="37"/>
  <c r="V42" i="37" s="1"/>
  <c r="I42" i="37" s="1"/>
  <c r="F7" i="34"/>
  <c r="J7" i="34"/>
  <c r="F7" i="37"/>
  <c r="H7" i="37"/>
  <c r="G72" i="39"/>
  <c r="H70" i="39"/>
  <c r="G67" i="40"/>
  <c r="H65" i="40"/>
  <c r="W7" i="36"/>
  <c r="AC7" i="36"/>
  <c r="V36" i="36" s="1"/>
  <c r="I36" i="36" s="1"/>
  <c r="K34" i="9"/>
  <c r="D19" i="59"/>
  <c r="C20" i="59"/>
  <c r="C7" i="46"/>
  <c r="E115" i="46"/>
  <c r="F115" i="46" s="1"/>
  <c r="G115" i="46" s="1"/>
  <c r="H115" i="46" s="1"/>
  <c r="AP9" i="1"/>
  <c r="G9" i="1"/>
  <c r="AP7" i="1"/>
  <c r="G7" i="1"/>
  <c r="AA26" i="37"/>
  <c r="S26" i="37"/>
  <c r="AB9" i="36"/>
  <c r="U9" i="36"/>
  <c r="AB9" i="33"/>
  <c r="U9" i="33"/>
  <c r="P50" i="59"/>
  <c r="P49" i="59"/>
  <c r="D28" i="59"/>
  <c r="T28" i="59"/>
  <c r="W7" i="35"/>
  <c r="AC7" i="35"/>
  <c r="V38" i="35" s="1"/>
  <c r="I38" i="35" s="1"/>
  <c r="AB7" i="34"/>
  <c r="T49" i="34" s="1"/>
  <c r="G49" i="34" s="1"/>
  <c r="U7" i="34"/>
  <c r="S7" i="35"/>
  <c r="AA7" i="35"/>
  <c r="R38" i="35" s="1"/>
  <c r="AA7" i="36"/>
  <c r="R36" i="36" s="1"/>
  <c r="S7" i="36"/>
  <c r="AB7" i="36"/>
  <c r="T36" i="36" s="1"/>
  <c r="G36" i="36" s="1"/>
  <c r="U7" i="36"/>
  <c r="B40" i="1"/>
  <c r="F26" i="12" s="1"/>
  <c r="S35" i="71"/>
  <c r="M35" i="71" s="1"/>
  <c r="N35" i="71" s="1"/>
  <c r="P35" i="71" s="1"/>
  <c r="Q35" i="71" s="1"/>
  <c r="N18" i="71"/>
  <c r="P18" i="71" s="1"/>
  <c r="Q18" i="71" s="1"/>
  <c r="N9" i="71"/>
  <c r="P9" i="71" s="1"/>
  <c r="Q9" i="71" s="1"/>
  <c r="S19" i="71"/>
  <c r="M19" i="71" s="1"/>
  <c r="L19" i="71"/>
  <c r="L20" i="71"/>
  <c r="N20" i="71" s="1"/>
  <c r="P20" i="71" s="1"/>
  <c r="Q20" i="71" s="1"/>
  <c r="N11" i="71"/>
  <c r="P11" i="71" s="1"/>
  <c r="Q11" i="71" s="1"/>
  <c r="K12" i="71"/>
  <c r="S12" i="71" s="1"/>
  <c r="M12" i="71" s="1"/>
  <c r="N4" i="71"/>
  <c r="P4" i="71" s="1"/>
  <c r="Q4" i="71" s="1"/>
  <c r="K17" i="71"/>
  <c r="S17" i="71" s="1"/>
  <c r="M17" i="71" s="1"/>
  <c r="K38" i="71"/>
  <c r="S38" i="71" s="1"/>
  <c r="M38" i="71" s="1"/>
  <c r="L31" i="71"/>
  <c r="N31" i="71" s="1"/>
  <c r="P31" i="71" s="1"/>
  <c r="Q31" i="71" s="1"/>
  <c r="K34" i="71"/>
  <c r="S34" i="71" s="1"/>
  <c r="M34" i="71" s="1"/>
  <c r="K25" i="71"/>
  <c r="S25" i="71" s="1"/>
  <c r="M25" i="71" s="1"/>
  <c r="S29" i="71"/>
  <c r="M29" i="71" s="1"/>
  <c r="N29" i="71" s="1"/>
  <c r="P29" i="71" s="1"/>
  <c r="Q29" i="71" s="1"/>
  <c r="N15" i="71"/>
  <c r="P15" i="71" s="1"/>
  <c r="Q15" i="71" s="1"/>
  <c r="N32" i="71"/>
  <c r="P32" i="71" s="1"/>
  <c r="Q32" i="71" s="1"/>
  <c r="S30" i="71"/>
  <c r="M30" i="71" s="1"/>
  <c r="N36" i="71"/>
  <c r="P36" i="71" s="1"/>
  <c r="Q36" i="71" s="1"/>
  <c r="S22" i="71"/>
  <c r="M22" i="71" s="1"/>
  <c r="N22" i="71" s="1"/>
  <c r="P22" i="71" s="1"/>
  <c r="Q22" i="71" s="1"/>
  <c r="L17" i="71"/>
  <c r="S13" i="71"/>
  <c r="M13" i="71" s="1"/>
  <c r="N13" i="71" s="1"/>
  <c r="P13" i="71" s="1"/>
  <c r="Q13" i="71" s="1"/>
  <c r="K21" i="71"/>
  <c r="L21" i="71" s="1"/>
  <c r="L30" i="71"/>
  <c r="N30" i="71" s="1"/>
  <c r="P30" i="71" s="1"/>
  <c r="Q30" i="71" s="1"/>
  <c r="K24" i="71"/>
  <c r="S24" i="71" s="1"/>
  <c r="M24" i="71" s="1"/>
  <c r="L27" i="71"/>
  <c r="K33" i="71"/>
  <c r="L33" i="71" s="1"/>
  <c r="K16" i="71"/>
  <c r="L16" i="71" s="1"/>
  <c r="L37" i="71"/>
  <c r="N37" i="71" s="1"/>
  <c r="P37" i="71" s="1"/>
  <c r="Q37" i="71" s="1"/>
  <c r="L3" i="71"/>
  <c r="N3" i="71" s="1"/>
  <c r="P3" i="71" s="1"/>
  <c r="Q3" i="71" s="1"/>
  <c r="S10" i="71"/>
  <c r="M10" i="71" s="1"/>
  <c r="N10" i="71" s="1"/>
  <c r="P10" i="71" s="1"/>
  <c r="Q10" i="71" s="1"/>
  <c r="S27" i="71"/>
  <c r="M27" i="71" s="1"/>
  <c r="F17" i="11"/>
  <c r="M11" i="15"/>
  <c r="J10" i="15" s="1"/>
  <c r="M13" i="44"/>
  <c r="J12" i="44" s="1"/>
  <c r="F11" i="15"/>
  <c r="F13" i="44"/>
  <c r="C12" i="44" s="1"/>
  <c r="O17" i="46"/>
  <c r="P17" i="46"/>
  <c r="G20" i="46" s="1"/>
  <c r="C20" i="46" s="1"/>
  <c r="N17" i="46"/>
  <c r="M17" i="46"/>
  <c r="F11" i="44"/>
  <c r="F43" i="44"/>
  <c r="F8" i="15"/>
  <c r="F39" i="44"/>
  <c r="F37" i="44"/>
  <c r="M28" i="15"/>
  <c r="M29" i="44"/>
  <c r="F28" i="44"/>
  <c r="F16" i="15"/>
  <c r="M31" i="44"/>
  <c r="M8" i="15"/>
  <c r="F41" i="15"/>
  <c r="J17" i="44"/>
  <c r="F40" i="44"/>
  <c r="C19" i="44"/>
  <c r="F37" i="15"/>
  <c r="M6" i="15"/>
  <c r="M26" i="44"/>
  <c r="F15" i="44"/>
  <c r="F46" i="44"/>
  <c r="M30" i="44"/>
  <c r="M10" i="44"/>
  <c r="M28" i="44"/>
  <c r="F9" i="44"/>
  <c r="L47" i="15"/>
  <c r="M8" i="44"/>
  <c r="F8" i="44"/>
  <c r="F40" i="15"/>
  <c r="M23" i="15"/>
  <c r="M21" i="15"/>
  <c r="L48" i="44"/>
  <c r="J15" i="15"/>
  <c r="F10" i="44"/>
  <c r="F6" i="15"/>
  <c r="F36" i="15"/>
  <c r="M26" i="15"/>
  <c r="M11" i="44"/>
  <c r="M9" i="15"/>
  <c r="F45" i="44"/>
  <c r="M27" i="15"/>
  <c r="F18" i="44"/>
  <c r="M24" i="15"/>
  <c r="F38" i="44"/>
  <c r="L48" i="15"/>
  <c r="M29" i="15"/>
  <c r="M23" i="44"/>
  <c r="F43" i="15"/>
  <c r="F26" i="15"/>
  <c r="M22" i="15"/>
  <c r="F42" i="15"/>
  <c r="F13" i="15"/>
  <c r="F7" i="15"/>
  <c r="L49" i="44"/>
  <c r="F38" i="15"/>
  <c r="F35" i="15"/>
  <c r="M25" i="44"/>
  <c r="F9" i="15"/>
  <c r="J36" i="15"/>
  <c r="M24" i="44"/>
  <c r="F24" i="15" l="1"/>
  <c r="C24" i="15" s="1"/>
  <c r="AZ5" i="3"/>
  <c r="F58" i="33"/>
  <c r="D40" i="59"/>
  <c r="T40" i="59"/>
  <c r="S4" i="46"/>
  <c r="S7" i="46"/>
  <c r="S2" i="46"/>
  <c r="F21" i="43"/>
  <c r="C23" i="43" s="1"/>
  <c r="D21" i="43" s="1"/>
  <c r="S5" i="46"/>
  <c r="S6" i="46"/>
  <c r="AP16" i="1"/>
  <c r="F22" i="11" s="1"/>
  <c r="F26" i="44"/>
  <c r="C26" i="44" s="1"/>
  <c r="G16" i="1"/>
  <c r="J12" i="40" s="1"/>
  <c r="F64" i="15"/>
  <c r="L59" i="15"/>
  <c r="L58" i="15"/>
  <c r="F63" i="15"/>
  <c r="F62" i="15"/>
  <c r="C61" i="15" s="1"/>
  <c r="C34" i="15"/>
  <c r="J53" i="15"/>
  <c r="L56" i="15"/>
  <c r="J57" i="15"/>
  <c r="J55" i="15" s="1"/>
  <c r="J58" i="15" s="1"/>
  <c r="Q51" i="15" s="1"/>
  <c r="I54" i="15"/>
  <c r="F65" i="15"/>
  <c r="C6" i="15"/>
  <c r="F49" i="15"/>
  <c r="M7" i="15"/>
  <c r="J6" i="15" s="1"/>
  <c r="J5" i="15" s="1"/>
  <c r="J24" i="15" s="1"/>
  <c r="C36" i="44"/>
  <c r="M9" i="44"/>
  <c r="J8" i="44" s="1"/>
  <c r="J7" i="44" s="1"/>
  <c r="F67" i="15"/>
  <c r="J20" i="15"/>
  <c r="F68" i="15"/>
  <c r="F70" i="15"/>
  <c r="Q72" i="15"/>
  <c r="F50" i="15"/>
  <c r="C27" i="15"/>
  <c r="L60" i="44"/>
  <c r="L59" i="44"/>
  <c r="J61" i="44"/>
  <c r="Q50" i="44" s="1"/>
  <c r="J58" i="44"/>
  <c r="J56" i="44" s="1"/>
  <c r="J59" i="44" s="1"/>
  <c r="Q52" i="44" s="1"/>
  <c r="L57" i="44"/>
  <c r="I55" i="44"/>
  <c r="J54" i="44"/>
  <c r="J60" i="44"/>
  <c r="J22" i="44"/>
  <c r="C29" i="44"/>
  <c r="Q73" i="44"/>
  <c r="C8" i="44"/>
  <c r="C7" i="44" s="1"/>
  <c r="G40" i="36"/>
  <c r="H40" i="36" s="1"/>
  <c r="G41" i="36"/>
  <c r="H41" i="36" s="1"/>
  <c r="R37" i="36"/>
  <c r="E36" i="36"/>
  <c r="G53" i="34"/>
  <c r="H53" i="34" s="1"/>
  <c r="D113" i="46"/>
  <c r="AA7" i="37"/>
  <c r="R42" i="37" s="1"/>
  <c r="S7" i="37"/>
  <c r="S7" i="34"/>
  <c r="AA7" i="34"/>
  <c r="R49" i="34" s="1"/>
  <c r="M22" i="6"/>
  <c r="I22" i="6" s="1"/>
  <c r="S22" i="6" s="1"/>
  <c r="S9" i="1"/>
  <c r="M9" i="1"/>
  <c r="H16" i="1"/>
  <c r="K16" i="1"/>
  <c r="Q16" i="1"/>
  <c r="D5" i="59"/>
  <c r="K26" i="6"/>
  <c r="M26" i="6" s="1"/>
  <c r="I26" i="6" s="1"/>
  <c r="S26" i="6" s="1"/>
  <c r="K24" i="6"/>
  <c r="M24" i="6" s="1"/>
  <c r="I24" i="6" s="1"/>
  <c r="S24" i="6" s="1"/>
  <c r="E31" i="6"/>
  <c r="K19" i="6"/>
  <c r="K21" i="6"/>
  <c r="K20" i="6"/>
  <c r="K23" i="6"/>
  <c r="K25" i="6"/>
  <c r="M25" i="6" s="1"/>
  <c r="I25" i="6" s="1"/>
  <c r="S25" i="6" s="1"/>
  <c r="R39" i="35"/>
  <c r="E38" i="35"/>
  <c r="I43" i="35" s="1"/>
  <c r="J43" i="35" s="1"/>
  <c r="I42" i="35"/>
  <c r="J42" i="35" s="1"/>
  <c r="H12" i="40"/>
  <c r="F12" i="40"/>
  <c r="H12" i="39"/>
  <c r="D20" i="59"/>
  <c r="T20" i="59"/>
  <c r="I40" i="36"/>
  <c r="J40" i="36" s="1"/>
  <c r="I41" i="36"/>
  <c r="J41" i="36" s="1"/>
  <c r="I65" i="40"/>
  <c r="H67" i="40"/>
  <c r="I70" i="39"/>
  <c r="H72" i="39"/>
  <c r="U7" i="37"/>
  <c r="AB7" i="37"/>
  <c r="T42" i="37" s="1"/>
  <c r="G42" i="37" s="1"/>
  <c r="AC7" i="34"/>
  <c r="V49" i="34" s="1"/>
  <c r="I49" i="34" s="1"/>
  <c r="W7" i="34"/>
  <c r="I46" i="37"/>
  <c r="J46" i="37" s="1"/>
  <c r="G42" i="35"/>
  <c r="H42" i="35" s="1"/>
  <c r="G43" i="35"/>
  <c r="H43" i="35" s="1"/>
  <c r="D44" i="59"/>
  <c r="T44" i="59"/>
  <c r="D36" i="59"/>
  <c r="T36" i="59"/>
  <c r="H6" i="3"/>
  <c r="AC6" i="3"/>
  <c r="N50" i="59"/>
  <c r="N49" i="59"/>
  <c r="D24" i="59"/>
  <c r="T24" i="59"/>
  <c r="D16" i="59"/>
  <c r="T16" i="59"/>
  <c r="AY6" i="3"/>
  <c r="E3" i="6"/>
  <c r="N19" i="71"/>
  <c r="P19" i="71" s="1"/>
  <c r="Q19" i="71" s="1"/>
  <c r="L12" i="71"/>
  <c r="N12" i="71" s="1"/>
  <c r="P12" i="71" s="1"/>
  <c r="Q12" i="71" s="1"/>
  <c r="N17" i="71"/>
  <c r="P17" i="71" s="1"/>
  <c r="Q17" i="71" s="1"/>
  <c r="S16" i="71"/>
  <c r="M16" i="71" s="1"/>
  <c r="N16" i="71" s="1"/>
  <c r="P16" i="71" s="1"/>
  <c r="Q16" i="71" s="1"/>
  <c r="L25" i="71"/>
  <c r="N25" i="71" s="1"/>
  <c r="P25" i="71" s="1"/>
  <c r="Q25" i="71" s="1"/>
  <c r="L34" i="71"/>
  <c r="N34" i="71" s="1"/>
  <c r="P34" i="71" s="1"/>
  <c r="Q34" i="71" s="1"/>
  <c r="N27" i="71"/>
  <c r="P27" i="71" s="1"/>
  <c r="Q27" i="71" s="1"/>
  <c r="L38" i="71"/>
  <c r="N38" i="71" s="1"/>
  <c r="P38" i="71" s="1"/>
  <c r="Q38" i="71" s="1"/>
  <c r="L24" i="71"/>
  <c r="N24" i="71" s="1"/>
  <c r="P24" i="71" s="1"/>
  <c r="Q24" i="71" s="1"/>
  <c r="S33" i="71"/>
  <c r="M33" i="71" s="1"/>
  <c r="N33" i="71" s="1"/>
  <c r="P33" i="71" s="1"/>
  <c r="Q33" i="71" s="1"/>
  <c r="S21" i="71"/>
  <c r="M21" i="71" s="1"/>
  <c r="N21" i="71" s="1"/>
  <c r="P21" i="71" s="1"/>
  <c r="Q21" i="71" s="1"/>
  <c r="C27" i="12"/>
  <c r="D26" i="12" s="1"/>
  <c r="C32" i="12" s="1"/>
  <c r="D30" i="12" s="1"/>
  <c r="C37" i="46"/>
  <c r="C36" i="46"/>
  <c r="C33" i="46"/>
  <c r="T2" i="46"/>
  <c r="V2" i="46" s="1"/>
  <c r="T6" i="46"/>
  <c r="V6" i="46" s="1"/>
  <c r="T10" i="46"/>
  <c r="V10" i="46" s="1"/>
  <c r="T14" i="46"/>
  <c r="V14" i="46" s="1"/>
  <c r="T5" i="46"/>
  <c r="V5" i="46" s="1"/>
  <c r="T11" i="46"/>
  <c r="V11" i="46" s="1"/>
  <c r="T15" i="46"/>
  <c r="V15" i="46" s="1"/>
  <c r="C38" i="46"/>
  <c r="C39" i="46"/>
  <c r="C34" i="46"/>
  <c r="T7" i="46"/>
  <c r="V7" i="46" s="1"/>
  <c r="T8" i="46"/>
  <c r="V8" i="46" s="1"/>
  <c r="T12" i="46"/>
  <c r="V12" i="46" s="1"/>
  <c r="T16" i="46"/>
  <c r="V16" i="46" s="1"/>
  <c r="T9" i="46"/>
  <c r="V9" i="46" s="1"/>
  <c r="T13" i="46"/>
  <c r="V13" i="46" s="1"/>
  <c r="C35" i="46"/>
  <c r="C29" i="46"/>
  <c r="T3" i="46"/>
  <c r="V3" i="46" s="1"/>
  <c r="T4" i="46"/>
  <c r="V4" i="46" s="1"/>
  <c r="C52" i="15"/>
  <c r="C10" i="15"/>
  <c r="C18" i="44"/>
  <c r="C17" i="15"/>
  <c r="C16" i="15"/>
  <c r="L47" i="44" l="1"/>
  <c r="G58" i="33"/>
  <c r="M20" i="46"/>
  <c r="J12" i="39"/>
  <c r="F12" i="39"/>
  <c r="J26" i="44"/>
  <c r="J20" i="44"/>
  <c r="C5" i="15"/>
  <c r="C32" i="15" s="1"/>
  <c r="E6" i="3"/>
  <c r="J18" i="15"/>
  <c r="J28" i="44"/>
  <c r="J31" i="44" s="1"/>
  <c r="Q49" i="44" s="1"/>
  <c r="Q55" i="44" s="1"/>
  <c r="J26" i="15"/>
  <c r="J29" i="15" s="1"/>
  <c r="C34" i="44"/>
  <c r="C40" i="44"/>
  <c r="D3" i="6"/>
  <c r="AY504" i="3"/>
  <c r="AY537" i="3"/>
  <c r="AY100" i="3"/>
  <c r="AY83" i="3"/>
  <c r="AY73" i="3"/>
  <c r="AY42" i="3"/>
  <c r="AY182"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53" i="3"/>
  <c r="AY21" i="3"/>
  <c r="AY154" i="3"/>
  <c r="AY52" i="3"/>
  <c r="AY47" i="3"/>
  <c r="AY74" i="3"/>
  <c r="AY191" i="3"/>
  <c r="AY160"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G46" i="37"/>
  <c r="H46" i="37" s="1"/>
  <c r="G47" i="37"/>
  <c r="H47" i="37" s="1"/>
  <c r="L38" i="9"/>
  <c r="B14" i="66" s="1"/>
  <c r="B1" i="66" s="1"/>
  <c r="D16" i="12"/>
  <c r="E6" i="6"/>
  <c r="D44" i="9"/>
  <c r="D16" i="43"/>
  <c r="C16" i="43" s="1"/>
  <c r="D45" i="9"/>
  <c r="C21" i="4"/>
  <c r="D10" i="11"/>
  <c r="D46" i="9"/>
  <c r="I53" i="34"/>
  <c r="J53" i="34" s="1"/>
  <c r="J70" i="39"/>
  <c r="I72" i="39"/>
  <c r="J65" i="40"/>
  <c r="I67" i="40"/>
  <c r="W12" i="39"/>
  <c r="AC12" i="39"/>
  <c r="AA12" i="39"/>
  <c r="S12" i="39"/>
  <c r="AC12" i="40"/>
  <c r="W12" i="40"/>
  <c r="C38" i="35"/>
  <c r="C39" i="35"/>
  <c r="B3" i="35" s="1"/>
  <c r="B2" i="35" s="1"/>
  <c r="M23" i="6"/>
  <c r="I23" i="6" s="1"/>
  <c r="S23" i="6" s="1"/>
  <c r="S10" i="1"/>
  <c r="S8" i="1"/>
  <c r="M21" i="6"/>
  <c r="I21" i="6" s="1"/>
  <c r="S21" i="6" s="1"/>
  <c r="O9" i="1"/>
  <c r="O16" i="1" s="1"/>
  <c r="M16" i="1"/>
  <c r="R43" i="37"/>
  <c r="E42" i="37"/>
  <c r="G54" i="34"/>
  <c r="H54" i="34" s="1"/>
  <c r="C36" i="36"/>
  <c r="C37" i="36"/>
  <c r="B3" i="36" s="1"/>
  <c r="B2" i="36" s="1"/>
  <c r="Q75" i="44"/>
  <c r="Q62" i="44"/>
  <c r="C48" i="15"/>
  <c r="C47" i="15" s="1"/>
  <c r="Q75" i="15"/>
  <c r="Q62" i="15"/>
  <c r="U12" i="39"/>
  <c r="AB12" i="39"/>
  <c r="AA12" i="40"/>
  <c r="S12" i="40"/>
  <c r="AB12" i="40"/>
  <c r="U12" i="40"/>
  <c r="E42" i="35"/>
  <c r="F42" i="35" s="1"/>
  <c r="E43" i="35"/>
  <c r="F43" i="35" s="1"/>
  <c r="S7" i="1"/>
  <c r="M20" i="6"/>
  <c r="I20" i="6" s="1"/>
  <c r="S20" i="6" s="1"/>
  <c r="M19" i="6"/>
  <c r="K27" i="6"/>
  <c r="S6" i="1"/>
  <c r="F18" i="11"/>
  <c r="F33" i="12"/>
  <c r="C34" i="12" s="1"/>
  <c r="D33" i="12" s="1"/>
  <c r="F24" i="43"/>
  <c r="C26" i="43" s="1"/>
  <c r="D24" i="43" s="1"/>
  <c r="R50" i="34"/>
  <c r="E49" i="34"/>
  <c r="E40" i="36"/>
  <c r="F40" i="36" s="1"/>
  <c r="E41" i="36"/>
  <c r="F41" i="36" s="1"/>
  <c r="F1" i="44"/>
  <c r="Q54" i="44"/>
  <c r="Q63" i="44"/>
  <c r="Q76" i="44"/>
  <c r="F1" i="15"/>
  <c r="Q53" i="15"/>
  <c r="Q74" i="15"/>
  <c r="Q61" i="15"/>
  <c r="Q39" i="71"/>
  <c r="G38" i="46"/>
  <c r="I38" i="46" s="1"/>
  <c r="E38" i="46"/>
  <c r="E33" i="46"/>
  <c r="G33" i="46"/>
  <c r="I33" i="46" s="1"/>
  <c r="E36" i="46"/>
  <c r="G36" i="46"/>
  <c r="I36" i="46" s="1"/>
  <c r="Q67" i="44"/>
  <c r="C30" i="46"/>
  <c r="E30" i="46" s="1"/>
  <c r="E34" i="46"/>
  <c r="G34" i="46"/>
  <c r="I34" i="46" s="1"/>
  <c r="G37" i="46"/>
  <c r="I37" i="46" s="1"/>
  <c r="E37" i="46"/>
  <c r="G35" i="46"/>
  <c r="I35" i="46" s="1"/>
  <c r="E35" i="46"/>
  <c r="G39" i="46"/>
  <c r="I39" i="46" s="1"/>
  <c r="E39" i="46"/>
  <c r="L52" i="44"/>
  <c r="F7" i="33" l="1"/>
  <c r="D29" i="46"/>
  <c r="C15" i="11"/>
  <c r="C10" i="11" s="1"/>
  <c r="C17" i="11" s="1"/>
  <c r="H7" i="33"/>
  <c r="H58" i="33"/>
  <c r="I58" i="33" s="1"/>
  <c r="J58" i="33" s="1"/>
  <c r="K58" i="33" s="1"/>
  <c r="L58" i="33" s="1"/>
  <c r="M58" i="33" s="1"/>
  <c r="N58" i="33" s="1"/>
  <c r="O58" i="33" s="1"/>
  <c r="J7" i="33"/>
  <c r="C38" i="15"/>
  <c r="Q58" i="44"/>
  <c r="L58" i="44"/>
  <c r="L61" i="44" s="1"/>
  <c r="Q68" i="44" s="1"/>
  <c r="Q77" i="44" s="1"/>
  <c r="Q69" i="44"/>
  <c r="C65" i="15"/>
  <c r="C59" i="15"/>
  <c r="E54" i="34"/>
  <c r="F54" i="34" s="1"/>
  <c r="E53" i="34"/>
  <c r="F53" i="34" s="1"/>
  <c r="S16" i="1"/>
  <c r="T6" i="1" s="1"/>
  <c r="I19" i="6"/>
  <c r="H19" i="6" s="1"/>
  <c r="M27" i="6"/>
  <c r="C50" i="34"/>
  <c r="B3" i="34" s="1"/>
  <c r="B2" i="34" s="1"/>
  <c r="C49" i="34"/>
  <c r="C42" i="37"/>
  <c r="C43" i="37"/>
  <c r="B3" i="37" s="1"/>
  <c r="B2" i="37" s="1"/>
  <c r="P9" i="1"/>
  <c r="P16" i="1" s="1"/>
  <c r="C13" i="12" s="1"/>
  <c r="K65" i="40"/>
  <c r="J67" i="40"/>
  <c r="K70" i="39"/>
  <c r="J72" i="39"/>
  <c r="I54" i="34"/>
  <c r="J54" i="34" s="1"/>
  <c r="D13" i="11"/>
  <c r="C13" i="11" s="1"/>
  <c r="D22" i="12"/>
  <c r="C22" i="12" s="1"/>
  <c r="C20" i="12" s="1"/>
  <c r="C8" i="66"/>
  <c r="C6" i="66"/>
  <c r="C7" i="66"/>
  <c r="T7" i="1"/>
  <c r="E46" i="37"/>
  <c r="F46" i="37" s="1"/>
  <c r="E47" i="37"/>
  <c r="F47" i="37" s="1"/>
  <c r="I47" i="37"/>
  <c r="J47" i="37" s="1"/>
  <c r="L16" i="1"/>
  <c r="N16" i="1"/>
  <c r="C29" i="43" s="1"/>
  <c r="C13" i="43"/>
  <c r="D3" i="70"/>
  <c r="D5" i="70" s="1"/>
  <c r="D5" i="72"/>
  <c r="D6" i="72" s="1"/>
  <c r="G9" i="72" s="1"/>
  <c r="O5" i="54"/>
  <c r="B45" i="63" s="1"/>
  <c r="C16" i="12"/>
  <c r="D19" i="12"/>
  <c r="C19" i="12" s="1"/>
  <c r="K38" i="9"/>
  <c r="C14" i="66" s="1"/>
  <c r="B2" i="66" s="1"/>
  <c r="H23" i="6"/>
  <c r="D23" i="6"/>
  <c r="E63" i="40"/>
  <c r="C22" i="4"/>
  <c r="D24" i="6"/>
  <c r="D26" i="6"/>
  <c r="D22" i="6"/>
  <c r="D11" i="6"/>
  <c r="D12" i="6"/>
  <c r="H20" i="6"/>
  <c r="H25" i="6"/>
  <c r="D9" i="6"/>
  <c r="D14" i="6"/>
  <c r="D28" i="6"/>
  <c r="D20" i="6"/>
  <c r="D8" i="6"/>
  <c r="F44" i="9"/>
  <c r="D21" i="6"/>
  <c r="D10" i="6"/>
  <c r="H21" i="6"/>
  <c r="D6" i="6"/>
  <c r="D29" i="6"/>
  <c r="H26" i="6"/>
  <c r="E44" i="9"/>
  <c r="E68" i="39"/>
  <c r="D19" i="6"/>
  <c r="D25" i="6"/>
  <c r="D13" i="6"/>
  <c r="H24" i="6"/>
  <c r="D5" i="6"/>
  <c r="H22" i="6"/>
  <c r="D15" i="6"/>
  <c r="F46" i="9"/>
  <c r="F45" i="9"/>
  <c r="E46" i="9"/>
  <c r="E45" i="9"/>
  <c r="C27" i="46"/>
  <c r="Q59" i="44" l="1"/>
  <c r="Q64" i="44" s="1"/>
  <c r="U7" i="33"/>
  <c r="AB7" i="33"/>
  <c r="T48" i="33" s="1"/>
  <c r="G48" i="33" s="1"/>
  <c r="AC7" i="33"/>
  <c r="V48" i="33" s="1"/>
  <c r="I48" i="33" s="1"/>
  <c r="W7" i="33"/>
  <c r="D1" i="46"/>
  <c r="E29" i="46"/>
  <c r="C26" i="46" s="1"/>
  <c r="B2" i="46" s="1"/>
  <c r="C18" i="11"/>
  <c r="C19" i="11" s="1"/>
  <c r="C20" i="11" s="1"/>
  <c r="C21" i="11" s="1"/>
  <c r="C22" i="11" s="1"/>
  <c r="C23" i="11" s="1"/>
  <c r="B2" i="11" s="1"/>
  <c r="S7" i="33"/>
  <c r="AA7" i="33"/>
  <c r="R48" i="33" s="1"/>
  <c r="R25" i="6"/>
  <c r="D30" i="6"/>
  <c r="R23" i="6"/>
  <c r="R10" i="1" s="1"/>
  <c r="T10" i="1"/>
  <c r="T8" i="1"/>
  <c r="R21" i="6"/>
  <c r="R8" i="1" s="1"/>
  <c r="R20" i="6"/>
  <c r="R7" i="1" s="1"/>
  <c r="R22" i="6"/>
  <c r="R9" i="1" s="1"/>
  <c r="R24" i="6"/>
  <c r="C14" i="43"/>
  <c r="C17" i="43"/>
  <c r="L70" i="39"/>
  <c r="K72" i="39"/>
  <c r="L65" i="40"/>
  <c r="K67" i="40"/>
  <c r="C17" i="12"/>
  <c r="C14" i="12"/>
  <c r="I27" i="6"/>
  <c r="S19" i="6"/>
  <c r="S27" i="6" s="1"/>
  <c r="T11" i="1"/>
  <c r="T13" i="1"/>
  <c r="T12" i="1"/>
  <c r="T9" i="1"/>
  <c r="R19" i="6"/>
  <c r="D27" i="6"/>
  <c r="D31" i="6" s="1"/>
  <c r="H27" i="6"/>
  <c r="D16" i="6"/>
  <c r="R26" i="6"/>
  <c r="F1" i="46"/>
  <c r="A6" i="64"/>
  <c r="A6" i="51"/>
  <c r="B7" i="63" s="1"/>
  <c r="A20" i="51"/>
  <c r="B15" i="63" s="1"/>
  <c r="A20" i="64"/>
  <c r="N5" i="54"/>
  <c r="B43" i="63" s="1"/>
  <c r="D6" i="66"/>
  <c r="D8" i="66"/>
  <c r="D7" i="66"/>
  <c r="C14" i="15"/>
  <c r="B7" i="67"/>
  <c r="D19" i="9"/>
  <c r="C16" i="44"/>
  <c r="E7" i="67"/>
  <c r="F7" i="67"/>
  <c r="C19" i="9"/>
  <c r="L44" i="9" l="1"/>
  <c r="E3" i="67"/>
  <c r="B3" i="11"/>
  <c r="B4" i="11"/>
  <c r="B5" i="11"/>
  <c r="I52" i="33"/>
  <c r="J52" i="33" s="1"/>
  <c r="G52" i="33"/>
  <c r="H52" i="33" s="1"/>
  <c r="G53" i="33"/>
  <c r="H53" i="33" s="1"/>
  <c r="R49" i="33"/>
  <c r="E48" i="33"/>
  <c r="T16" i="1"/>
  <c r="E4" i="67"/>
  <c r="C20" i="44"/>
  <c r="C17" i="44"/>
  <c r="C18" i="15"/>
  <c r="C15" i="15"/>
  <c r="I6" i="6"/>
  <c r="I5" i="6"/>
  <c r="C18" i="12"/>
  <c r="C18" i="43"/>
  <c r="R6" i="1"/>
  <c r="R16" i="1" s="1"/>
  <c r="R27" i="6"/>
  <c r="L67" i="40"/>
  <c r="M65" i="40"/>
  <c r="M70" i="39"/>
  <c r="L72" i="39"/>
  <c r="L43" i="9"/>
  <c r="G19" i="9"/>
  <c r="C3" i="76" s="1"/>
  <c r="C9" i="76" s="1"/>
  <c r="D22" i="9"/>
  <c r="B2" i="67"/>
  <c r="D4" i="46"/>
  <c r="B4" i="46"/>
  <c r="B3" i="46"/>
  <c r="C21" i="9"/>
  <c r="D20" i="9"/>
  <c r="C20" i="9"/>
  <c r="D21" i="9"/>
  <c r="E53" i="33" l="1"/>
  <c r="F53" i="33" s="1"/>
  <c r="E52" i="33"/>
  <c r="F52" i="33" s="1"/>
  <c r="I53" i="33"/>
  <c r="J53" i="33" s="1"/>
  <c r="C49" i="33"/>
  <c r="B3" i="33" s="1"/>
  <c r="B2" i="33" s="1"/>
  <c r="C48" i="33"/>
  <c r="C19" i="15"/>
  <c r="C20" i="15" s="1"/>
  <c r="C26" i="15" s="1"/>
  <c r="C21" i="44"/>
  <c r="C22" i="44" s="1"/>
  <c r="C25" i="44" s="1"/>
  <c r="M72" i="39"/>
  <c r="N70" i="39"/>
  <c r="N72" i="39" s="1"/>
  <c r="H9" i="40"/>
  <c r="C23" i="12"/>
  <c r="C35" i="12" s="1"/>
  <c r="C33" i="12" s="1"/>
  <c r="N65" i="40"/>
  <c r="N67" i="40" s="1"/>
  <c r="F9" i="40" s="1"/>
  <c r="M67" i="40"/>
  <c r="J9" i="40" s="1"/>
  <c r="C19" i="43"/>
  <c r="C25" i="43" s="1"/>
  <c r="C24" i="43" s="1"/>
  <c r="G20" i="9"/>
  <c r="G21" i="9"/>
  <c r="B4" i="67"/>
  <c r="B3" i="67"/>
  <c r="C32" i="9"/>
  <c r="G22" i="9"/>
  <c r="N43" i="9"/>
  <c r="W9" i="40" l="1"/>
  <c r="AC9" i="40"/>
  <c r="V44" i="40" s="1"/>
  <c r="I44" i="40" s="1"/>
  <c r="AA9" i="40"/>
  <c r="R44" i="40" s="1"/>
  <c r="S9" i="40"/>
  <c r="C22" i="43"/>
  <c r="C21" i="43" s="1"/>
  <c r="C28" i="43" s="1"/>
  <c r="C30" i="43" s="1"/>
  <c r="C32" i="43" s="1"/>
  <c r="B2" i="43" s="1"/>
  <c r="C28" i="12"/>
  <c r="C26" i="12" s="1"/>
  <c r="C31" i="12" s="1"/>
  <c r="C30" i="12" s="1"/>
  <c r="C36" i="12" s="1"/>
  <c r="B2" i="12" s="1"/>
  <c r="J9" i="39"/>
  <c r="H9" i="39"/>
  <c r="F9" i="39"/>
  <c r="C23" i="15"/>
  <c r="C29" i="15" s="1"/>
  <c r="C28" i="44"/>
  <c r="C31" i="44" s="1"/>
  <c r="U9" i="40"/>
  <c r="AB9" i="40"/>
  <c r="T44" i="40" s="1"/>
  <c r="G44" i="40" s="1"/>
  <c r="C35" i="9"/>
  <c r="F42" i="9" s="1"/>
  <c r="C34" i="9"/>
  <c r="O38" i="9"/>
  <c r="O43" i="9"/>
  <c r="C42" i="9"/>
  <c r="C33" i="9"/>
  <c r="AA9" i="39" l="1"/>
  <c r="R49" i="39" s="1"/>
  <c r="S9" i="39"/>
  <c r="C56" i="15"/>
  <c r="Q50" i="15"/>
  <c r="J14" i="15"/>
  <c r="J59" i="15"/>
  <c r="J60" i="15" s="1"/>
  <c r="C36" i="15"/>
  <c r="J19" i="15"/>
  <c r="J17" i="15" s="1"/>
  <c r="C33" i="15"/>
  <c r="C31" i="15" s="1"/>
  <c r="C13" i="15"/>
  <c r="AB9" i="39"/>
  <c r="T49" i="39" s="1"/>
  <c r="G49" i="39" s="1"/>
  <c r="U9" i="39"/>
  <c r="B5" i="12"/>
  <c r="B4" i="12"/>
  <c r="B3" i="12"/>
  <c r="I48" i="40"/>
  <c r="J48" i="40" s="1"/>
  <c r="G49" i="40"/>
  <c r="H49" i="40" s="1"/>
  <c r="G48" i="40"/>
  <c r="H48" i="40" s="1"/>
  <c r="C15" i="44"/>
  <c r="C38" i="44"/>
  <c r="J21" i="44"/>
  <c r="J19" i="44" s="1"/>
  <c r="C35" i="44"/>
  <c r="C33" i="44" s="1"/>
  <c r="J16" i="44"/>
  <c r="Q51" i="44"/>
  <c r="W9" i="39"/>
  <c r="AC9" i="39"/>
  <c r="V49" i="39" s="1"/>
  <c r="I49" i="39" s="1"/>
  <c r="B3" i="43"/>
  <c r="B4" i="43"/>
  <c r="B5" i="43"/>
  <c r="R45" i="40"/>
  <c r="E44" i="40"/>
  <c r="I49" i="40" s="1"/>
  <c r="J49" i="40" s="1"/>
  <c r="N68" i="9"/>
  <c r="R5" i="54"/>
  <c r="B48" i="63" s="1"/>
  <c r="D14" i="66"/>
  <c r="D63" i="9"/>
  <c r="K25" i="9"/>
  <c r="K26" i="9"/>
  <c r="D42" i="9"/>
  <c r="Q5" i="54" s="1"/>
  <c r="B47" i="63" s="1"/>
  <c r="N38" i="9"/>
  <c r="K28" i="9" s="1"/>
  <c r="M38" i="9"/>
  <c r="K27" i="9" s="1"/>
  <c r="E42" i="9"/>
  <c r="P5" i="54" s="1"/>
  <c r="B46" i="63" s="1"/>
  <c r="G53" i="39" l="1"/>
  <c r="H53" i="39" s="1"/>
  <c r="G54" i="39"/>
  <c r="H54" i="39" s="1"/>
  <c r="E48" i="40"/>
  <c r="F48" i="40" s="1"/>
  <c r="E49" i="40"/>
  <c r="F49" i="40" s="1"/>
  <c r="J15" i="44"/>
  <c r="J25" i="44" s="1"/>
  <c r="J24" i="44"/>
  <c r="C43" i="44"/>
  <c r="Q72" i="44"/>
  <c r="C39" i="44"/>
  <c r="C32" i="44" s="1"/>
  <c r="C42" i="44" s="1"/>
  <c r="Q71" i="15"/>
  <c r="J35" i="15"/>
  <c r="C37" i="15"/>
  <c r="C30" i="15" s="1"/>
  <c r="C39" i="15" s="1"/>
  <c r="C55" i="15"/>
  <c r="C64" i="15" s="1"/>
  <c r="L46" i="15"/>
  <c r="Q49" i="15"/>
  <c r="C44" i="40"/>
  <c r="C45" i="40"/>
  <c r="I53" i="39"/>
  <c r="J53" i="39" s="1"/>
  <c r="J22" i="15"/>
  <c r="J13" i="15"/>
  <c r="J23" i="15" s="1"/>
  <c r="C60" i="15"/>
  <c r="C58" i="15" s="1"/>
  <c r="C63" i="15"/>
  <c r="R50" i="39"/>
  <c r="E49" i="39"/>
  <c r="D70" i="9"/>
  <c r="C82" i="9"/>
  <c r="C81" i="9" s="1"/>
  <c r="C85" i="9" s="1"/>
  <c r="C86" i="9" s="1"/>
  <c r="D72" i="9" s="1"/>
  <c r="C96" i="9"/>
  <c r="C91" i="9" s="1"/>
  <c r="C103" i="9"/>
  <c r="C90" i="9"/>
  <c r="C111" i="9"/>
  <c r="C104" i="9" s="1"/>
  <c r="D71" i="9"/>
  <c r="D66" i="9" s="1"/>
  <c r="N72" i="9" s="1"/>
  <c r="D77" i="9"/>
  <c r="N75" i="9" s="1"/>
  <c r="E14" i="66"/>
  <c r="F14" i="66"/>
  <c r="B5" i="66"/>
  <c r="C57" i="15" l="1"/>
  <c r="C66" i="15" s="1"/>
  <c r="C67" i="15" s="1"/>
  <c r="C70" i="15" s="1"/>
  <c r="J16" i="15"/>
  <c r="J25" i="15" s="1"/>
  <c r="J18" i="44"/>
  <c r="J27" i="44" s="1"/>
  <c r="C49" i="39"/>
  <c r="C50" i="39"/>
  <c r="Q70" i="15"/>
  <c r="Q69" i="15" s="1"/>
  <c r="C40" i="15"/>
  <c r="E54" i="39"/>
  <c r="F54" i="39" s="1"/>
  <c r="E53" i="39"/>
  <c r="F53" i="39" s="1"/>
  <c r="I54" i="39"/>
  <c r="J54" i="39" s="1"/>
  <c r="B55" i="40"/>
  <c r="F55" i="40" s="1"/>
  <c r="B57" i="40"/>
  <c r="F57" i="40" s="1"/>
  <c r="B60" i="40"/>
  <c r="F60" i="40" s="1"/>
  <c r="B59" i="40"/>
  <c r="F59" i="40" s="1"/>
  <c r="B62" i="40"/>
  <c r="F62" i="40" s="1"/>
  <c r="B61" i="40"/>
  <c r="F61" i="40" s="1"/>
  <c r="B54" i="40"/>
  <c r="F54" i="40" s="1"/>
  <c r="B53" i="40"/>
  <c r="F53" i="40" s="1"/>
  <c r="B56" i="40"/>
  <c r="F56" i="40" s="1"/>
  <c r="B58" i="40"/>
  <c r="F58" i="40" s="1"/>
  <c r="F63" i="40"/>
  <c r="B2" i="40" s="1"/>
  <c r="J39" i="15"/>
  <c r="J40" i="15" s="1"/>
  <c r="Q71" i="44"/>
  <c r="Q70" i="44" s="1"/>
  <c r="C44" i="44"/>
  <c r="C45" i="44" s="1"/>
  <c r="B2" i="44" s="1"/>
  <c r="C5" i="66"/>
  <c r="D5" i="66"/>
  <c r="C97" i="9"/>
  <c r="C113" i="9"/>
  <c r="L51" i="15"/>
  <c r="L57" i="15" l="1"/>
  <c r="L60" i="15" s="1"/>
  <c r="Q68" i="15"/>
  <c r="C43" i="15"/>
  <c r="Q57" i="15"/>
  <c r="Q48" i="15"/>
  <c r="Q54" i="15" s="1"/>
  <c r="Q66" i="15"/>
  <c r="B2" i="15"/>
  <c r="B3" i="15" s="1"/>
  <c r="J42" i="15"/>
  <c r="J43" i="15" s="1"/>
  <c r="B4" i="44"/>
  <c r="B3" i="44"/>
  <c r="B5" i="44"/>
  <c r="C46" i="15"/>
  <c r="B66" i="39"/>
  <c r="F66" i="39" s="1"/>
  <c r="B61" i="39"/>
  <c r="F61" i="39" s="1"/>
  <c r="B59" i="39"/>
  <c r="F59" i="39" s="1"/>
  <c r="B63" i="39"/>
  <c r="F63" i="39" s="1"/>
  <c r="B60" i="39"/>
  <c r="F60" i="39" s="1"/>
  <c r="F68" i="39"/>
  <c r="B2" i="39" s="1"/>
  <c r="B64" i="39"/>
  <c r="F64" i="39" s="1"/>
  <c r="B65" i="39"/>
  <c r="F65" i="39" s="1"/>
  <c r="B58" i="39"/>
  <c r="F58" i="39" s="1"/>
  <c r="B62" i="39"/>
  <c r="F62" i="39" s="1"/>
  <c r="B67" i="39"/>
  <c r="F67" i="39" s="1"/>
  <c r="B4" i="40"/>
  <c r="B3" i="40"/>
  <c r="B5" i="40"/>
  <c r="C114" i="9"/>
  <c r="E114" i="9" s="1"/>
  <c r="E115" i="9" s="1"/>
  <c r="C98" i="9"/>
  <c r="E98" i="9" s="1"/>
  <c r="E99" i="9" s="1"/>
  <c r="Q58" i="15" l="1"/>
  <c r="Q63" i="15" s="1"/>
  <c r="Q67" i="15"/>
  <c r="Q76" i="15" s="1"/>
  <c r="B3" i="39"/>
  <c r="B5" i="39"/>
  <c r="B4" i="39"/>
  <c r="C99" i="9"/>
  <c r="C115" i="9"/>
  <c r="D76" i="9" s="1"/>
  <c r="D74" i="9" s="1"/>
  <c r="N74" i="9" s="1"/>
  <c r="O77" i="9" s="1"/>
  <c r="Q77" i="9" l="1"/>
  <c r="O79" i="9"/>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<sst xmlns="http://schemas.openxmlformats.org/spreadsheetml/2006/main" count="7409" uniqueCount="3301">
  <si>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</si>
  <si>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</si>
  <si>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</si>
  <si>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</si>
  <si>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</si>
  <si>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</si>
  <si>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</si>
  <si>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</si>
  <si>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</si>
  <si>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</si>
  <si>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</si>
  <si>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</si>
  <si>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</si>
  <si>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</si>
  <si>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</si>
  <si>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</si>
  <si>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</si>
  <si>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</si>
  <si>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</si>
  <si>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</si>
  <si>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</si>
  <si>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</si>
  <si>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</si>
  <si>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</si>
  <si>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</si>
  <si>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</si>
  <si>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</si>
  <si>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</si>
  <si>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</si>
  <si>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</si>
  <si>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</si>
  <si>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</si>
  <si>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</si>
  <si>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</si>
  <si>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</si>
  <si>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</si>
  <si>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</si>
  <si>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</si>
  <si>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</si>
  <si>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</si>
  <si>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</si>
  <si>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</si>
  <si>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</si>
  <si>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</si>
  <si>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</si>
  <si>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</si>
  <si>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</si>
  <si>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</si>
  <si>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</si>
  <si>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</si>
  <si>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</si>
  <si>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</si>
  <si>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</si>
  <si>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</si>
  <si>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</si>
  <si>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</si>
  <si>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</si>
  <si>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</si>
  <si>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</si>
  <si>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</si>
  <si>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</si>
  <si>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</si>
  <si>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</si>
  <si>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</si>
  <si>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</si>
  <si>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</si>
  <si>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</si>
  <si>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</si>
  <si>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</si>
  <si>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</si>
  <si>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</si>
  <si>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</si>
  <si>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</si>
  <si>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</si>
  <si>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</si>
  <si>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</si>
  <si>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</si>
  <si>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</si>
  <si>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</si>
  <si>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</si>
  <si>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</si>
  <si>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</si>
  <si>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</si>
  <si>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</si>
  <si>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</si>
  <si>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</si>
  <si>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</si>
  <si>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</si>
  <si>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</si>
  <si>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</si>
  <si>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</si>
  <si>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</si>
  <si>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</si>
  <si>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</si>
  <si>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</si>
  <si>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</si>
  <si>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</si>
  <si>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</si>
  <si>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</si>
  <si>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</si>
  <si>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</si>
  <si>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</si>
  <si>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</si>
  <si>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</si>
  <si>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</si>
  <si>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</si>
  <si>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</si>
  <si>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</si>
  <si>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</si>
  <si>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</si>
  <si>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</si>
  <si>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</si>
  <si>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</si>
  <si>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</si>
  <si>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</si>
  <si>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</si>
  <si>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</si>
  <si>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</si>
  <si>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</si>
  <si>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</si>
  <si>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</si>
  <si>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</si>
  <si>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</si>
  <si>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</si>
  <si>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</si>
  <si>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</si>
  <si>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</si>
  <si>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</si>
  <si>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</si>
  <si>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</si>
  <si>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</si>
  <si>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</si>
  <si>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</si>
  <si>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</si>
  <si>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</si>
  <si>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</si>
  <si>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</si>
  <si>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</si>
  <si>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</si>
  <si>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</si>
  <si>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</si>
  <si>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</si>
  <si>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</si>
  <si>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</si>
  <si>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</si>
  <si>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</si>
  <si>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</si>
  <si>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</si>
  <si>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</si>
  <si>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</si>
  <si>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</si>
  <si>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</si>
  <si>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</si>
  <si>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</si>
  <si>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</si>
  <si>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</si>
  <si>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</si>
  <si>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</si>
  <si>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</si>
  <si>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</si>
  <si>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</si>
  <si>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</si>
  <si>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</si>
  <si>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</si>
  <si>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</si>
  <si>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</si>
  <si>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</si>
  <si>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</si>
  <si>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</si>
  <si>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</si>
  <si>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</si>
  <si>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</si>
  <si>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</si>
  <si>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</si>
  <si>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</si>
  <si>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</si>
  <si>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</si>
  <si>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</si>
  <si>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</si>
  <si>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</si>
  <si>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</si>
  <si>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</si>
  <si>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</si>
  <si>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</si>
  <si>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</si>
  <si>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</si>
  <si>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</si>
  <si>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</si>
  <si>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</si>
  <si>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</si>
  <si>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</si>
  <si>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</si>
  <si>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</si>
  <si>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</si>
  <si>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</si>
  <si>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</si>
  <si>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</si>
  <si>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</si>
  <si>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</si>
  <si>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</si>
  <si>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</si>
  <si>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</si>
  <si>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</si>
  <si>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</si>
  <si>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</si>
  <si>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</si>
  <si>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</si>
  <si>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</si>
  <si>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</si>
  <si>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</si>
  <si>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</si>
  <si>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</si>
  <si>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</si>
  <si>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</si>
  <si>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</si>
  <si>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</si>
  <si>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</si>
  <si>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</si>
  <si>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</si>
  <si>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</si>
  <si>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</si>
  <si>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</si>
  <si>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</si>
  <si>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</si>
  <si>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</si>
  <si>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</si>
  <si>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</si>
  <si>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</si>
  <si>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</si>
  <si>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</si>
  <si>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</si>
  <si>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</si>
  <si>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</si>
  <si>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</si>
  <si>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</si>
  <si>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</si>
  <si>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</si>
  <si>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</si>
  <si>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</si>
  <si>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</si>
  <si>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</si>
  <si>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</si>
  <si>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</si>
  <si>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</si>
  <si>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</si>
  <si>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</si>
  <si>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</si>
  <si>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</si>
  <si>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</si>
  <si>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</si>
  <si>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</si>
  <si>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</si>
  <si>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</si>
  <si>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</si>
  <si>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</si>
  <si>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</si>
  <si>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</si>
  <si>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</si>
  <si>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</si>
  <si>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</si>
  <si>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</si>
  <si>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</si>
  <si>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</si>
  <si>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</si>
  <si>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</si>
  <si>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</si>
  <si>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</si>
  <si>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</si>
  <si>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</si>
  <si>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</si>
  <si>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</si>
  <si>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</si>
  <si>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</si>
  <si>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</si>
  <si>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</si>
  <si>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</si>
  <si>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</si>
  <si>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</si>
  <si>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</si>
  <si>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</si>
  <si>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</si>
  <si>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</si>
  <si>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</si>
  <si>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</si>
  <si>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</si>
  <si>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</si>
  <si>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</si>
  <si>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</si>
  <si>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</si>
  <si>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</si>
  <si>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</si>
  <si>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</si>
  <si>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</si>
  <si>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</si>
  <si>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</si>
  <si>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</si>
  <si>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</si>
  <si>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</si>
  <si>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</si>
  <si>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</si>
  <si>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</si>
  <si>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</si>
  <si>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</si>
  <si>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</si>
  <si>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</si>
  <si>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</si>
  <si>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</si>
  <si>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</si>
  <si>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</si>
  <si>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</si>
  <si>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</si>
  <si>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</si>
  <si>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</si>
  <si>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</si>
  <si>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</si>
  <si>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</si>
  <si>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</si>
  <si>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</si>
  <si>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</si>
  <si>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</si>
  <si>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</si>
  <si>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</si>
  <si>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</si>
  <si>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</si>
  <si>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</si>
  <si>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</si>
  <si>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</si>
  <si>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</si>
  <si>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</si>
  <si>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</si>
  <si>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</si>
  <si>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</si>
  <si>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</si>
  <si>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</si>
  <si>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</si>
  <si>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</si>
  <si>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</si>
  <si>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</si>
  <si>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</si>
  <si>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</si>
  <si>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</si>
  <si>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</si>
  <si>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</si>
  <si>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</si>
  <si>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</si>
  <si>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</si>
  <si>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</si>
  <si>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</si>
  <si>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</si>
  <si>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</si>
  <si>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</si>
  <si>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</si>
  <si>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</si>
  <si>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</si>
  <si>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</si>
  <si>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</si>
  <si>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</si>
  <si>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</si>
  <si>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</si>
  <si>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</si>
  <si>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</si>
  <si>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</si>
  <si>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</si>
  <si>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</si>
  <si>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</si>
  <si>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</si>
  <si>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</si>
  <si>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</si>
  <si>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</si>
  <si>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</si>
  <si>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</si>
  <si>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</si>
  <si>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</si>
  <si>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</si>
  <si>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</si>
  <si>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</si>
  <si>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</si>
  <si>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</si>
  <si>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</si>
  <si>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</si>
  <si>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</si>
  <si>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</si>
  <si>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</si>
  <si>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</si>
  <si>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</si>
  <si>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</si>
  <si>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</si>
  <si>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</si>
  <si>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</si>
  <si>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</si>
  <si>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</si>
  <si>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</si>
  <si>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</si>
  <si>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</si>
  <si>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</si>
  <si>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</si>
  <si>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</si>
  <si>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</si>
  <si>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</si>
  <si>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</si>
  <si>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</si>
  <si>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</si>
  <si>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</si>
  <si>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</si>
  <si>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</si>
  <si>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</si>
  <si>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</si>
  <si>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</si>
  <si>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</si>
  <si>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</si>
  <si>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</si>
  <si>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</si>
  <si>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</si>
  <si>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</si>
  <si>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</si>
  <si>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</si>
  <si>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</si>
  <si>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</si>
  <si>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</si>
  <si>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</si>
  <si>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</si>
  <si>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</si>
  <si>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</si>
  <si>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</si>
  <si>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</si>
  <si>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</si>
  <si>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</si>
  <si>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</si>
  <si>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</si>
  <si>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</si>
  <si>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</si>
  <si>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</si>
  <si>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</si>
  <si>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</si>
  <si>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</si>
  <si>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</si>
  <si>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</si>
  <si>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</si>
  <si>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</si>
  <si>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</si>
  <si>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</si>
  <si>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</si>
  <si>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</si>
  <si>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</si>
  <si>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</si>
  <si>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</si>
  <si>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</si>
  <si>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</si>
  <si>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</si>
  <si>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</si>
  <si>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</si>
  <si>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</si>
  <si>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</si>
  <si>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</si>
  <si>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</si>
  <si>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</si>
  <si>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</si>
  <si>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</si>
  <si>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</si>
  <si>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</si>
  <si>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</si>
  <si>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</si>
  <si>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</si>
  <si>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</si>
  <si>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</si>
  <si>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</si>
  <si>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</si>
  <si>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</si>
  <si>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</si>
  <si>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</si>
  <si>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</si>
  <si>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</si>
  <si>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</si>
  <si>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</si>
  <si>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</si>
  <si>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</si>
  <si>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</si>
  <si>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</si>
  <si>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</si>
  <si>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</si>
  <si>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</si>
  <si>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</si>
  <si>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</si>
  <si>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</si>
  <si>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</si>
  <si>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</si>
  <si>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</si>
  <si>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</si>
  <si>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</si>
  <si>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</si>
  <si>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</si>
  <si>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</si>
  <si>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</si>
  <si>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</si>
  <si>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</si>
  <si>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</si>
  <si>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</si>
  <si>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</si>
  <si>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</si>
  <si>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</si>
  <si>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</si>
  <si>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</si>
  <si>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</si>
  <si>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</si>
  <si>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</si>
  <si>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</si>
  <si>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</si>
  <si>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</si>
  <si>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</si>
  <si>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</si>
  <si>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</si>
  <si>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</si>
  <si>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</si>
  <si>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</si>
  <si>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</si>
  <si>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</si>
  <si>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</si>
  <si>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</si>
  <si>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</si>
  <si>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</si>
  <si>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</si>
  <si>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</si>
  <si>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</si>
  <si>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</si>
  <si>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</si>
  <si>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</si>
  <si>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</si>
  <si>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</si>
  <si>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</si>
  <si>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</si>
  <si>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</si>
  <si>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</si>
  <si>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</si>
  <si>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</si>
  <si>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</si>
  <si>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</si>
  <si>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</si>
  <si>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</si>
  <si>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</si>
  <si>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</si>
  <si>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</si>
  <si>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</si>
  <si>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</si>
  <si>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</si>
  <si>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</si>
  <si>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</si>
  <si>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</si>
  <si>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</si>
  <si>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</si>
  <si>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</si>
  <si>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</si>
  <si>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</si>
  <si>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</si>
  <si>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</si>
  <si>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</si>
  <si>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</si>
  <si>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</si>
  <si>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</si>
  <si>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</si>
  <si>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</si>
  <si>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</si>
  <si>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</si>
  <si>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</si>
  <si>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</si>
  <si>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</si>
  <si>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</si>
  <si>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</si>
  <si>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</si>
  <si>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</si>
  <si>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</si>
  <si>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</si>
  <si>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</si>
  <si>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</si>
  <si>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</si>
  <si>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</si>
  <si>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</si>
  <si>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</si>
  <si>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</si>
  <si>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</si>
  <si>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</si>
  <si>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</si>
  <si>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</si>
  <si>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</si>
  <si>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</si>
  <si>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</si>
  <si>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</si>
  <si>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</si>
  <si>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</si>
  <si>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</si>
  <si>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</si>
  <si>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</si>
  <si>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</si>
  <si>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</si>
  <si>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</si>
  <si>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</si>
  <si>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</si>
  <si>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</si>
  <si>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</si>
  <si>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</si>
  <si>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</si>
  <si>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</si>
  <si>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</si>
  <si>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</si>
  <si>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</si>
  <si>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</si>
  <si>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</si>
  <si>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</si>
  <si>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</si>
  <si>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</si>
  <si>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</si>
  <si>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</si>
  <si>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</si>
  <si>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</si>
  <si>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</si>
  <si>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</si>
  <si>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</si>
  <si>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</si>
  <si>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</si>
  <si>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</si>
  <si>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</si>
  <si>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</si>
  <si>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</si>
  <si>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</si>
  <si>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</si>
  <si>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</si>
  <si>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</si>
  <si>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</si>
  <si>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</si>
  <si>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</si>
  <si>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</si>
  <si>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</si>
  <si>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</si>
  <si>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</si>
  <si>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</si>
  <si>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</si>
  <si>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</si>
  <si>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</si>
  <si>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</si>
  <si>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</si>
  <si>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</si>
  <si>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</si>
  <si>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</si>
  <si>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</si>
  <si>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</si>
  <si>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</si>
  <si>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</si>
  <si>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</si>
  <si>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</si>
  <si>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</si>
  <si>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</si>
  <si>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</si>
  <si>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</si>
  <si>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</si>
  <si>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</si>
  <si>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</si>
  <si>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</si>
  <si>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</si>
  <si>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</si>
  <si>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</si>
  <si>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</si>
  <si>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</si>
  <si>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</si>
  <si>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</si>
  <si>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</si>
  <si>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</si>
  <si>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</si>
  <si>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</si>
  <si>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</si>
  <si>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</si>
  <si>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</si>
  <si>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</si>
  <si>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</si>
  <si>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</si>
  <si>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</si>
  <si>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</si>
  <si>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</si>
  <si>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</si>
  <si>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</si>
  <si>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</si>
  <si>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</si>
  <si>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</si>
  <si>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</si>
  <si>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</si>
  <si>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</si>
  <si>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</si>
  <si>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</si>
  <si>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</si>
  <si>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</si>
  <si>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</si>
  <si>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</si>
  <si>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</si>
  <si>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</si>
  <si>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</si>
  <si>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</si>
  <si>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</si>
  <si>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</si>
  <si>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</si>
  <si>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</si>
  <si>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</si>
  <si>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</si>
  <si>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</si>
  <si>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</si>
  <si>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</si>
  <si>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</si>
  <si>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</si>
  <si>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</si>
  <si>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</si>
  <si>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</si>
  <si>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</si>
  <si>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</si>
  <si>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</si>
  <si>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</si>
  <si>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</si>
  <si>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</si>
  <si>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</si>
  <si>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</si>
  <si>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</si>
  <si>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</si>
  <si>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</si>
  <si>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</si>
  <si>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</si>
  <si>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</si>
  <si>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</si>
  <si>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</si>
  <si>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</si>
  <si>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</si>
  <si>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</si>
  <si>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</si>
  <si>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</si>
  <si>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</si>
  <si>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</si>
  <si>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</si>
  <si>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</si>
  <si>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</si>
  <si>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</si>
  <si>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</si>
  <si>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</si>
  <si>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</si>
  <si>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</si>
  <si>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</si>
  <si>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</si>
  <si>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</si>
  <si>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</si>
  <si>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</si>
  <si>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</si>
  <si>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</si>
  <si>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</si>
  <si>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</si>
  <si>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</si>
  <si>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</si>
  <si>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</si>
  <si>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</si>
  <si>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</si>
  <si>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</si>
  <si>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</si>
  <si>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</si>
  <si>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</si>
  <si>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</si>
  <si>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</si>
  <si>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</si>
  <si>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</si>
  <si>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</si>
  <si>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</si>
  <si>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</si>
  <si>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</si>
  <si>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</si>
  <si>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</si>
  <si>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</si>
  <si>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</si>
  <si>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</si>
  <si>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</si>
  <si>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</si>
  <si>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</si>
  <si>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</si>
  <si>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</si>
  <si>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</si>
  <si>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</si>
  <si>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</si>
  <si>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</si>
  <si>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</si>
  <si>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</si>
  <si>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</si>
  <si>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</si>
  <si>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</si>
  <si>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</si>
  <si>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</si>
  <si>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</si>
  <si>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</si>
  <si>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</si>
  <si>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</si>
  <si>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</si>
  <si>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</si>
  <si>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</si>
  <si>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</si>
  <si>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</si>
  <si>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</si>
  <si>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</si>
  <si>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</si>
  <si>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</si>
  <si>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</si>
  <si>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</si>
  <si>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</si>
  <si>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</si>
  <si>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</si>
  <si>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</si>
  <si>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</si>
  <si>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</si>
  <si>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</si>
  <si>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</si>
  <si>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</si>
  <si>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</si>
  <si>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</si>
  <si>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</si>
  <si>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</si>
  <si>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</si>
  <si>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</si>
  <si>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</si>
  <si>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</si>
  <si>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</si>
  <si>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</si>
  <si>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</si>
  <si>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</si>
  <si>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</si>
  <si>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</si>
  <si>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</si>
  <si>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</si>
  <si>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</si>
  <si>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</si>
  <si>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</si>
  <si>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</si>
  <si>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</si>
  <si>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</si>
  <si>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</si>
  <si>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</si>
  <si>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</si>
  <si>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</si>
  <si>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</si>
  <si>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</si>
  <si>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</si>
  <si>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</si>
  <si>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</si>
  <si>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</si>
  <si>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</si>
  <si>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</si>
  <si>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</si>
  <si>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</si>
  <si>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</si>
  <si>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</si>
  <si>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</si>
  <si>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</si>
  <si>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</si>
  <si>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</si>
  <si>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</si>
  <si>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</si>
  <si>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</si>
  <si>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</si>
  <si>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</si>
  <si>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</si>
  <si>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</si>
  <si>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</si>
  <si>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</si>
  <si>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</si>
  <si>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</si>
  <si>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</si>
  <si>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</si>
  <si>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</si>
  <si>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</si>
  <si>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</si>
  <si>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</si>
  <si>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</si>
  <si>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</si>
  <si>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</si>
  <si>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</si>
  <si>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</si>
  <si>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</si>
  <si>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</si>
  <si>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</si>
  <si>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</si>
  <si>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</si>
  <si>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</si>
  <si>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</si>
  <si>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</si>
  <si>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</si>
  <si>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</si>
  <si>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</si>
  <si>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</si>
  <si>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</si>
  <si>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</si>
  <si>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</si>
  <si>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</si>
  <si>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</si>
  <si>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</si>
  <si>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</si>
  <si>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</si>
  <si>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</si>
  <si>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</si>
  <si>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</si>
  <si>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</si>
  <si>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</si>
  <si>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</si>
  <si>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</si>
  <si>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</si>
  <si>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</si>
  <si>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</si>
  <si>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</si>
  <si>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</si>
  <si>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</si>
  <si>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</si>
  <si>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</si>
  <si>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</si>
  <si>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</si>
  <si>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</si>
  <si>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</si>
  <si>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</si>
  <si>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</si>
  <si>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</si>
  <si>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</si>
  <si>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</si>
  <si>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</si>
  <si>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</si>
  <si>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</si>
  <si>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</si>
  <si>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</si>
  <si>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</si>
  <si>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</si>
  <si>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</si>
  <si>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</si>
  <si>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</si>
  <si>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</si>
  <si>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</si>
  <si>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</si>
  <si>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</si>
  <si>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</si>
  <si>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</si>
  <si>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</si>
  <si>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</si>
  <si>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</si>
  <si>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</si>
  <si>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</si>
  <si>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</si>
  <si>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</si>
  <si>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</si>
  <si>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</si>
  <si>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</si>
  <si>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</si>
  <si>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</si>
  <si>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</si>
  <si>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</si>
  <si>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</si>
  <si>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</si>
  <si>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</si>
  <si>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</si>
  <si>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</si>
  <si>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</si>
  <si>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</si>
  <si>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</si>
  <si>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</si>
  <si>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</si>
  <si>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</si>
  <si>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</si>
  <si>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</si>
  <si>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</si>
  <si>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</si>
  <si>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</si>
  <si>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</si>
  <si>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</si>
  <si>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</si>
  <si>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</si>
  <si>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</si>
  <si>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</si>
  <si>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</si>
  <si>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</si>
  <si>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</si>
  <si>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</si>
  <si>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</si>
  <si>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</si>
  <si>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</si>
  <si>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</si>
  <si>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</si>
  <si>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</si>
  <si>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</si>
  <si>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</si>
  <si>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</si>
  <si>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</si>
  <si>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</si>
  <si>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</si>
  <si>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</si>
  <si>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</si>
  <si>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</si>
  <si>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</si>
  <si>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</si>
  <si>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</si>
  <si>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</si>
  <si>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</si>
  <si>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</si>
  <si>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</si>
  <si>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</si>
  <si>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</si>
  <si>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</si>
  <si>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</si>
  <si>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</si>
  <si>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</si>
  <si>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</si>
  <si>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</si>
  <si>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</si>
  <si>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</si>
  <si>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</si>
  <si>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</si>
  <si>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</si>
  <si>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</si>
  <si>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</si>
  <si>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</si>
  <si>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</si>
  <si>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</si>
  <si>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</si>
  <si>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</si>
  <si>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</si>
  <si>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</si>
  <si>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</si>
  <si>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</si>
  <si>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</si>
  <si>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</si>
  <si>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</si>
  <si>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</si>
  <si>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</si>
  <si>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</si>
  <si>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</si>
  <si>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</si>
  <si>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</si>
  <si>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</si>
  <si>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</si>
  <si>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</si>
  <si>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</si>
  <si>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</si>
  <si>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</si>
  <si>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</si>
  <si>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</si>
  <si>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</si>
  <si>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</si>
  <si>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</si>
  <si>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</si>
  <si>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</si>
  <si>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</si>
  <si>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</si>
  <si>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</si>
  <si>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</si>
  <si>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</si>
  <si>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</si>
  <si>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</si>
  <si>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</si>
  <si>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</si>
  <si>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</si>
  <si>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</si>
  <si>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</si>
  <si>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</si>
  <si>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</si>
  <si>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</si>
  <si>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</si>
  <si>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</si>
  <si>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</si>
  <si>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</si>
  <si>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</si>
  <si>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</si>
  <si>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</si>
  <si>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</si>
  <si>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</si>
  <si>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</si>
  <si>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</si>
  <si>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</si>
  <si>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</si>
  <si>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</si>
  <si>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</si>
  <si>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</si>
  <si>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</si>
  <si>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</si>
  <si>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</si>
  <si>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</si>
  <si>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</si>
  <si>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</si>
  <si>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</si>
  <si>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</si>
  <si>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</si>
  <si>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</si>
  <si>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</si>
  <si>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</si>
  <si>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</si>
  <si>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</si>
  <si>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</si>
  <si>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</si>
  <si>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</si>
  <si>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</si>
  <si>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</si>
  <si>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</si>
  <si>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</si>
  <si>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</si>
  <si>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</si>
  <si>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</si>
  <si>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</si>
  <si>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</si>
  <si>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</si>
  <si>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</si>
  <si>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</si>
  <si>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</si>
  <si>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</si>
  <si>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</si>
  <si>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</si>
  <si>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</si>
  <si>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</si>
  <si>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</si>
  <si>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</si>
  <si>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</si>
  <si>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</si>
  <si>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</si>
  <si>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</si>
  <si>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</si>
  <si>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</si>
  <si>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</si>
  <si>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</si>
  <si>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</si>
  <si>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</si>
  <si>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</si>
  <si>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</si>
  <si>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</si>
  <si>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</si>
  <si>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</si>
  <si>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</si>
  <si>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</si>
  <si>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</si>
  <si>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</si>
  <si>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</si>
  <si>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</si>
  <si>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</si>
  <si>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</si>
  <si>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</si>
  <si>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</si>
  <si>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</si>
  <si>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</si>
  <si>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</si>
  <si>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</si>
  <si>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</si>
  <si>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</si>
  <si>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</si>
  <si>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</si>
  <si>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</si>
  <si>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</si>
  <si>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</si>
  <si>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</si>
  <si>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</si>
  <si>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</si>
  <si>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</si>
  <si>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</si>
  <si>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</si>
  <si>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</si>
  <si>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</si>
  <si>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</si>
  <si>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</si>
  <si>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</si>
  <si>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</si>
  <si>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</si>
  <si>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</si>
  <si>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</si>
  <si>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</si>
  <si>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</si>
  <si>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</si>
  <si>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</si>
  <si>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</si>
  <si>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</si>
  <si>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</si>
  <si>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</si>
  <si>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</si>
  <si>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</si>
  <si>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</si>
  <si>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</si>
  <si>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</si>
  <si>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</si>
  <si>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</si>
  <si>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</si>
  <si>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</si>
  <si>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</si>
  <si>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</si>
  <si>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</si>
  <si>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</si>
  <si>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</si>
  <si>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</si>
  <si>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</si>
  <si>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</si>
  <si>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</si>
  <si>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</si>
  <si>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</si>
  <si>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</si>
  <si>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</si>
  <si>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</si>
  <si>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</si>
  <si>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</si>
  <si>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</si>
  <si>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</si>
  <si>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</si>
  <si>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</si>
  <si>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</si>
  <si>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</si>
  <si>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</si>
  <si>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</si>
  <si>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</si>
  <si>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</si>
  <si>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</si>
  <si>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</si>
  <si>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</si>
  <si>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</si>
  <si>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</si>
  <si>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</si>
  <si>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</si>
  <si>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</si>
  <si>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</si>
  <si>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</si>
  <si>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</si>
  <si>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</si>
  <si>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</si>
  <si>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</si>
  <si>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</si>
  <si>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</si>
  <si>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</si>
  <si>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</si>
  <si>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</si>
  <si>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</si>
  <si>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</si>
  <si>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</si>
  <si>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</si>
  <si>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</si>
  <si>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</si>
  <si>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</si>
  <si>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</si>
  <si>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</si>
  <si>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</si>
  <si>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</si>
  <si>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</si>
  <si>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</si>
  <si>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</si>
  <si>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</si>
  <si>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</si>
  <si>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</si>
  <si>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</si>
  <si>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</si>
  <si>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</si>
  <si>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</si>
  <si>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</si>
  <si>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</si>
  <si>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</si>
  <si>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</si>
  <si>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</si>
  <si>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</si>
  <si>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</si>
  <si>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</si>
  <si>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</si>
  <si>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</si>
  <si>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</si>
  <si>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</si>
  <si>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</si>
  <si>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</si>
  <si>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</si>
  <si>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</si>
  <si>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</si>
  <si>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</si>
  <si>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</si>
  <si>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</si>
  <si>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</si>
  <si>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</si>
  <si>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</si>
  <si>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</si>
  <si>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</si>
  <si>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</si>
  <si>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</si>
  <si>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</si>
  <si>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</si>
  <si>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</si>
  <si>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</si>
  <si>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</si>
  <si>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</si>
  <si>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</si>
  <si>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</si>
  <si>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</si>
  <si>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</si>
  <si>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</si>
  <si>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</si>
  <si>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</si>
  <si>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</si>
  <si>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</si>
  <si>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</si>
  <si>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</si>
  <si>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</si>
  <si>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</si>
  <si>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</si>
  <si>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</si>
  <si>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</si>
  <si>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</si>
  <si>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</si>
  <si>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</si>
  <si>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</si>
  <si>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</si>
  <si>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</si>
  <si>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</si>
  <si>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</si>
  <si>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</si>
  <si>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</si>
  <si>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</si>
  <si>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</si>
  <si>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</si>
  <si>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</si>
  <si>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</si>
  <si>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</si>
  <si>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</si>
  <si>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</si>
  <si>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</si>
  <si>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</si>
  <si>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</si>
  <si>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</si>
  <si>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</si>
  <si>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</si>
  <si>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</si>
  <si>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</si>
  <si>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</si>
  <si>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</si>
  <si>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</si>
  <si>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</si>
  <si>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</si>
  <si>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</si>
  <si>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</si>
  <si>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</si>
  <si>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</si>
  <si>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</si>
  <si>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</si>
  <si>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</si>
  <si>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</si>
  <si>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</si>
  <si>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</si>
  <si>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</si>
  <si>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</si>
  <si>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</si>
  <si>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</si>
  <si>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</si>
  <si>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</si>
  <si>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</si>
  <si>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</si>
  <si>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</si>
  <si>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</si>
  <si>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</si>
  <si>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</si>
  <si>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</si>
  <si>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</si>
  <si>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</si>
  <si>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</si>
  <si>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</si>
  <si>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</si>
  <si>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</si>
  <si>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</si>
  <si>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</si>
  <si>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</si>
  <si>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</si>
  <si>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</si>
  <si>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</si>
  <si>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</si>
  <si>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</si>
  <si>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</si>
  <si>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</si>
  <si>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</si>
  <si>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</si>
  <si>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</si>
  <si>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</si>
  <si>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</si>
  <si>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</si>
  <si>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</si>
  <si>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</si>
  <si>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</si>
  <si>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</si>
  <si>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</si>
  <si>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</si>
  <si>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</si>
  <si>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</si>
  <si>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</si>
  <si>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</si>
  <si>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</si>
  <si>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</si>
  <si>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</si>
  <si>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</si>
  <si>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</si>
  <si>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</si>
  <si>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</si>
  <si>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</si>
  <si>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</si>
  <si>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</si>
  <si>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</si>
  <si>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</si>
  <si>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</si>
  <si>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</si>
  <si>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</si>
  <si>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</si>
  <si>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</si>
  <si>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</si>
  <si>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</si>
  <si>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</si>
  <si>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</si>
  <si>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</si>
  <si>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</si>
  <si>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</si>
  <si>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</si>
  <si>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</si>
  <si>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</si>
  <si>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</si>
  <si>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</si>
  <si>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</si>
  <si>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</si>
  <si>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</si>
  <si>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</si>
  <si>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</si>
  <si>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</si>
  <si>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</si>
  <si>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</si>
  <si>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</si>
  <si>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</si>
  <si>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</si>
  <si>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</si>
  <si>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</si>
  <si>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</si>
  <si>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</si>
  <si>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</si>
  <si>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</si>
  <si>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</si>
  <si>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</si>
  <si>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</si>
  <si>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</si>
  <si>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</si>
  <si>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</si>
  <si>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</si>
  <si>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</si>
  <si>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</si>
  <si>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</si>
  <si>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</si>
  <si>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</si>
  <si>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</si>
  <si>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</si>
  <si>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</si>
  <si>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</si>
  <si>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</si>
  <si>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</si>
  <si>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</si>
  <si>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</si>
  <si>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</si>
  <si>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</si>
  <si>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</si>
  <si>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</si>
  <si>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</si>
  <si>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</si>
  <si>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</si>
  <si>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</si>
  <si>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</si>
  <si>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</si>
  <si>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</si>
  <si>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</si>
  <si>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</si>
  <si>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</si>
  <si>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</si>
  <si>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</si>
  <si>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</si>
  <si>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</si>
  <si>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</si>
  <si>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</si>
  <si>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</si>
  <si>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</si>
  <si>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</si>
  <si>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</si>
  <si>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</si>
  <si>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</si>
  <si>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</si>
  <si>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</si>
  <si>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</si>
  <si>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</si>
  <si>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</si>
  <si>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</si>
  <si>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</si>
  <si>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</si>
  <si>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</si>
  <si>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</si>
  <si>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</si>
  <si>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</si>
  <si>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</si>
  <si>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</si>
  <si>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</si>
  <si>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</si>
  <si>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</si>
  <si>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</si>
  <si>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</si>
  <si>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</si>
  <si>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</si>
  <si>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</si>
  <si>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</si>
  <si>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</si>
  <si>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</si>
  <si>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</si>
  <si>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</si>
  <si>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</si>
  <si>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</si>
  <si>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</si>
  <si>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</si>
  <si>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</si>
  <si>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</si>
  <si>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</si>
  <si>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</si>
  <si>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</si>
  <si>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</si>
  <si>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</si>
  <si>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</si>
  <si>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</si>
  <si>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</si>
  <si>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</si>
  <si>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</si>
  <si>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</si>
  <si>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</si>
  <si>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</si>
  <si>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</si>
  <si>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</si>
  <si>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</si>
  <si>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</si>
  <si>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</si>
  <si>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</si>
  <si>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</si>
  <si>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</si>
  <si>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</si>
  <si>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</si>
  <si>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</si>
  <si>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</si>
  <si>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</si>
  <si>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</si>
  <si>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</si>
  <si>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</si>
  <si>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</si>
  <si>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</si>
  <si>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</si>
  <si>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</si>
  <si>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</si>
  <si>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</si>
  <si>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</si>
  <si>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</si>
  <si>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</si>
  <si>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</si>
  <si>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</si>
  <si>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</si>
  <si>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</si>
  <si>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</si>
  <si>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</si>
  <si>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</si>
  <si>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</si>
  <si>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</si>
  <si>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</si>
  <si>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</si>
  <si>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</si>
  <si>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</si>
  <si>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</si>
  <si>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</si>
  <si>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</si>
  <si>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</si>
  <si>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</si>
  <si>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</si>
  <si>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</si>
  <si>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</si>
  <si>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</si>
  <si>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</si>
  <si>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</si>
  <si>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</si>
  <si>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</si>
  <si>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</si>
  <si>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</si>
  <si>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</si>
  <si>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</si>
  <si>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</si>
  <si>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</si>
  <si>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</si>
  <si>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</si>
  <si>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</si>
  <si>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</si>
  <si>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</si>
  <si>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</si>
  <si>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</si>
  <si>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</si>
  <si>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</si>
  <si>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</si>
  <si>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</si>
  <si>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</si>
  <si>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</si>
  <si>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</si>
  <si>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</si>
  <si>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</si>
  <si>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</si>
  <si>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</si>
  <si>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</si>
  <si>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</si>
  <si>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</si>
  <si>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</si>
  <si>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</si>
  <si>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</si>
  <si>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</si>
  <si>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</si>
  <si>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</si>
  <si>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</si>
  <si>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</si>
  <si>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</si>
  <si>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</si>
  <si>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</si>
  <si>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</si>
  <si>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</si>
  <si>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</si>
  <si>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</si>
  <si>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</si>
  <si>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</si>
  <si>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</si>
  <si>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</si>
  <si>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</si>
  <si>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</si>
  <si>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</si>
  <si>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</si>
  <si>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</si>
  <si>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</si>
  <si>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</si>
  <si>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</si>
  <si>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</si>
  <si>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</si>
  <si>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</si>
  <si>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</si>
  <si>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</si>
  <si>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</si>
  <si>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</si>
  <si>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</si>
  <si>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</si>
  <si>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</si>
  <si>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</si>
  <si>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</si>
  <si>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</si>
  <si>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</si>
  <si>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</si>
  <si>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</si>
  <si>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</si>
  <si>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</si>
  <si>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</si>
  <si>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</si>
  <si>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</si>
  <si>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</si>
  <si>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</si>
  <si>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</si>
  <si>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</si>
  <si>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</si>
  <si>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</si>
  <si>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</si>
  <si>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</si>
  <si>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</si>
  <si>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</si>
  <si>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</si>
  <si>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</si>
  <si>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</si>
  <si>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</si>
  <si>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</si>
  <si>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</si>
  <si>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</si>
  <si>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</si>
  <si>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</si>
  <si>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</si>
  <si>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</si>
  <si>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</si>
  <si>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</si>
  <si>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</si>
  <si>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</si>
  <si>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</si>
  <si>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</si>
  <si>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</si>
  <si>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</si>
  <si>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</si>
  <si>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</si>
  <si>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</si>
  <si>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</si>
  <si>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</si>
  <si>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</si>
  <si>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</si>
  <si>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</si>
  <si>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</si>
  <si>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</si>
  <si>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</si>
  <si>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</si>
  <si>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</si>
  <si>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</si>
  <si>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</si>
  <si>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</si>
  <si>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</si>
  <si>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</si>
  <si>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</si>
  <si>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</si>
  <si>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</si>
  <si>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</si>
  <si>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</si>
  <si>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</si>
  <si>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</si>
  <si>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</si>
  <si>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</si>
  <si>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</si>
  <si>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</si>
  <si>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</si>
  <si>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</si>
  <si>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</si>
  <si>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</si>
  <si>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</si>
  <si>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</si>
  <si>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</si>
  <si>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</si>
  <si>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</si>
  <si>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</si>
  <si>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</si>
  <si>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</si>
  <si>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</si>
  <si>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</si>
  <si>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</si>
  <si>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</si>
  <si>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</si>
  <si>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</si>
  <si>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</si>
  <si>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</si>
  <si>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</si>
  <si>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</si>
  <si>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</si>
  <si>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</si>
  <si>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</si>
  <si>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</si>
  <si>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</si>
  <si>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</si>
  <si>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</si>
  <si>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</si>
  <si>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</si>
  <si>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</si>
  <si>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</si>
  <si>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</si>
  <si>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</si>
  <si>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</si>
  <si>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</si>
  <si>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</si>
  <si>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</si>
  <si>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</si>
  <si>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</si>
  <si>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</si>
  <si>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</si>
  <si>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</si>
  <si>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</si>
  <si>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</si>
  <si>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</si>
  <si>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</si>
  <si>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</si>
  <si>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</si>
  <si>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</si>
  <si>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</si>
  <si>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</si>
  <si>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</si>
  <si>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</si>
  <si>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</si>
  <si>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</si>
  <si>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</si>
  <si>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</si>
  <si>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</si>
  <si>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</si>
  <si>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</si>
  <si>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</si>
  <si>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</si>
  <si>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</si>
  <si>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</si>
  <si>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</si>
  <si>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</si>
  <si>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</si>
  <si>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</si>
  <si>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</si>
  <si>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</si>
  <si>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</si>
  <si>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</si>
  <si>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</si>
  <si>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</si>
  <si>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</si>
  <si>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</si>
  <si>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</si>
  <si>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</si>
  <si>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</si>
  <si>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</si>
  <si>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</si>
  <si>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</si>
  <si>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</si>
  <si>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</si>
  <si>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</si>
  <si>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</si>
  <si>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</si>
  <si>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</si>
  <si>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</si>
  <si>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</si>
  <si>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</si>
  <si>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</si>
  <si>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</si>
  <si>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</si>
  <si>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</si>
  <si>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</si>
  <si>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</si>
  <si>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</si>
  <si>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</si>
  <si>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</si>
  <si>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</si>
  <si>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</si>
  <si>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</si>
  <si>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</si>
  <si>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</si>
  <si>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</si>
  <si>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</si>
  <si>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</si>
  <si>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</si>
  <si>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</si>
  <si>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</si>
  <si>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</si>
  <si>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</si>
  <si>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</si>
  <si>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</si>
  <si>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</si>
  <si>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</si>
  <si>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</si>
  <si>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</si>
  <si>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</si>
  <si>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</si>
  <si>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</si>
  <si>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</si>
  <si>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</si>
  <si>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</si>
  <si>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</si>
  <si>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</si>
  <si>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</si>
  <si>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</si>
  <si>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</si>
  <si>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</si>
  <si>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</si>
  <si>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</si>
  <si>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</si>
  <si>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</si>
  <si>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</si>
  <si>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</si>
  <si>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</si>
  <si>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</si>
  <si>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</si>
  <si>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</si>
  <si>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</si>
  <si>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</si>
  <si>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</si>
  <si>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</si>
  <si>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</si>
  <si>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</si>
  <si>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</si>
  <si>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</si>
  <si>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</si>
  <si>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</si>
  <si>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</si>
  <si>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</si>
  <si>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</si>
  <si>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</si>
  <si>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</si>
  <si>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</si>
  <si>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</si>
  <si>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</si>
  <si>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</si>
  <si>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</si>
  <si>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</si>
  <si>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</si>
  <si>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</si>
  <si>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</si>
  <si>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</si>
  <si>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</si>
  <si>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</si>
  <si>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</si>
  <si>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</si>
  <si>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</si>
  <si>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</si>
  <si>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</si>
  <si>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</si>
  <si>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</si>
  <si>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</si>
  <si>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</si>
  <si>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</si>
  <si>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</si>
  <si>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</si>
  <si>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</si>
  <si>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</si>
  <si>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</si>
  <si>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</si>
  <si>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</si>
  <si>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</si>
  <si>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</si>
  <si>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</si>
  <si>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</si>
  <si>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</si>
  <si>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</si>
  <si>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</si>
  <si>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</si>
  <si>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</si>
  <si>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</si>
  <si>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</si>
  <si>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</si>
  <si>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</si>
  <si>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</si>
  <si>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</si>
  <si>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</si>
  <si>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</si>
  <si>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</si>
  <si>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</si>
  <si>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</si>
  <si>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</si>
  <si>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</si>
  <si>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</si>
  <si>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</si>
  <si>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</si>
  <si>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</si>
  <si>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</si>
  <si>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</si>
  <si>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</si>
  <si>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</si>
  <si>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</si>
  <si>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</si>
  <si>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</si>
  <si>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</si>
  <si>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</si>
  <si>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</si>
  <si>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</si>
  <si>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</si>
  <si>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</si>
  <si>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</si>
  <si>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</si>
  <si>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</si>
  <si>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</si>
  <si>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</si>
  <si>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</si>
  <si>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</si>
  <si>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</si>
  <si>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</si>
  <si>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</si>
  <si>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</si>
  <si>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</si>
  <si>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</si>
  <si>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</si>
  <si>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</si>
  <si>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</si>
  <si>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</si>
  <si>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</si>
  <si>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</si>
  <si>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</si>
  <si>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</si>
  <si>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</si>
  <si>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</si>
  <si>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</si>
  <si>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</si>
  <si>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</si>
  <si>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</si>
  <si>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</si>
  <si>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</si>
  <si>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</si>
  <si>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</si>
  <si>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</si>
  <si>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</si>
  <si>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</si>
  <si>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</si>
  <si>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</si>
  <si>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</si>
  <si>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</si>
  <si>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</si>
  <si>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</si>
  <si>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</si>
  <si>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</si>
  <si>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</si>
  <si>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</si>
  <si>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</si>
  <si>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</si>
  <si>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</si>
  <si>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</si>
  <si>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</si>
  <si>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</si>
  <si>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</si>
  <si>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</si>
  <si>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</si>
  <si>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</si>
  <si>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</si>
  <si>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</si>
  <si>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</si>
  <si>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</si>
  <si>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</si>
  <si>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</si>
  <si>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</si>
  <si>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</si>
  <si>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</si>
  <si>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</si>
  <si>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</si>
  <si>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</si>
  <si>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</si>
  <si>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</si>
  <si>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</si>
  <si>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</si>
  <si>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</si>
  <si>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</si>
  <si>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</si>
  <si>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</si>
  <si>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</si>
  <si>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</si>
  <si>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</si>
  <si>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</si>
  <si>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</si>
  <si>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</si>
  <si>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</si>
  <si>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</si>
  <si>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</si>
  <si>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</si>
  <si>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</si>
  <si>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</si>
  <si>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</si>
  <si>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</si>
  <si>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</si>
  <si>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</si>
  <si>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</si>
  <si>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</si>
  <si>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</si>
  <si>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</si>
  <si>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</si>
  <si>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</si>
  <si>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</si>
  <si>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</si>
  <si>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</si>
  <si>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</si>
  <si>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</si>
  <si>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</si>
  <si>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</si>
  <si>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</si>
  <si>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</si>
  <si>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</si>
  <si>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</si>
  <si>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</si>
  <si>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</si>
  <si>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</si>
  <si>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</si>
  <si>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</si>
  <si>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</si>
  <si>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</si>
  <si>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</si>
  <si>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</si>
  <si>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</si>
  <si>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</si>
  <si>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</si>
  <si>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</si>
  <si>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</si>
  <si>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</si>
  <si>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</si>
  <si>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</si>
  <si>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</si>
  <si>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</si>
  <si>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</si>
  <si>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</si>
  <si>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</si>
  <si>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</si>
  <si>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</si>
  <si>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</si>
  <si>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</si>
  <si>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</si>
  <si>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</si>
  <si>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</si>
  <si>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</si>
  <si>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</si>
  <si>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</si>
  <si>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</si>
  <si>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</si>
  <si>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</si>
  <si>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</si>
  <si>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</si>
  <si>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</si>
  <si>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</si>
  <si>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</si>
  <si>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</si>
  <si>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</si>
  <si>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</si>
  <si>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</si>
  <si>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</si>
  <si>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</si>
  <si>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</si>
  <si>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</si>
  <si>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</si>
  <si>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</si>
  <si>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</si>
  <si>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</si>
  <si>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</si>
  <si>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</si>
  <si>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</si>
  <si>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</si>
  <si>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</si>
  <si>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</si>
  <si>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</si>
  <si>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</si>
  <si>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</si>
  <si>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</si>
  <si>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</si>
  <si>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</si>
  <si>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</si>
  <si>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</si>
  <si>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</si>
  <si>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</si>
  <si>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</si>
  <si>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</si>
  <si>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</si>
  <si>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</si>
  <si>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</si>
  <si>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</si>
  <si>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</si>
  <si>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</si>
  <si>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</si>
  <si>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</si>
  <si>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</si>
  <si>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</si>
  <si>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</si>
  <si>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</si>
  <si>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</si>
  <si>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</si>
  <si>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</si>
  <si>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</si>
  <si>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</si>
  <si>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</si>
  <si>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</si>
  <si>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</si>
  <si>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</si>
  <si>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</si>
  <si>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</si>
  <si>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</si>
  <si>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</si>
  <si>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</si>
  <si>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</si>
  <si>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</si>
  <si>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</si>
  <si>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</si>
  <si>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</si>
  <si>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</si>
  <si>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</si>
  <si>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</si>
  <si>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</si>
  <si>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</si>
  <si>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</si>
  <si>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</si>
  <si>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</si>
  <si>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</si>
  <si>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</si>
  <si>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</si>
  <si>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</si>
  <si>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</si>
  <si>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</si>
  <si>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</si>
  <si>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</si>
  <si>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</si>
  <si>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</si>
  <si>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</si>
  <si>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</si>
  <si>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</si>
  <si>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</si>
  <si>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</si>
  <si>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</si>
  <si>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</si>
  <si>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</si>
  <si>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</si>
  <si>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</si>
  <si>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</si>
  <si>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</si>
  <si>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</si>
  <si>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</si>
  <si>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</si>
  <si>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</si>
  <si>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</si>
  <si>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</si>
  <si>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</si>
  <si>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</si>
  <si>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</si>
  <si>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</si>
  <si>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</si>
  <si>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</si>
  <si>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</si>
  <si>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</si>
  <si>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</si>
  <si>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</si>
  <si>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</si>
  <si>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</si>
  <si>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</si>
  <si>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</si>
  <si>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</si>
  <si>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</si>
  <si>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</si>
  <si>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</si>
  <si>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</si>
  <si>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</si>
  <si>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</si>
  <si>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</si>
  <si>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</si>
  <si>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</si>
  <si>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</si>
  <si>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</si>
  <si>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</si>
  <si>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</si>
  <si>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</si>
  <si>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</si>
  <si>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</si>
  <si>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</si>
  <si>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</si>
  <si>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</si>
  <si>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</si>
  <si>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</si>
  <si>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</si>
  <si>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</si>
  <si>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</si>
  <si>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</si>
  <si>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</si>
  <si>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</si>
  <si>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</si>
  <si>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</si>
  <si>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</si>
  <si>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</si>
  <si>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</si>
  <si>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</si>
  <si>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</si>
  <si>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</si>
  <si>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</si>
  <si>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</si>
  <si>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</si>
  <si>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</si>
  <si>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</si>
  <si>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</si>
  <si>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</si>
  <si>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</si>
  <si>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</si>
  <si>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</si>
  <si>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</si>
  <si>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</si>
  <si>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</si>
  <si>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</si>
  <si>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</si>
  <si>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</si>
  <si>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</si>
  <si>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</si>
  <si>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</si>
  <si>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</si>
  <si>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</si>
  <si>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</si>
  <si>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</si>
  <si>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</si>
  <si>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</si>
  <si>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</si>
  <si>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</si>
  <si>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</si>
  <si>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</si>
  <si>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</si>
  <si>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</si>
  <si>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</si>
  <si>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</si>
  <si>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</si>
  <si>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</si>
  <si>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</si>
  <si>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</si>
  <si>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</si>
  <si>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</si>
  <si>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</si>
  <si>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</si>
  <si>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</si>
  <si>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</si>
  <si>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</si>
  <si>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</si>
  <si>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</si>
  <si>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</si>
  <si>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</si>
  <si>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</si>
  <si>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</si>
  <si>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</si>
  <si>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</si>
  <si>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</si>
  <si>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</si>
  <si>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</si>
  <si>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</si>
  <si>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</si>
  <si>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</si>
  <si>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</si>
  <si>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</si>
  <si>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</si>
  <si>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</si>
  <si>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</si>
  <si>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</si>
  <si>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</si>
  <si>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</si>
  <si>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</si>
  <si>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</si>
  <si>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</si>
  <si>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</si>
  <si>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</si>
  <si>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</si>
  <si>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</si>
  <si>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</si>
  <si>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</si>
  <si>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</si>
  <si>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</si>
  <si>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</si>
  <si>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</si>
  <si>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</si>
  <si>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</si>
  <si>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</si>
  <si>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</si>
  <si>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</si>
  <si>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</si>
  <si>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</si>
  <si>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</si>
  <si>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</si>
  <si>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</si>
  <si>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</si>
  <si>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</si>
  <si>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</si>
  <si>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</si>
  <si>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</si>
  <si>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</si>
  <si>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</si>
  <si>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</si>
  <si>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</si>
  <si>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</si>
  <si>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</si>
  <si>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</si>
  <si>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</si>
  <si>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</si>
  <si>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</si>
  <si>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</si>
  <si>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</si>
  <si>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</si>
  <si>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</si>
  <si>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</si>
  <si>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</si>
  <si>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</si>
  <si>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</si>
  <si>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</si>
  <si>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</si>
  <si>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</si>
  <si>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</si>
  <si>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</si>
  <si>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</si>
  <si>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</si>
  <si>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</si>
  <si>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</si>
  <si>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</si>
  <si>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</si>
  <si>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</si>
  <si>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</si>
  <si>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</si>
  <si>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</si>
  <si>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</si>
  <si>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</si>
  <si>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</si>
  <si>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</si>
  <si>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</si>
  <si>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</si>
  <si>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</si>
  <si>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</si>
  <si>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</si>
  <si>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</si>
  <si>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</si>
  <si>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</si>
  <si>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</si>
  <si>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</si>
  <si>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</si>
  <si>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</si>
  <si>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</si>
  <si>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</si>
  <si>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</si>
  <si>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</si>
  <si>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</si>
  <si>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</si>
  <si>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</si>
  <si>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</si>
  <si>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</si>
  <si>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</si>
  <si>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</si>
  <si>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</si>
  <si>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</si>
  <si>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</si>
  <si>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</si>
  <si>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</si>
  <si>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</si>
  <si>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</si>
  <si>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</si>
  <si>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</si>
  <si>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</si>
  <si>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</si>
  <si>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</si>
  <si>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</si>
  <si>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</si>
  <si>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</si>
  <si>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</si>
  <si>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</si>
  <si>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</si>
  <si>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</si>
  <si>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</si>
  <si>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</si>
  <si>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</si>
  <si>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</si>
  <si>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</si>
  <si>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</si>
  <si>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</si>
  <si>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</si>
  <si>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</si>
  <si>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</si>
  <si>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</si>
  <si>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</si>
  <si>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</si>
  <si>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</si>
  <si>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</si>
  <si>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</si>
  <si>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</si>
  <si>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</si>
  <si>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</si>
  <si>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</si>
  <si>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</si>
  <si>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</si>
  <si>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</si>
  <si>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</si>
  <si>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</si>
  <si>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</si>
  <si>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</si>
  <si>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</si>
  <si>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</si>
  <si>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</si>
  <si>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</si>
  <si>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</si>
  <si>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</si>
  <si>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</si>
  <si>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</si>
  <si>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</si>
  <si>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</si>
  <si>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</si>
  <si>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</si>
  <si>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</si>
  <si>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</si>
  <si>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</si>
  <si>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</si>
  <si>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</si>
  <si>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</si>
  <si>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</si>
  <si>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</si>
  <si>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</si>
  <si>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</si>
  <si>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</si>
  <si>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</si>
  <si>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</si>
  <si>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</si>
  <si>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</si>
  <si>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</si>
  <si>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</si>
  <si>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</si>
  <si>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</si>
  <si>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</si>
  <si>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</si>
  <si>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</si>
  <si>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</si>
  <si>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</si>
  <si>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</si>
  <si>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</si>
  <si>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</si>
  <si>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</si>
  <si>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</si>
  <si>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</si>
  <si>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</si>
  <si>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</si>
  <si>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</si>
  <si>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</si>
  <si>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</si>
  <si>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</si>
  <si>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</si>
  <si>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</si>
  <si>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</si>
  <si>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</si>
  <si>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</si>
  <si>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</si>
  <si>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</si>
  <si>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</si>
  <si>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</si>
  <si>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</si>
  <si>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</si>
  <si>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</si>
  <si>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</si>
  <si>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</si>
  <si>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</si>
  <si>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</si>
  <si>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</si>
  <si>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</si>
  <si>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</si>
  <si>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</si>
  <si>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</si>
  <si>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</si>
  <si>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</si>
  <si>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</si>
  <si>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</si>
  <si>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</si>
  <si>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</si>
  <si>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</si>
  <si>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</si>
  <si>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</si>
  <si>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</si>
  <si>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</si>
  <si>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</si>
  <si>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</si>
  <si>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</si>
  <si>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</si>
  <si>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</si>
  <si>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</si>
  <si>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</si>
  <si>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</si>
  <si>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</si>
  <si>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</si>
  <si>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</si>
  <si>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</si>
  <si>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</si>
  <si>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</si>
  <si>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</si>
  <si>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</si>
  <si>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</si>
  <si>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</si>
  <si>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</si>
  <si>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</si>
  <si>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</si>
  <si>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</si>
  <si>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</si>
  <si>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</si>
  <si>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</si>
  <si>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</si>
  <si>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</si>
  <si>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</si>
  <si>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</si>
  <si>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</si>
  <si>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</si>
  <si>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</si>
  <si>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</si>
  <si>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</si>
  <si>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</si>
  <si>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</si>
  <si>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</si>
  <si>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</si>
  <si>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</si>
  <si>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</si>
  <si>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</si>
  <si>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</si>
  <si>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</si>
  <si>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</si>
  <si>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</si>
  <si>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</si>
  <si>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</si>
  <si>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</si>
  <si>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</si>
  <si>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</si>
  <si>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</si>
  <si>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</si>
  <si>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</si>
  <si>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</si>
  <si>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</si>
  <si>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</si>
  <si>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</si>
  <si>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</si>
  <si>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</si>
  <si>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</si>
  <si>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</si>
  <si>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</si>
  <si>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</si>
  <si>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</si>
  <si>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</si>
  <si>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</si>
  <si>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</si>
  <si>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</si>
  <si>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</si>
  <si>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</si>
  <si>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</si>
  <si>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</si>
  <si>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</si>
  <si>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</si>
  <si>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</si>
  <si>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</si>
  <si>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</si>
  <si>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</si>
  <si>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</si>
  <si>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</si>
  <si>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</si>
  <si>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</si>
  <si>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</si>
  <si>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</si>
  <si>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</si>
  <si>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</si>
  <si>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</si>
  <si>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</si>
  <si>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</si>
  <si>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</si>
  <si>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</si>
  <si>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</si>
  <si>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</si>
  <si>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</si>
  <si>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</si>
  <si>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</si>
  <si>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</si>
  <si>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</si>
  <si>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</si>
  <si>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</si>
  <si>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</si>
  <si>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</si>
  <si>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</si>
  <si>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</si>
  <si>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</si>
  <si>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</si>
  <si>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</si>
  <si>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</si>
  <si>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</si>
  <si>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</si>
  <si>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</si>
  <si>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</si>
  <si>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</si>
  <si>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</si>
  <si>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</si>
  <si>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</si>
  <si>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</si>
  <si>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</si>
  <si>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</si>
  <si>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</si>
  <si>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</si>
  <si>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</si>
  <si>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</si>
  <si>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</si>
  <si>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</si>
  <si>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</si>
  <si>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</si>
  <si>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</si>
  <si>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</si>
  <si>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</si>
  <si>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</si>
  <si>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</si>
  <si>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</si>
  <si>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</si>
  <si>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</si>
  <si>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</si>
  <si>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</si>
  <si>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</si>
  <si>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</si>
  <si>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</si>
  <si>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</si>
  <si>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</si>
  <si>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</si>
  <si>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</si>
  <si>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</si>
  <si>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</si>
  <si>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</si>
  <si>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</si>
  <si>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</si>
  <si>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</si>
  <si>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</si>
  <si>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</si>
  <si>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</si>
  <si>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</si>
  <si>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</si>
  <si>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</si>
  <si>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</si>
  <si>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</si>
  <si>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</si>
  <si>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</si>
  <si>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</si>
  <si>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</si>
  <si>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</si>
  <si>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</si>
  <si>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</si>
  <si>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</si>
  <si>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</si>
  <si>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</si>
  <si>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</si>
  <si>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</si>
  <si>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</si>
  <si>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</si>
  <si>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</si>
  <si>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</si>
  <si>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</si>
  <si>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</si>
  <si>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</si>
  <si>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</si>
  <si>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</si>
  <si>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</si>
  <si>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</si>
  <si>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</si>
  <si>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</si>
  <si>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</si>
  <si>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</si>
  <si>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</si>
  <si>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</si>
  <si>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</si>
  <si>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</si>
  <si>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</si>
  <si>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</si>
  <si>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</si>
  <si>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</si>
  <si>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</si>
  <si>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</si>
  <si>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</si>
  <si>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</si>
  <si>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</si>
  <si>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</si>
  <si>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</si>
  <si>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</si>
  <si>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</si>
  <si>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</si>
  <si>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</si>
  <si>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</si>
  <si>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</si>
  <si>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</si>
  <si>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</si>
  <si>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</si>
  <si>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</si>
  <si>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</si>
  <si>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</si>
  <si>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</si>
  <si>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</si>
  <si>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</si>
  <si>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</si>
  <si>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</si>
  <si>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</si>
  <si>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</si>
  <si>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</si>
  <si>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</si>
  <si>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</si>
  <si>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</si>
  <si>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</si>
  <si>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</si>
  <si>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</si>
  <si>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</si>
  <si>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</si>
  <si>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</si>
  <si>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</si>
  <si>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</si>
  <si>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</si>
  <si>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</si>
  <si>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</si>
  <si>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</si>
  <si>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</si>
  <si>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</si>
  <si>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</si>
  <si>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</si>
  <si>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</si>
  <si>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</si>
  <si>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</si>
  <si>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</si>
  <si>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</si>
  <si>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</si>
  <si>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</si>
  <si>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</si>
  <si>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</si>
  <si>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</si>
  <si>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</si>
  <si>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</si>
  <si>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</si>
  <si>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</si>
  <si>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</si>
  <si>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</si>
  <si>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</si>
  <si>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</si>
  <si>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</si>
  <si>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</si>
  <si>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</si>
  <si>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</si>
  <si>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</si>
  <si>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</si>
  <si>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</si>
  <si>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</si>
  <si>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</si>
  <si>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</si>
  <si>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</si>
  <si>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</si>
  <si>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</si>
  <si>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</si>
  <si>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</si>
  <si>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</si>
  <si>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</si>
  <si>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</si>
  <si>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</si>
  <si>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</si>
  <si>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</si>
  <si>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</si>
  <si>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</si>
  <si>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</si>
  <si>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</si>
  <si>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</si>
  <si>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</si>
  <si>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</si>
  <si>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</si>
  <si>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</si>
  <si>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</si>
  <si>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</si>
  <si>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</si>
  <si>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</si>
  <si>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</si>
  <si>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</si>
  <si>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</si>
  <si>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</si>
  <si>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</si>
  <si>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</si>
  <si>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</si>
  <si>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</si>
  <si>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</si>
  <si>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</si>
  <si>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</si>
  <si>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</si>
  <si>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</si>
  <si>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</si>
  <si>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</si>
  <si>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</si>
  <si>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</si>
  <si>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</si>
  <si>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</si>
  <si>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</si>
  <si>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</si>
  <si>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</si>
  <si>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</si>
  <si>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</si>
  <si>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</si>
  <si>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</si>
  <si>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</si>
  <si>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</si>
  <si>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</si>
  <si>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</si>
  <si>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</si>
  <si>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</si>
  <si>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</si>
  <si>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</si>
  <si>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</si>
  <si>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</si>
  <si>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</si>
  <si>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</si>
  <si>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</si>
  <si>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</si>
  <si>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</si>
  <si>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</si>
  <si>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</si>
  <si>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</si>
  <si>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</si>
  <si>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</si>
  <si>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</si>
  <si>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</si>
  <si>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</si>
  <si>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</si>
  <si>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</si>
  <si>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</si>
  <si>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</si>
  <si>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</si>
  <si>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</si>
  <si>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</si>
  <si>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</si>
  <si>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</si>
  <si>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</si>
  <si>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</si>
  <si>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</si>
  <si>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</si>
  <si>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</si>
  <si>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</si>
  <si>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</si>
  <si>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</si>
  <si>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</si>
  <si>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</si>
  <si>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</si>
  <si>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</si>
  <si>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</si>
  <si>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</si>
  <si>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</si>
  <si>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</si>
  <si>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</si>
  <si>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</si>
  <si>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</si>
  <si>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</si>
  <si>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</si>
  <si>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</si>
  <si>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</si>
  <si>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</si>
  <si>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</si>
  <si>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</si>
  <si>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</si>
  <si>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</si>
  <si>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</si>
  <si>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</si>
  <si>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</si>
  <si>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</si>
  <si>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</si>
  <si>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</si>
  <si>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</si>
  <si>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</si>
  <si>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</si>
  <si>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</si>
  <si>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</si>
  <si>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</si>
  <si>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</si>
  <si>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</si>
  <si>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</si>
  <si>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</si>
  <si>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</si>
  <si>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</si>
  <si>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</si>
  <si>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</si>
  <si>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</si>
  <si>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</si>
  <si>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</si>
  <si>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</si>
  <si>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</si>
  <si>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</si>
  <si>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</si>
  <si>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</si>
  <si>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</si>
  <si>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</si>
  <si>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</si>
  <si>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</si>
  <si>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</si>
  <si>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</si>
  <si>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</si>
  <si>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</si>
  <si>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</si>
  <si>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</si>
  <si>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</si>
  <si>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</si>
  <si>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</si>
  <si>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</si>
  <si>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</si>
  <si>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</si>
  <si>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</si>
  <si>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</si>
  <si>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</si>
  <si>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</si>
  <si>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</si>
  <si>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</si>
  <si>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</si>
  <si>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</si>
  <si>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</si>
  <si>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</si>
  <si>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</si>
  <si>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</si>
  <si>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</si>
  <si>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</si>
  <si>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</si>
  <si>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</si>
  <si>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</si>
  <si>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</si>
  <si>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</si>
  <si>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</si>
  <si>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</si>
  <si>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</si>
  <si>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</si>
  <si>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</si>
  <si>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</si>
  <si>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</si>
  <si>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</si>
  <si>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</si>
  <si>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</si>
  <si>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</si>
  <si>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</si>
  <si>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</si>
  <si>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</si>
  <si>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</si>
  <si>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</si>
  <si>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</si>
  <si>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</si>
  <si>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</si>
  <si>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</si>
  <si>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</si>
  <si>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</si>
  <si>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</si>
  <si>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</si>
  <si>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</si>
  <si>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</si>
  <si>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</si>
  <si>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</si>
  <si>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</si>
  <si>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</si>
  <si>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</si>
  <si>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</si>
  <si>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</si>
  <si>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</si>
  <si>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</si>
  <si>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</si>
  <si>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</si>
  <si>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</si>
  <si>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</si>
  <si>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</si>
  <si>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</si>
  <si>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</si>
  <si>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</si>
  <si>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2018-3</t>
    <phoneticPr fontId="4" type="noConversion"/>
  </si>
  <si>
    <t>2018-2</t>
    <phoneticPr fontId="4" type="noConversion"/>
  </si>
  <si>
    <t>2018-4</t>
    <phoneticPr fontId="4" type="noConversion"/>
  </si>
  <si>
    <t>年度</t>
  </si>
  <si>
    <t>月份</t>
  </si>
  <si>
    <t>区县</t>
  </si>
  <si>
    <t>项目名称</t>
  </si>
  <si>
    <t>四至</t>
  </si>
  <si>
    <t>开发主体</t>
  </si>
  <si>
    <t>项目类型</t>
  </si>
  <si>
    <t>规划用途</t>
  </si>
  <si>
    <t>市政条件</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</si>
  <si>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</si>
  <si>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</si>
  <si>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</si>
  <si>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一级开发</t>
  </si>
  <si>
    <t>7月</t>
  </si>
  <si>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</si>
  <si>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</si>
  <si>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</si>
  <si>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</si>
  <si>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</si>
  <si>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</si>
  <si>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</si>
  <si>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</si>
  <si>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</si>
  <si>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</si>
  <si>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</si>
  <si>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</si>
  <si>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</si>
  <si>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地上</t>
  </si>
  <si>
    <t>核定资产</t>
  </si>
  <si>
    <t>市场价格</t>
  </si>
  <si>
    <t>海淀区清河安宁庄东路1号</t>
    <phoneticPr fontId="7" type="noConversion"/>
  </si>
  <si>
    <t>企业</t>
  </si>
  <si>
    <t>北京金隅股份有限公司</t>
    <phoneticPr fontId="7" type="noConversion"/>
  </si>
  <si>
    <t>工交</t>
    <phoneticPr fontId="7" type="noConversion"/>
  </si>
  <si>
    <t>一致</t>
  </si>
  <si>
    <t>出让</t>
  </si>
  <si>
    <t>京房权证海股移字第0110433号</t>
    <phoneticPr fontId="4" type="noConversion"/>
  </si>
  <si>
    <t>平房</t>
  </si>
  <si>
    <t>平房</t>
    <phoneticPr fontId="15" type="noConversion"/>
  </si>
  <si>
    <t>征收补偿安置费</t>
  </si>
  <si>
    <r>
      <rPr>
        <sz val="11"/>
        <color theme="1"/>
        <rFont val="宋体"/>
        <family val="3"/>
        <charset val="134"/>
      </rPr>
      <t>地下</t>
    </r>
    <r>
      <rPr>
        <sz val="11"/>
        <color theme="1"/>
        <rFont val="Arial"/>
        <family val="2"/>
      </rPr>
      <t>1</t>
    </r>
    <phoneticPr fontId="15" type="noConversion"/>
  </si>
  <si>
    <t>京房权证海股移字第0110434号</t>
    <phoneticPr fontId="4" type="noConversion"/>
  </si>
  <si>
    <t>Ⅴ-01</t>
  </si>
  <si>
    <t>自定义容积率</t>
  </si>
  <si>
    <t>工业用地</t>
  </si>
  <si>
    <t>三通一平</t>
  </si>
  <si>
    <t>缺少</t>
  </si>
  <si>
    <t>通下水</t>
  </si>
  <si>
    <t>通热</t>
  </si>
  <si>
    <t>燃气</t>
  </si>
  <si>
    <t>通讯</t>
  </si>
  <si>
    <t>容积率修正</t>
  </si>
  <si>
    <t>一般</t>
  </si>
  <si>
    <t>较好</t>
  </si>
  <si>
    <t>差</t>
  </si>
  <si>
    <t>成本逼近法</t>
  </si>
  <si>
    <t>搬迁费</t>
    <phoneticPr fontId="234" type="noConversion"/>
  </si>
  <si>
    <t>建筑面积</t>
    <phoneticPr fontId="234" type="noConversion"/>
  </si>
  <si>
    <t>补偿标准（元/平方米）</t>
    <phoneticPr fontId="234" type="noConversion"/>
  </si>
  <si>
    <t>合计（万元）</t>
    <phoneticPr fontId="234" type="noConversion"/>
  </si>
  <si>
    <r>
      <rPr>
        <sz val="9"/>
        <color theme="1"/>
        <rFont val="宋体"/>
        <family val="3"/>
        <charset val="134"/>
      </rPr>
      <t>用途</t>
    </r>
  </si>
  <si>
    <r>
      <rPr>
        <sz val="9"/>
        <color theme="1"/>
        <rFont val="宋体"/>
        <family val="3"/>
        <charset val="134"/>
      </rPr>
      <t>幢号</t>
    </r>
  </si>
  <si>
    <r>
      <rPr>
        <sz val="9"/>
        <color theme="1"/>
        <rFont val="宋体"/>
        <family val="3"/>
        <charset val="134"/>
      </rPr>
      <t>结构</t>
    </r>
  </si>
  <si>
    <r>
      <rPr>
        <sz val="9"/>
        <color theme="1"/>
        <rFont val="宋体"/>
        <family val="3"/>
        <charset val="134"/>
      </rPr>
      <t>所在层次</t>
    </r>
    <phoneticPr fontId="234" type="noConversion"/>
  </si>
  <si>
    <r>
      <rPr>
        <sz val="9"/>
        <color theme="1"/>
        <rFont val="宋体"/>
        <family val="3"/>
        <charset val="134"/>
      </rPr>
      <t>建成年代</t>
    </r>
    <r>
      <rPr>
        <sz val="9"/>
        <color theme="1"/>
        <rFont val="Arial"/>
        <family val="2"/>
      </rPr>
      <t>(</t>
    </r>
    <r>
      <rPr>
        <sz val="9"/>
        <color theme="1"/>
        <rFont val="宋体"/>
        <family val="3"/>
        <charset val="134"/>
      </rPr>
      <t>年）</t>
    </r>
  </si>
  <si>
    <r>
      <rPr>
        <sz val="9"/>
        <color theme="1"/>
        <rFont val="宋体"/>
        <family val="3"/>
        <charset val="134"/>
      </rPr>
      <t>建筑面积（㎡）</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</si>
  <si>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</si>
  <si>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</si>
  <si>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</si>
  <si>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</si>
  <si>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</si>
  <si>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</si>
  <si>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</si>
  <si>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r>
      <rPr>
        <sz val="9"/>
        <color theme="1"/>
        <rFont val="宋体"/>
        <family val="3"/>
        <charset val="134"/>
      </rPr>
      <t>成新率（</t>
    </r>
    <r>
      <rPr>
        <sz val="9"/>
        <color theme="1"/>
        <rFont val="Arial"/>
        <family val="2"/>
      </rPr>
      <t>%</t>
    </r>
    <r>
      <rPr>
        <sz val="9"/>
        <color theme="1"/>
        <rFont val="宋体"/>
        <family val="3"/>
        <charset val="134"/>
      </rPr>
      <t>）</t>
    </r>
  </si>
  <si>
    <t>单方重置现价（元）</t>
    <phoneticPr fontId="234" type="noConversion"/>
  </si>
  <si>
    <r>
      <rPr>
        <sz val="9"/>
        <color theme="1"/>
        <rFont val="宋体"/>
        <family val="3"/>
        <charset val="134"/>
      </rPr>
      <t>重置现价评估总值（万元）</t>
    </r>
  </si>
  <si>
    <t>投资利润</t>
    <phoneticPr fontId="234" type="noConversion"/>
  </si>
  <si>
    <r>
      <rPr>
        <sz val="11"/>
        <color theme="1"/>
        <rFont val="宋体"/>
        <family val="3"/>
        <charset val="134"/>
      </rPr>
      <t>混合</t>
    </r>
    <phoneticPr fontId="234" type="noConversion"/>
  </si>
  <si>
    <t>合计</t>
    <phoneticPr fontId="234" type="noConversion"/>
  </si>
  <si>
    <t>用于生产经营的非住宅房屋的月租金</t>
    <phoneticPr fontId="234" type="noConversion"/>
  </si>
  <si>
    <t>日租金（元/平方米）</t>
    <phoneticPr fontId="234" type="noConversion"/>
  </si>
  <si>
    <t>天数（天）</t>
    <phoneticPr fontId="234" type="noConversion"/>
  </si>
  <si>
    <t>面积（平方米）</t>
    <phoneticPr fontId="234" type="noConversion"/>
  </si>
  <si>
    <t>月净利润</t>
    <phoneticPr fontId="234" type="noConversion"/>
  </si>
  <si>
    <t>停产停业损失补偿费=（用于生产经营的非住宅房屋的月租金+月净利润×修正系数+员工月生活补助）×停产停业补偿期限</t>
    <phoneticPr fontId="234" type="noConversion"/>
  </si>
  <si>
    <t>年度</t>
    <phoneticPr fontId="234" type="noConversion"/>
  </si>
  <si>
    <t>1-5月</t>
    <phoneticPr fontId="234" type="noConversion"/>
  </si>
  <si>
    <t>月度</t>
    <phoneticPr fontId="234" type="noConversion"/>
  </si>
  <si>
    <r>
      <t>2</t>
    </r>
    <r>
      <rPr>
        <sz val="11"/>
        <color theme="1"/>
        <rFont val="宋体"/>
        <family val="3"/>
        <charset val="134"/>
        <scheme val="minor"/>
      </rPr>
      <t>017年净利润</t>
    </r>
    <phoneticPr fontId="234" type="noConversion"/>
  </si>
  <si>
    <t>——</t>
    <phoneticPr fontId="234" type="noConversion"/>
  </si>
  <si>
    <t>2018年1-5月净利润</t>
    <phoneticPr fontId="234" type="noConversion"/>
  </si>
  <si>
    <r>
      <t>前12个月</t>
    </r>
    <r>
      <rPr>
        <sz val="11"/>
        <color theme="1"/>
        <rFont val="宋体"/>
        <family val="3"/>
        <charset val="134"/>
        <scheme val="minor"/>
      </rPr>
      <t>平均净利润</t>
    </r>
    <phoneticPr fontId="234" type="noConversion"/>
  </si>
  <si>
    <t>修正系数</t>
    <phoneticPr fontId="234" type="noConversion"/>
  </si>
  <si>
    <t>员工月生活补助</t>
    <phoneticPr fontId="234" type="noConversion"/>
  </si>
  <si>
    <t>人数</t>
    <phoneticPr fontId="234" type="noConversion"/>
  </si>
  <si>
    <t>补偿金额(元/月）</t>
    <phoneticPr fontId="234" type="noConversion"/>
  </si>
  <si>
    <t>停产停业补偿期限</t>
    <phoneticPr fontId="234" type="noConversion"/>
  </si>
  <si>
    <t>期限（月）</t>
    <phoneticPr fontId="234" type="noConversion"/>
  </si>
  <si>
    <t>被征收房屋容积率小于0.5的修正</t>
    <phoneticPr fontId="234" type="noConversion"/>
  </si>
  <si>
    <t>02</t>
    <phoneticPr fontId="234" type="noConversion"/>
  </si>
  <si>
    <t>01</t>
    <phoneticPr fontId="234" type="noConversion"/>
  </si>
  <si>
    <t>钢混</t>
    <phoneticPr fontId="234" type="noConversion"/>
  </si>
  <si>
    <t>03(-01)</t>
    <phoneticPr fontId="234" type="noConversion"/>
  </si>
  <si>
    <t>06</t>
    <phoneticPr fontId="234" type="noConversion"/>
  </si>
  <si>
    <t>03</t>
    <phoneticPr fontId="234" type="noConversion"/>
  </si>
  <si>
    <t>04</t>
    <phoneticPr fontId="234" type="noConversion"/>
  </si>
  <si>
    <t>案例</t>
  </si>
  <si>
    <t>案例名称</t>
  </si>
  <si>
    <t>坐落位置</t>
  </si>
  <si>
    <r>
      <t>建筑面积（</t>
    </r>
    <r>
      <rPr>
        <sz val="10"/>
        <color theme="1"/>
        <rFont val="宋体"/>
        <family val="3"/>
        <charset val="134"/>
      </rPr>
      <t>㎡</t>
    </r>
    <r>
      <rPr>
        <sz val="10"/>
        <color theme="1"/>
        <rFont val="仿宋_GB2312"/>
        <family val="3"/>
        <charset val="134"/>
      </rPr>
      <t>）</t>
    </r>
  </si>
  <si>
    <t>装修状况</t>
  </si>
  <si>
    <t>交易日期</t>
  </si>
  <si>
    <t>成交租赁单价</t>
  </si>
  <si>
    <r>
      <t>（元/</t>
    </r>
    <r>
      <rPr>
        <sz val="10"/>
        <color theme="1"/>
        <rFont val="宋体"/>
        <family val="3"/>
        <charset val="134"/>
      </rPr>
      <t>㎡·</t>
    </r>
    <r>
      <rPr>
        <sz val="10"/>
        <color theme="1"/>
        <rFont val="仿宋_GB2312"/>
        <family val="3"/>
        <charset val="134"/>
      </rPr>
      <t>日）</t>
    </r>
  </si>
  <si>
    <t>海淀区北清路北侧工业用房</t>
  </si>
  <si>
    <t>海淀区北清路北侧</t>
  </si>
  <si>
    <t>简单装修</t>
  </si>
  <si>
    <t>海淀区双坡路北工业用房</t>
  </si>
  <si>
    <t>海淀区双坡路北</t>
  </si>
  <si>
    <t>海淀区冷泉路东侧工业用房</t>
  </si>
  <si>
    <t>海淀区冷泉路东侧</t>
  </si>
  <si>
    <t>估价对象</t>
  </si>
  <si>
    <t>实例A</t>
  </si>
  <si>
    <t>实例B</t>
  </si>
  <si>
    <t>实例C</t>
  </si>
  <si>
    <r>
      <t>成交租赁单价(元/</t>
    </r>
    <r>
      <rPr>
        <sz val="10"/>
        <color theme="1"/>
        <rFont val="宋体"/>
        <family val="3"/>
        <charset val="134"/>
      </rPr>
      <t>㎡·</t>
    </r>
    <r>
      <rPr>
        <sz val="10"/>
        <color theme="1"/>
        <rFont val="仿宋_GB2312"/>
        <family val="3"/>
        <charset val="134"/>
      </rPr>
      <t>日)</t>
    </r>
  </si>
  <si>
    <t>待 估</t>
  </si>
  <si>
    <t>用途</t>
  </si>
  <si>
    <t>交易情况</t>
  </si>
  <si>
    <t>正 常</t>
  </si>
  <si>
    <t>区位状况</t>
  </si>
  <si>
    <t>位置</t>
  </si>
  <si>
    <t>位于海淀区建材城中路东，北五环外，距离京藏高速路约2.7公里，位置较好</t>
  </si>
  <si>
    <t>位于海淀区北清路北侧，西北五环外，距离京新高速约5.5公里，位置较好</t>
  </si>
  <si>
    <t>位于海淀区双坡路北，西北五环外，距离西六环约3公里，位置较好</t>
  </si>
  <si>
    <t>位于海淀区冷泉路东侧，西北五环外，距离京新高速约7公里，位置较好</t>
  </si>
  <si>
    <t>产业集聚度</t>
  </si>
  <si>
    <t>周边以产业用地为主，兼有市政设施及居住、商服配套用地，西南向1公里为中关村东升科技园，产业集聚程度较好。</t>
  </si>
  <si>
    <t>周边以农村集体土地为主，邻近永丰产业园，产业集聚程度一般</t>
  </si>
  <si>
    <t>周边以农村集体土地为主，产业集聚程度一般</t>
  </si>
  <si>
    <t>以农村集体土地为主，兼有居住、教育配套用地，产业集聚程度一般</t>
  </si>
  <si>
    <t>交通条件</t>
  </si>
  <si>
    <t>周边路网密集，距离地铁8号线西小口站约1.6公里，附近设有公交车站，有多条公交线路通达，整体交通较便捷。</t>
  </si>
  <si>
    <t>周边路网密集，距离地铁16号线屯佃站约1.7公里，附近设有公交车站，有多条公交线路通达，整体交通较便捷。</t>
  </si>
  <si>
    <t>距离地铁16号线温阳路站约2.8公里，距离公交车站较远，整体交通便捷度一般。</t>
  </si>
  <si>
    <t>距离地铁16号线西北旺站约4.6公里，附近设有公交车站，有多条公交线路通达，整体交通便捷度一般。</t>
  </si>
  <si>
    <t>公共服务配套设施完备度</t>
  </si>
  <si>
    <t>医院、超市、学校、银行等配套设施较完备</t>
  </si>
  <si>
    <t>公共服务配套设施完备度较差</t>
  </si>
  <si>
    <t>环境状况</t>
  </si>
  <si>
    <t>环境状况较好</t>
  </si>
  <si>
    <t>实物状况</t>
  </si>
  <si>
    <t>建筑结构</t>
  </si>
  <si>
    <t>砖混结构</t>
  </si>
  <si>
    <t>建筑规模</t>
  </si>
  <si>
    <t>94.7平方米</t>
  </si>
  <si>
    <t>800平方米</t>
  </si>
  <si>
    <t>360平方米</t>
  </si>
  <si>
    <t>450平方米</t>
  </si>
  <si>
    <t>地质条件</t>
  </si>
  <si>
    <t>地质条件好，适合做建筑基地</t>
  </si>
  <si>
    <t>土地开发程度</t>
  </si>
  <si>
    <t>宗地外七通</t>
  </si>
  <si>
    <t>装饰装修</t>
  </si>
  <si>
    <t>新旧程度</t>
  </si>
  <si>
    <t>使用维护较差，成新一般</t>
  </si>
  <si>
    <t>权益状况</t>
  </si>
  <si>
    <t>共有情况</t>
  </si>
  <si>
    <t>单独所有</t>
  </si>
  <si>
    <t>担保物权设立状况</t>
  </si>
  <si>
    <t>无抵押权</t>
  </si>
  <si>
    <t>因素调整说明</t>
  </si>
  <si>
    <r>
      <t>成交租赁单价(元/</t>
    </r>
    <r>
      <rPr>
        <sz val="10"/>
        <color theme="1"/>
        <rFont val="宋体"/>
        <family val="3"/>
        <charset val="134"/>
      </rPr>
      <t>㎡·</t>
    </r>
    <r>
      <rPr>
        <sz val="10"/>
        <color theme="1"/>
        <rFont val="仿宋_GB2312"/>
        <family val="3"/>
        <charset val="134"/>
      </rPr>
      <t>日）</t>
    </r>
  </si>
  <si>
    <t>/</t>
  </si>
  <si>
    <t>估价对象的估价期日与可比案例交易日期接近，故此项不做调整。</t>
  </si>
  <si>
    <t>估价对象与比较案例均为工业用地上房屋，故此项不做调整。</t>
  </si>
  <si>
    <t>估价对象与可比案例交易情况均为公开市场条件下的正常交易，故此项不作修正。</t>
  </si>
  <si>
    <t>分为好、较好、一般、较差、差五个等级，每相差一个等级调整5。</t>
  </si>
  <si>
    <t>按好、较好、一般、较差、差五个等级，每相差一个等级调整3。</t>
  </si>
  <si>
    <t>按便捷、较便捷、一般、较不便捷、不便捷五个等级，每相差一个等级调整2。</t>
  </si>
  <si>
    <t>按完备、较完备、一般、较差、差五个等级，每相差一个等级调整1。</t>
  </si>
  <si>
    <t>分为好、较好、一般、较差、差五个等级，每相差一个等级调整1。</t>
  </si>
  <si>
    <t>实物状况　</t>
  </si>
  <si>
    <t>分为钢、钢混、砖混、砖木，每相差一个等级调整2。</t>
  </si>
  <si>
    <t>作为工业用房，估价对象房屋面积过小，因此，案例2、案例3向上调整2，案例1向上调整4。</t>
  </si>
  <si>
    <t>估价对象与可比案例地质条件好，都适合做建筑基地，故，不作调整。</t>
  </si>
  <si>
    <t>每相差一通，调整1。</t>
  </si>
  <si>
    <t>分为毛坯、简单装修、中等装修、精装修四个等级，每差一个等级调整3。</t>
  </si>
  <si>
    <t>分为高、较高、一般、较低、低五个等级，每相差一个等级调整3。</t>
  </si>
  <si>
    <t>权益状况　</t>
  </si>
  <si>
    <t>估价对象与可比案例均为单独所有，故不做调整。</t>
  </si>
  <si>
    <t>估价对象与可比案例均未设立抵押权，故不做调整。</t>
  </si>
  <si>
    <t>调整系数</t>
  </si>
  <si>
    <r>
      <t>比准价格（元/</t>
    </r>
    <r>
      <rPr>
        <sz val="10"/>
        <color theme="1"/>
        <rFont val="宋体"/>
        <family val="3"/>
        <charset val="134"/>
      </rPr>
      <t>㎡</t>
    </r>
    <r>
      <rPr>
        <sz val="10"/>
        <color theme="1"/>
        <rFont val="仿宋_GB2312"/>
        <family val="3"/>
        <charset val="134"/>
      </rPr>
      <t>/日）</t>
    </r>
  </si>
  <si>
    <r>
      <t>估价对象房屋租金（元/</t>
    </r>
    <r>
      <rPr>
        <sz val="10"/>
        <color theme="1"/>
        <rFont val="宋体"/>
        <family val="3"/>
        <charset val="134"/>
      </rPr>
      <t>㎡</t>
    </r>
    <r>
      <rPr>
        <sz val="10"/>
        <color theme="1"/>
        <rFont val="仿宋_GB2312"/>
        <family val="3"/>
        <charset val="134"/>
      </rPr>
      <t>/日）</t>
    </r>
  </si>
  <si>
    <t>取三个比准价格简单算术平均值</t>
  </si>
  <si>
    <t>按公示增长率计算</t>
  </si>
  <si>
    <t>X京房权证海字第143645号</t>
    <phoneticPr fontId="4" type="noConversion"/>
  </si>
  <si>
    <t>京房权证海其更字第0109921号</t>
    <phoneticPr fontId="4" type="noConversion"/>
  </si>
  <si>
    <t>京房权证海股字第0110559号</t>
    <phoneticPr fontId="4" type="noConversion"/>
  </si>
  <si>
    <t>京房权证海股字第0110567号</t>
    <phoneticPr fontId="4" type="noConversion"/>
  </si>
  <si>
    <t>京房权证海股字第0110573号</t>
    <phoneticPr fontId="4" type="noConversion"/>
  </si>
  <si>
    <t>京房权证海股字第0110574号</t>
    <phoneticPr fontId="4" type="noConversion"/>
  </si>
  <si>
    <t>01</t>
  </si>
  <si>
    <t>环境状况一般</t>
    <phoneticPr fontId="234" type="noConversion"/>
  </si>
  <si>
    <t>序号</t>
    <phoneticPr fontId="234" type="noConversion"/>
  </si>
  <si>
    <t>名称</t>
    <phoneticPr fontId="234" type="noConversion"/>
  </si>
  <si>
    <t>单位</t>
    <phoneticPr fontId="234" type="noConversion"/>
  </si>
  <si>
    <t>数量</t>
    <phoneticPr fontId="234" type="noConversion"/>
  </si>
  <si>
    <t>分数</t>
    <phoneticPr fontId="234" type="noConversion"/>
  </si>
  <si>
    <t>成新率</t>
    <phoneticPr fontId="234" type="noConversion"/>
  </si>
  <si>
    <t>金额（万元）</t>
    <phoneticPr fontId="234" type="noConversion"/>
  </si>
  <si>
    <t>围墙（砖）</t>
    <phoneticPr fontId="234" type="noConversion"/>
  </si>
  <si>
    <t>围栏</t>
    <phoneticPr fontId="234" type="noConversion"/>
  </si>
  <si>
    <t>米</t>
    <phoneticPr fontId="234" type="noConversion"/>
  </si>
  <si>
    <t>平方米</t>
    <phoneticPr fontId="234" type="noConversion"/>
  </si>
  <si>
    <t>道路（沥青）</t>
    <phoneticPr fontId="234" type="noConversion"/>
  </si>
  <si>
    <t>平方米</t>
    <phoneticPr fontId="234" type="noConversion"/>
  </si>
  <si>
    <t>合计</t>
    <phoneticPr fontId="234" type="noConversion"/>
  </si>
  <si>
    <t>分值</t>
    <phoneticPr fontId="234" type="noConversion"/>
  </si>
  <si>
    <t>地面材质</t>
  </si>
  <si>
    <t>面积（㎡）</t>
  </si>
  <si>
    <t>沥青地面</t>
  </si>
  <si>
    <t>水泥地面</t>
  </si>
  <si>
    <t>方砖（50X50）</t>
  </si>
  <si>
    <t>方砖（25X25）</t>
  </si>
  <si>
    <t>漏水砖</t>
  </si>
  <si>
    <t>碎石</t>
  </si>
  <si>
    <t>塑胶</t>
  </si>
  <si>
    <t>围墙</t>
  </si>
  <si>
    <t>高度（m）</t>
  </si>
  <si>
    <t>厚度（m）</t>
  </si>
  <si>
    <t>长度（m）</t>
  </si>
  <si>
    <t>铁栅栏</t>
  </si>
  <si>
    <t>－</t>
  </si>
  <si>
    <t>门</t>
  </si>
  <si>
    <t>材质</t>
  </si>
  <si>
    <t>个数</t>
  </si>
  <si>
    <t>普通铁门</t>
  </si>
  <si>
    <t>电子伸缩门</t>
  </si>
  <si>
    <t>平方米</t>
    <phoneticPr fontId="234" type="noConversion"/>
  </si>
  <si>
    <t>米</t>
    <phoneticPr fontId="234" type="noConversion"/>
  </si>
  <si>
    <t>水泥地面</t>
    <phoneticPr fontId="234" type="noConversion"/>
  </si>
  <si>
    <t>方砖</t>
    <phoneticPr fontId="234" type="noConversion"/>
  </si>
  <si>
    <t>树木</t>
    <phoneticPr fontId="234" type="noConversion"/>
  </si>
  <si>
    <t>棵</t>
    <phoneticPr fontId="234" type="noConversion"/>
  </si>
  <si>
    <r>
      <rPr>
        <b/>
        <sz val="12"/>
        <color theme="1"/>
        <rFont val="宋体"/>
        <family val="3"/>
        <charset val="134"/>
      </rPr>
      <t>序号</t>
    </r>
    <phoneticPr fontId="287" type="noConversion"/>
  </si>
  <si>
    <r>
      <rPr>
        <b/>
        <sz val="12"/>
        <color theme="1"/>
        <rFont val="宋体"/>
        <family val="3"/>
        <charset val="134"/>
      </rPr>
      <t>树木种类</t>
    </r>
    <phoneticPr fontId="287" type="noConversion"/>
  </si>
  <si>
    <t>胸径（cm）</t>
    <phoneticPr fontId="287" type="noConversion"/>
  </si>
  <si>
    <t>单价（元）</t>
    <phoneticPr fontId="287" type="noConversion"/>
  </si>
  <si>
    <r>
      <rPr>
        <b/>
        <sz val="12"/>
        <color theme="1"/>
        <rFont val="宋体"/>
        <family val="3"/>
        <charset val="134"/>
      </rPr>
      <t>数量</t>
    </r>
    <phoneticPr fontId="287" type="noConversion"/>
  </si>
  <si>
    <t>总价（元）</t>
    <phoneticPr fontId="287" type="noConversion"/>
  </si>
  <si>
    <r>
      <t>4—</t>
    </r>
    <r>
      <rPr>
        <sz val="11"/>
        <color theme="1"/>
        <rFont val="宋体"/>
        <family val="3"/>
        <charset val="134"/>
        <scheme val="minor"/>
      </rPr>
      <t>9</t>
    </r>
    <phoneticPr fontId="234" type="noConversion"/>
  </si>
  <si>
    <r>
      <t>1</t>
    </r>
    <r>
      <rPr>
        <sz val="11"/>
        <color theme="1"/>
        <rFont val="宋体"/>
        <family val="3"/>
        <charset val="134"/>
        <scheme val="minor"/>
      </rPr>
      <t>0—19</t>
    </r>
    <phoneticPr fontId="234" type="noConversion"/>
  </si>
  <si>
    <r>
      <t>2</t>
    </r>
    <r>
      <rPr>
        <sz val="11"/>
        <color theme="1"/>
        <rFont val="宋体"/>
        <family val="3"/>
        <charset val="134"/>
        <scheme val="minor"/>
      </rPr>
      <t>0—29</t>
    </r>
    <phoneticPr fontId="234" type="noConversion"/>
  </si>
  <si>
    <t>杨树</t>
    <phoneticPr fontId="234" type="noConversion"/>
  </si>
  <si>
    <r>
      <t>3</t>
    </r>
    <r>
      <rPr>
        <sz val="11"/>
        <color theme="1"/>
        <rFont val="宋体"/>
        <family val="3"/>
        <charset val="134"/>
        <scheme val="minor"/>
      </rPr>
      <t>0—39</t>
    </r>
    <phoneticPr fontId="234" type="noConversion"/>
  </si>
  <si>
    <t>40—49</t>
    <phoneticPr fontId="234" type="noConversion"/>
  </si>
  <si>
    <t>50—59</t>
    <phoneticPr fontId="234" type="noConversion"/>
  </si>
  <si>
    <t>60—69</t>
    <phoneticPr fontId="234" type="noConversion"/>
  </si>
  <si>
    <t>70—79</t>
    <phoneticPr fontId="234" type="noConversion"/>
  </si>
  <si>
    <t>80—89</t>
    <phoneticPr fontId="234" type="noConversion"/>
  </si>
  <si>
    <t>柏树</t>
    <phoneticPr fontId="234" type="noConversion"/>
  </si>
  <si>
    <t>柳树</t>
    <phoneticPr fontId="234" type="noConversion"/>
  </si>
  <si>
    <t>国槐</t>
    <phoneticPr fontId="234" type="noConversion"/>
  </si>
  <si>
    <t>银杏</t>
    <phoneticPr fontId="234" type="noConversion"/>
  </si>
  <si>
    <t>类型</t>
  </si>
  <si>
    <t>长</t>
  </si>
  <si>
    <t>高</t>
  </si>
  <si>
    <t>面积</t>
  </si>
  <si>
    <t>面积总数</t>
  </si>
  <si>
    <t>长度</t>
  </si>
  <si>
    <t>拉缩门</t>
  </si>
  <si>
    <t>总长</t>
  </si>
  <si>
    <t>桃树</t>
    <phoneticPr fontId="234" type="noConversion"/>
  </si>
  <si>
    <t>榆树</t>
    <phoneticPr fontId="234" type="noConversion"/>
  </si>
  <si>
    <t>臭椿</t>
    <phoneticPr fontId="234" type="noConversion"/>
  </si>
  <si>
    <r>
      <t>1</t>
    </r>
    <r>
      <rPr>
        <sz val="11"/>
        <color theme="1"/>
        <rFont val="宋体"/>
        <family val="3"/>
        <charset val="134"/>
        <scheme val="minor"/>
      </rPr>
      <t>0—19</t>
    </r>
    <phoneticPr fontId="234" type="noConversion"/>
  </si>
  <si>
    <r>
      <t>3</t>
    </r>
    <r>
      <rPr>
        <sz val="11"/>
        <color theme="1"/>
        <rFont val="宋体"/>
        <family val="3"/>
        <charset val="134"/>
        <scheme val="minor"/>
      </rPr>
      <t>0—39</t>
    </r>
    <phoneticPr fontId="234" type="noConversion"/>
  </si>
  <si>
    <t>40—49</t>
    <phoneticPr fontId="234" type="noConversion"/>
  </si>
  <si>
    <t>70—79</t>
    <phoneticPr fontId="234" type="noConversion"/>
  </si>
  <si>
    <r>
      <t>4—</t>
    </r>
    <r>
      <rPr>
        <sz val="11"/>
        <color theme="1"/>
        <rFont val="宋体"/>
        <family val="3"/>
        <charset val="134"/>
        <scheme val="minor"/>
      </rPr>
      <t>9</t>
    </r>
    <phoneticPr fontId="234" type="noConversion"/>
  </si>
  <si>
    <r>
      <t>1</t>
    </r>
    <r>
      <rPr>
        <sz val="11"/>
        <color theme="1"/>
        <rFont val="宋体"/>
        <family val="3"/>
        <charset val="134"/>
        <scheme val="minor"/>
      </rPr>
      <t>0—19</t>
    </r>
    <phoneticPr fontId="234" type="noConversion"/>
  </si>
  <si>
    <r>
      <t>2</t>
    </r>
    <r>
      <rPr>
        <sz val="11"/>
        <color theme="1"/>
        <rFont val="宋体"/>
        <family val="3"/>
        <charset val="134"/>
        <scheme val="minor"/>
      </rPr>
      <t>0—29</t>
    </r>
    <phoneticPr fontId="234" type="noConversion"/>
  </si>
  <si>
    <t>桑树</t>
    <phoneticPr fontId="234" type="noConversion"/>
  </si>
  <si>
    <r>
      <t>4—</t>
    </r>
    <r>
      <rPr>
        <sz val="11"/>
        <color theme="1"/>
        <rFont val="宋体"/>
        <family val="3"/>
        <charset val="134"/>
        <scheme val="minor"/>
      </rPr>
      <t>9</t>
    </r>
    <phoneticPr fontId="234" type="noConversion"/>
  </si>
  <si>
    <t>泡桐</t>
    <phoneticPr fontId="234" type="noConversion"/>
  </si>
  <si>
    <t>80—89</t>
    <phoneticPr fontId="234" type="noConversion"/>
  </si>
  <si>
    <t>玉兰</t>
    <phoneticPr fontId="234" type="noConversion"/>
  </si>
  <si>
    <r>
      <t>2</t>
    </r>
    <r>
      <rPr>
        <sz val="11"/>
        <color theme="1"/>
        <rFont val="宋体"/>
        <family val="3"/>
        <charset val="134"/>
        <scheme val="minor"/>
      </rPr>
      <t>0—29</t>
    </r>
    <phoneticPr fontId="234" type="noConversion"/>
  </si>
  <si>
    <t>松树</t>
    <phoneticPr fontId="234" type="noConversion"/>
  </si>
  <si>
    <t>雪松</t>
    <phoneticPr fontId="234" type="noConversion"/>
  </si>
  <si>
    <t>大叶黄杨</t>
    <phoneticPr fontId="234" type="noConversion"/>
  </si>
  <si>
    <t>小叶紫檀</t>
    <phoneticPr fontId="234" type="noConversion"/>
  </si>
  <si>
    <t>——</t>
    <phoneticPr fontId="234" type="noConversion"/>
  </si>
  <si>
    <t>月季</t>
    <phoneticPr fontId="234" type="noConversion"/>
  </si>
  <si>
    <t>紫荆</t>
    <phoneticPr fontId="234" type="noConversion"/>
  </si>
  <si>
    <t>合计</t>
    <phoneticPr fontId="234" type="noConversion"/>
  </si>
  <si>
    <t>评估价格</t>
  </si>
  <si>
    <t>（万元）</t>
  </si>
  <si>
    <t>备注</t>
  </si>
  <si>
    <t>土地使用权价格</t>
  </si>
  <si>
    <t>采用基准地价系数修正法、成本逼近法评估测算</t>
  </si>
  <si>
    <t>建（构）筑物价格</t>
  </si>
  <si>
    <t>采用重置成本法测算</t>
  </si>
  <si>
    <t>附属物（树木）价格</t>
  </si>
  <si>
    <t>无法恢复使用的设施设备补偿价</t>
  </si>
  <si>
    <t>停产停业损失补偿费用</t>
  </si>
  <si>
    <t>依据有关规定</t>
  </si>
  <si>
    <t>搬迁、临时安置补偿费用</t>
  </si>
  <si>
    <t>土地收购补偿价格</t>
  </si>
  <si>
    <t>龙爪槐</t>
    <phoneticPr fontId="234" type="noConversion"/>
  </si>
  <si>
    <t>构树</t>
    <phoneticPr fontId="234" type="noConversion"/>
  </si>
  <si>
    <r>
      <rPr>
        <sz val="9"/>
        <color theme="1"/>
        <rFont val="宋体"/>
        <family val="3"/>
        <charset val="134"/>
      </rPr>
      <t>前期工程费及勘察设计费（元</t>
    </r>
    <r>
      <rPr>
        <sz val="9"/>
        <color theme="1"/>
        <rFont val="Arial"/>
        <family val="2"/>
      </rPr>
      <t>/</t>
    </r>
    <r>
      <rPr>
        <sz val="9"/>
        <color theme="1"/>
        <rFont val="宋体"/>
        <family val="3"/>
        <charset val="134"/>
      </rPr>
      <t>㎡）</t>
    </r>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</si>
</sst>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2"/>
      <charset val="134"/>
      <scheme val="minor"/>
    </font>
    <font>
      <u/>
      <sz val="12"/>
      <color indexed="12"/>
      <name val="宋体"/>
      <family val="3"/>
      <charset val="134"/>
    </font>
    <font>
      <b/>
      <sz val="9"/>
      <name val="宋体"/>
      <family val="3"/>
      <charset val="134"/>
    </font>
    <font>
      <b/>
      <vertAlign val="superscript"/>
      <sz val="9"/>
      <name val="宋体"/>
      <family val="3"/>
      <charset val="134"/>
    </font>
    <font>
      <sz val="11"/>
      <color theme="1"/>
      <name val="Arial"/>
      <family val="3"/>
      <charset val="134"/>
    </font>
    <font>
      <sz val="9"/>
      <color theme="1"/>
      <name val="宋体"/>
      <family val="3"/>
      <charset val="134"/>
    </font>
    <font>
      <sz val="9"/>
      <color theme="1"/>
      <name val="仿宋_GB2312"/>
      <family val="3"/>
      <charset val="134"/>
    </font>
    <font>
      <b/>
      <sz val="12"/>
      <color theme="1"/>
      <name val="仿宋_GB2312"/>
      <family val="3"/>
      <charset val="134"/>
    </font>
    <font>
      <sz val="11"/>
      <color theme="1"/>
      <name val="SimSun"/>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4.9989318521683403E-2"/>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s>
  <cellStyleXfs count="2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xf numFmtId="0" fontId="2" fillId="0" borderId="0">
      <alignment vertical="center"/>
    </xf>
    <xf numFmtId="0" fontId="1" fillId="0" borderId="0"/>
    <xf numFmtId="0" fontId="278" fillId="0" borderId="0">
      <alignment vertical="center"/>
    </xf>
    <xf numFmtId="0" fontId="278" fillId="0" borderId="0">
      <alignment vertical="center"/>
    </xf>
    <xf numFmtId="0" fontId="279" fillId="0" borderId="0" applyNumberFormat="0" applyFill="0" applyBorder="0" applyAlignment="0" applyProtection="0">
      <alignment vertical="top"/>
      <protection locked="0"/>
    </xf>
    <xf numFmtId="0" fontId="278" fillId="0" borderId="0">
      <alignment vertical="center"/>
    </xf>
    <xf numFmtId="0" fontId="82" fillId="0" borderId="0">
      <alignment vertical="center"/>
    </xf>
    <xf numFmtId="0" fontId="1" fillId="0" borderId="0"/>
  </cellStyleXfs>
  <cellXfs count="361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282" fillId="0" borderId="2" xfId="0" applyFont="1" applyBorder="1" applyAlignment="1" applyProtection="1">
      <alignment horizontal="center" vertical="center"/>
      <protection locked="0"/>
    </xf>
    <xf numFmtId="0" fontId="181" fillId="16" borderId="2" xfId="0" applyFont="1" applyFill="1" applyBorder="1" applyAlignment="1" applyProtection="1">
      <alignment horizontal="center" vertical="center"/>
      <protection locked="0"/>
    </xf>
    <xf numFmtId="0" fontId="280" fillId="6" borderId="2" xfId="21" applyFont="1" applyFill="1" applyBorder="1" applyAlignment="1">
      <alignment horizontal="center" vertical="center" wrapText="1" readingOrder="1"/>
    </xf>
    <xf numFmtId="177" fontId="128" fillId="0" borderId="2" xfId="22" applyNumberFormat="1" applyFont="1" applyFill="1" applyBorder="1" applyAlignment="1">
      <alignment horizontal="center" vertical="center" wrapText="1"/>
    </xf>
    <xf numFmtId="177" fontId="83" fillId="0" borderId="2" xfId="22" applyNumberFormat="1" applyFont="1" applyBorder="1" applyAlignment="1">
      <alignment horizontal="center" vertical="center" wrapText="1"/>
    </xf>
    <xf numFmtId="185" fontId="128" fillId="0" borderId="2" xfId="22" applyNumberFormat="1" applyFont="1" applyBorder="1" applyAlignment="1">
      <alignment horizontal="center" vertical="center" wrapText="1"/>
    </xf>
    <xf numFmtId="49" fontId="83" fillId="0" borderId="2" xfId="22" applyNumberFormat="1" applyFont="1" applyFill="1" applyBorder="1" applyAlignment="1">
      <alignment horizontal="center" vertical="center"/>
    </xf>
    <xf numFmtId="177" fontId="128" fillId="0" borderId="2" xfId="22" applyNumberFormat="1" applyFont="1" applyBorder="1" applyAlignment="1">
      <alignment horizontal="center" vertical="center" wrapText="1"/>
    </xf>
    <xf numFmtId="0" fontId="146" fillId="0" borderId="0" xfId="1">
      <alignment vertical="center"/>
    </xf>
    <xf numFmtId="0" fontId="150" fillId="0" borderId="0" xfId="1" applyFont="1" applyAlignment="1">
      <alignment horizontal="center" vertical="center"/>
    </xf>
    <xf numFmtId="0" fontId="146" fillId="0" borderId="0" xfId="1" applyFont="1">
      <alignment vertical="center"/>
    </xf>
    <xf numFmtId="0" fontId="168" fillId="0" borderId="50" xfId="1" applyFont="1" applyBorder="1" applyAlignment="1">
      <alignment horizontal="center" vertical="center"/>
    </xf>
    <xf numFmtId="0" fontId="150" fillId="0" borderId="21" xfId="1" applyFont="1" applyBorder="1" applyAlignment="1">
      <alignment horizontal="center" vertical="center"/>
    </xf>
    <xf numFmtId="49" fontId="150" fillId="0" borderId="21" xfId="1" applyNumberFormat="1" applyFont="1" applyBorder="1" applyAlignment="1">
      <alignment horizontal="center" vertical="center"/>
    </xf>
    <xf numFmtId="2" fontId="150" fillId="0" borderId="21" xfId="1" applyNumberFormat="1" applyFont="1" applyBorder="1" applyAlignment="1">
      <alignment horizontal="center" vertical="center"/>
    </xf>
    <xf numFmtId="1" fontId="150" fillId="0" borderId="21" xfId="1" applyNumberFormat="1" applyFont="1" applyBorder="1" applyAlignment="1">
      <alignment horizontal="center" vertical="center"/>
    </xf>
    <xf numFmtId="9" fontId="150" fillId="0" borderId="21" xfId="1" applyNumberFormat="1" applyFont="1" applyBorder="1" applyAlignment="1">
      <alignment horizontal="center" vertical="center"/>
    </xf>
    <xf numFmtId="2" fontId="150" fillId="0" borderId="51" xfId="1" applyNumberFormat="1" applyFont="1" applyBorder="1" applyAlignment="1">
      <alignment horizontal="center" vertical="center"/>
    </xf>
    <xf numFmtId="0" fontId="168" fillId="19" borderId="11" xfId="1" applyFont="1" applyFill="1" applyBorder="1" applyAlignment="1">
      <alignment horizontal="center" vertical="center"/>
    </xf>
    <xf numFmtId="0" fontId="150" fillId="19" borderId="2" xfId="1" applyFont="1" applyFill="1" applyBorder="1" applyAlignment="1">
      <alignment horizontal="center" vertical="center"/>
    </xf>
    <xf numFmtId="49" fontId="150" fillId="19" borderId="2" xfId="1" applyNumberFormat="1" applyFont="1" applyFill="1" applyBorder="1" applyAlignment="1">
      <alignment horizontal="center" vertical="center"/>
    </xf>
    <xf numFmtId="2" fontId="150" fillId="19" borderId="2" xfId="1" applyNumberFormat="1" applyFont="1" applyFill="1" applyBorder="1" applyAlignment="1">
      <alignment horizontal="center" vertical="center"/>
    </xf>
    <xf numFmtId="9" fontId="150" fillId="19" borderId="2" xfId="1" applyNumberFormat="1" applyFont="1" applyFill="1" applyBorder="1" applyAlignment="1">
      <alignment horizontal="center" vertical="center"/>
    </xf>
    <xf numFmtId="2" fontId="150" fillId="19" borderId="12" xfId="1" applyNumberFormat="1" applyFont="1" applyFill="1" applyBorder="1" applyAlignment="1">
      <alignment horizontal="center" vertical="center"/>
    </xf>
    <xf numFmtId="0" fontId="168" fillId="0" borderId="11" xfId="1" applyFont="1" applyBorder="1" applyAlignment="1">
      <alignment horizontal="center" vertical="center"/>
    </xf>
    <xf numFmtId="0" fontId="150" fillId="0" borderId="2" xfId="1" applyFont="1" applyBorder="1" applyAlignment="1">
      <alignment horizontal="center" vertical="center"/>
    </xf>
    <xf numFmtId="49" fontId="150" fillId="0" borderId="2" xfId="1" applyNumberFormat="1" applyFont="1" applyBorder="1" applyAlignment="1">
      <alignment horizontal="center" vertical="center"/>
    </xf>
    <xf numFmtId="2" fontId="150" fillId="0" borderId="2" xfId="1" applyNumberFormat="1" applyFont="1" applyBorder="1" applyAlignment="1">
      <alignment horizontal="center" vertical="center"/>
    </xf>
    <xf numFmtId="9" fontId="150" fillId="0" borderId="2" xfId="1" applyNumberFormat="1" applyFont="1" applyBorder="1" applyAlignment="1">
      <alignment horizontal="center" vertical="center"/>
    </xf>
    <xf numFmtId="2" fontId="150" fillId="0" borderId="12" xfId="1" applyNumberFormat="1" applyFont="1" applyBorder="1" applyAlignment="1">
      <alignment horizontal="center" vertical="center"/>
    </xf>
    <xf numFmtId="0" fontId="150" fillId="0" borderId="11" xfId="1" applyFont="1" applyBorder="1" applyAlignment="1">
      <alignment horizontal="center" vertical="center"/>
    </xf>
    <xf numFmtId="0" fontId="150" fillId="19" borderId="11" xfId="1" applyFont="1" applyFill="1" applyBorder="1" applyAlignment="1">
      <alignment horizontal="center" vertical="center"/>
    </xf>
    <xf numFmtId="0" fontId="168" fillId="18" borderId="154" xfId="1" applyFont="1" applyFill="1" applyBorder="1" applyAlignment="1">
      <alignment horizontal="center" vertical="center"/>
    </xf>
    <xf numFmtId="0" fontId="150" fillId="18" borderId="155" xfId="1" applyFont="1" applyFill="1" applyBorder="1" applyAlignment="1">
      <alignment horizontal="center" vertical="center"/>
    </xf>
    <xf numFmtId="49" fontId="150" fillId="18" borderId="155" xfId="1" applyNumberFormat="1" applyFont="1" applyFill="1" applyBorder="1" applyAlignment="1">
      <alignment horizontal="center" vertical="center"/>
    </xf>
    <xf numFmtId="2" fontId="150" fillId="18" borderId="155" xfId="1" applyNumberFormat="1" applyFont="1" applyFill="1" applyBorder="1" applyAlignment="1">
      <alignment horizontal="center" vertical="center"/>
    </xf>
    <xf numFmtId="2" fontId="150" fillId="18" borderId="156" xfId="1" applyNumberFormat="1" applyFont="1" applyFill="1" applyBorder="1" applyAlignment="1">
      <alignment horizontal="center" vertical="center"/>
    </xf>
    <xf numFmtId="0" fontId="168" fillId="19" borderId="2" xfId="1" applyFont="1" applyFill="1" applyBorder="1" applyAlignment="1">
      <alignment horizontal="center" vertical="center"/>
    </xf>
    <xf numFmtId="49" fontId="150" fillId="0" borderId="0" xfId="1" applyNumberFormat="1" applyFont="1" applyAlignment="1">
      <alignment horizontal="center" vertical="center"/>
    </xf>
    <xf numFmtId="0" fontId="146" fillId="0" borderId="2" xfId="1" applyFont="1" applyBorder="1">
      <alignment vertical="center"/>
    </xf>
    <xf numFmtId="0" fontId="146" fillId="0" borderId="2" xfId="1" applyFont="1" applyBorder="1" applyAlignment="1">
      <alignment horizontal="center" vertical="center"/>
    </xf>
    <xf numFmtId="2" fontId="146" fillId="0" borderId="2" xfId="1" applyNumberFormat="1" applyFont="1" applyBorder="1" applyAlignment="1">
      <alignment horizontal="center" vertical="center"/>
    </xf>
    <xf numFmtId="0" fontId="147" fillId="6" borderId="0" xfId="1" applyFont="1" applyFill="1">
      <alignment vertical="center"/>
    </xf>
    <xf numFmtId="2" fontId="146" fillId="0" borderId="2" xfId="1" applyNumberFormat="1" applyBorder="1" applyAlignment="1">
      <alignment horizontal="center" vertical="center"/>
    </xf>
    <xf numFmtId="2" fontId="146" fillId="0" borderId="2" xfId="1" applyNumberFormat="1" applyBorder="1" applyAlignment="1">
      <alignment vertical="center"/>
    </xf>
    <xf numFmtId="0" fontId="168" fillId="0" borderId="11" xfId="1" applyFont="1" applyBorder="1" applyAlignment="1">
      <alignment vertical="center"/>
    </xf>
    <xf numFmtId="49" fontId="168" fillId="0" borderId="2" xfId="1" applyNumberFormat="1" applyFont="1" applyBorder="1" applyAlignment="1">
      <alignment horizontal="center" vertical="center"/>
    </xf>
    <xf numFmtId="49" fontId="168" fillId="19" borderId="2" xfId="1" applyNumberFormat="1" applyFont="1" applyFill="1" applyBorder="1" applyAlignment="1">
      <alignment horizontal="center" vertical="center"/>
    </xf>
    <xf numFmtId="49" fontId="150" fillId="16" borderId="2" xfId="1" applyNumberFormat="1" applyFont="1" applyFill="1" applyBorder="1" applyAlignment="1">
      <alignment horizontal="center" vertical="center"/>
    </xf>
    <xf numFmtId="1" fontId="150" fillId="19" borderId="2" xfId="1" applyNumberFormat="1" applyFont="1" applyFill="1" applyBorder="1" applyAlignment="1">
      <alignment horizontal="center" vertical="center"/>
    </xf>
    <xf numFmtId="1" fontId="150" fillId="0" borderId="2" xfId="1" applyNumberFormat="1" applyFont="1" applyBorder="1" applyAlignment="1">
      <alignment horizontal="center" vertical="center"/>
    </xf>
    <xf numFmtId="0" fontId="150" fillId="16" borderId="21" xfId="1" applyFont="1" applyFill="1" applyBorder="1" applyAlignment="1">
      <alignment horizontal="center" vertical="center"/>
    </xf>
    <xf numFmtId="0" fontId="150" fillId="16" borderId="2" xfId="1" applyFont="1" applyFill="1" applyBorder="1" applyAlignment="1">
      <alignment horizontal="center" vertical="center"/>
    </xf>
    <xf numFmtId="0" fontId="72" fillId="5" borderId="2" xfId="0" applyFont="1" applyFill="1" applyBorder="1" applyAlignment="1" applyProtection="1">
      <alignment horizontal="center" vertical="center" wrapText="1"/>
    </xf>
    <xf numFmtId="0" fontId="166" fillId="13" borderId="39" xfId="0" applyFont="1" applyFill="1" applyBorder="1" applyAlignment="1">
      <alignment horizontal="center" vertical="center" wrapText="1"/>
    </xf>
    <xf numFmtId="0" fontId="166" fillId="13" borderId="66" xfId="0" applyFont="1" applyFill="1" applyBorder="1" applyAlignment="1">
      <alignment horizontal="center" vertical="center" wrapText="1"/>
    </xf>
    <xf numFmtId="0" fontId="166" fillId="0" borderId="80" xfId="0" applyFont="1" applyBorder="1" applyAlignment="1">
      <alignment horizontal="center" vertical="center" wrapText="1"/>
    </xf>
    <xf numFmtId="0" fontId="284" fillId="13" borderId="66" xfId="0" applyFont="1" applyFill="1" applyBorder="1" applyAlignment="1">
      <alignment horizontal="center" vertical="center" wrapText="1"/>
    </xf>
    <xf numFmtId="0" fontId="166" fillId="0" borderId="66" xfId="0" applyFont="1" applyBorder="1" applyAlignment="1">
      <alignment horizontal="center" vertical="center" wrapText="1"/>
    </xf>
    <xf numFmtId="0" fontId="166" fillId="0" borderId="38" xfId="0" applyFont="1" applyBorder="1" applyAlignment="1">
      <alignment horizontal="center" vertical="center" wrapText="1"/>
    </xf>
    <xf numFmtId="0" fontId="284" fillId="0" borderId="66" xfId="0" applyFont="1" applyBorder="1" applyAlignment="1">
      <alignment horizontal="center" vertical="center" wrapText="1"/>
    </xf>
    <xf numFmtId="0" fontId="166" fillId="0" borderId="66" xfId="0" applyFont="1" applyBorder="1" applyAlignment="1">
      <alignment horizontal="center" vertical="center"/>
    </xf>
    <xf numFmtId="0" fontId="285" fillId="0" borderId="0" xfId="0" applyFont="1" applyAlignment="1">
      <alignment horizontal="center" vertical="center"/>
    </xf>
    <xf numFmtId="0" fontId="166" fillId="0" borderId="61" xfId="0" applyFont="1" applyBorder="1" applyAlignment="1">
      <alignment horizontal="center" vertical="center" wrapText="1"/>
    </xf>
    <xf numFmtId="0" fontId="166" fillId="0" borderId="61" xfId="0" applyFont="1" applyBorder="1" applyAlignment="1">
      <alignment horizontal="right" vertical="center" wrapText="1"/>
    </xf>
    <xf numFmtId="0" fontId="166" fillId="0" borderId="66" xfId="0" applyFont="1" applyBorder="1" applyAlignment="1">
      <alignment horizontal="left" vertical="center" wrapText="1"/>
    </xf>
    <xf numFmtId="0" fontId="149" fillId="6" borderId="2" xfId="1" applyFont="1" applyFill="1" applyBorder="1" applyAlignment="1" applyProtection="1">
      <alignment horizontal="center" vertical="center" wrapText="1"/>
      <protection locked="0"/>
    </xf>
    <xf numFmtId="0" fontId="166" fillId="6" borderId="66" xfId="0" applyFont="1" applyFill="1" applyBorder="1" applyAlignment="1">
      <alignment horizontal="center" vertical="center" wrapText="1"/>
    </xf>
    <xf numFmtId="0" fontId="166" fillId="6" borderId="66" xfId="0" applyFont="1" applyFill="1" applyBorder="1" applyAlignment="1">
      <alignment horizontal="left" vertical="center" wrapText="1"/>
    </xf>
    <xf numFmtId="0" fontId="166" fillId="6" borderId="61" xfId="0" applyFont="1" applyFill="1" applyBorder="1" applyAlignment="1">
      <alignment horizontal="right" vertical="center" wrapText="1"/>
    </xf>
    <xf numFmtId="0" fontId="166" fillId="6" borderId="61" xfId="0" applyFont="1" applyFill="1" applyBorder="1" applyAlignment="1">
      <alignment horizontal="center" vertical="center" wrapText="1"/>
    </xf>
    <xf numFmtId="0" fontId="0" fillId="6" borderId="0" xfId="0" applyFill="1">
      <alignment vertical="center"/>
    </xf>
    <xf numFmtId="0" fontId="146" fillId="18" borderId="2" xfId="1" applyFont="1" applyFill="1" applyBorder="1" applyAlignment="1">
      <alignment horizontal="left" vertical="center"/>
    </xf>
    <xf numFmtId="0" fontId="146" fillId="0" borderId="2" xfId="1" applyFont="1" applyBorder="1" applyAlignment="1">
      <alignment horizontal="left" vertical="center"/>
    </xf>
    <xf numFmtId="0" fontId="146" fillId="0" borderId="2" xfId="1" applyBorder="1" applyAlignment="1">
      <alignment horizontal="left" vertical="center"/>
    </xf>
    <xf numFmtId="0" fontId="146" fillId="8" borderId="2" xfId="1" applyFill="1" applyBorder="1" applyAlignment="1">
      <alignment horizontal="left" vertical="center"/>
    </xf>
    <xf numFmtId="0" fontId="146" fillId="19" borderId="2" xfId="1" applyFill="1" applyBorder="1" applyAlignment="1">
      <alignment horizontal="left" vertical="center"/>
    </xf>
    <xf numFmtId="0" fontId="146" fillId="19" borderId="2" xfId="1" applyFont="1" applyFill="1" applyBorder="1" applyAlignment="1">
      <alignment horizontal="left" vertical="center"/>
    </xf>
    <xf numFmtId="0" fontId="146" fillId="19" borderId="0" xfId="1" applyFill="1">
      <alignment vertical="center"/>
    </xf>
    <xf numFmtId="0" fontId="146" fillId="0" borderId="0" xfId="1" applyFont="1" applyAlignment="1">
      <alignment horizontal="left" vertical="center"/>
    </xf>
    <xf numFmtId="0" fontId="146" fillId="0" borderId="0" xfId="1" applyAlignment="1">
      <alignment horizontal="left" vertical="center"/>
    </xf>
    <xf numFmtId="0" fontId="0" fillId="0" borderId="0" xfId="0" applyAlignment="1">
      <alignment horizontal="center" vertical="center"/>
    </xf>
    <xf numFmtId="180" fontId="0" fillId="0" borderId="0" xfId="0" applyNumberFormat="1" applyAlignment="1">
      <alignment horizontal="center" vertical="center"/>
    </xf>
    <xf numFmtId="179" fontId="0" fillId="0" borderId="0" xfId="0" applyNumberFormat="1" applyAlignment="1">
      <alignment horizontal="center" vertical="center"/>
    </xf>
    <xf numFmtId="180" fontId="286" fillId="0" borderId="0" xfId="0" applyNumberFormat="1" applyFont="1" applyAlignment="1">
      <alignment horizontal="center" vertical="center"/>
    </xf>
    <xf numFmtId="178" fontId="0" fillId="0" borderId="0" xfId="0" applyNumberFormat="1" applyAlignment="1">
      <alignment horizontal="center" vertical="center"/>
    </xf>
    <xf numFmtId="180" fontId="0" fillId="6" borderId="0" xfId="0" applyNumberFormat="1" applyFill="1" applyAlignment="1">
      <alignment horizontal="center" vertical="center"/>
    </xf>
    <xf numFmtId="180" fontId="146" fillId="0" borderId="2" xfId="1" applyNumberFormat="1" applyBorder="1" applyAlignment="1">
      <alignment horizontal="left" vertical="center"/>
    </xf>
    <xf numFmtId="180" fontId="146" fillId="19" borderId="2" xfId="1" applyNumberFormat="1" applyFill="1" applyBorder="1" applyAlignment="1">
      <alignment horizontal="left" vertical="center"/>
    </xf>
    <xf numFmtId="179" fontId="146" fillId="19" borderId="2" xfId="1" applyNumberFormat="1" applyFont="1" applyFill="1" applyBorder="1" applyAlignment="1">
      <alignment horizontal="left" vertical="center"/>
    </xf>
    <xf numFmtId="179" fontId="146" fillId="0" borderId="2" xfId="1" applyNumberFormat="1" applyFont="1" applyBorder="1" applyAlignment="1">
      <alignment horizontal="left" vertical="center"/>
    </xf>
    <xf numFmtId="180" fontId="0" fillId="8" borderId="0" xfId="0" applyNumberFormat="1" applyFill="1" applyAlignment="1">
      <alignment horizontal="center" vertical="center"/>
    </xf>
    <xf numFmtId="0" fontId="155" fillId="0" borderId="2" xfId="15" applyFont="1" applyBorder="1" applyAlignment="1">
      <alignment horizontal="center" vertical="center"/>
    </xf>
    <xf numFmtId="0" fontId="233" fillId="8" borderId="2" xfId="15" applyFont="1" applyFill="1" applyBorder="1" applyAlignment="1">
      <alignment horizontal="center" vertical="center"/>
    </xf>
    <xf numFmtId="0" fontId="155" fillId="8" borderId="2" xfId="15" applyFont="1" applyFill="1" applyBorder="1" applyAlignment="1">
      <alignment horizontal="center" vertical="center"/>
    </xf>
    <xf numFmtId="0" fontId="0" fillId="0" borderId="0" xfId="0" applyAlignment="1">
      <alignment horizontal="center" vertical="center"/>
    </xf>
    <xf numFmtId="49" fontId="146" fillId="0" borderId="2" xfId="0" applyNumberFormat="1" applyFont="1" applyBorder="1" applyAlignment="1">
      <alignment horizontal="center" vertical="center"/>
    </xf>
    <xf numFmtId="0" fontId="0" fillId="0" borderId="2" xfId="0" applyBorder="1" applyAlignment="1">
      <alignment horizontal="center" vertical="center"/>
    </xf>
    <xf numFmtId="0" fontId="146" fillId="0" borderId="2" xfId="0" applyFont="1" applyBorder="1" applyAlignment="1">
      <alignment horizontal="center" vertical="center"/>
    </xf>
    <xf numFmtId="0" fontId="0" fillId="8" borderId="2" xfId="0" applyFill="1" applyBorder="1" applyAlignment="1">
      <alignment horizontal="center" vertical="center"/>
    </xf>
    <xf numFmtId="0" fontId="285" fillId="0" borderId="39" xfId="0" applyFont="1" applyBorder="1" applyAlignment="1">
      <alignment horizontal="center" vertical="center" wrapText="1"/>
    </xf>
    <xf numFmtId="0" fontId="285" fillId="0" borderId="66" xfId="0" applyFont="1" applyBorder="1" applyAlignment="1">
      <alignment horizontal="center" vertical="center" wrapText="1"/>
    </xf>
    <xf numFmtId="0" fontId="177" fillId="0" borderId="80" xfId="0" applyFont="1" applyBorder="1" applyAlignment="1">
      <alignment horizontal="center" vertical="center" wrapText="1"/>
    </xf>
    <xf numFmtId="0" fontId="196" fillId="0" borderId="66" xfId="0" applyFont="1" applyBorder="1" applyAlignment="1">
      <alignment horizontal="center" vertical="center" wrapText="1"/>
    </xf>
    <xf numFmtId="0" fontId="177" fillId="0" borderId="66" xfId="0" applyFont="1" applyBorder="1" applyAlignment="1">
      <alignment horizontal="center" vertical="center" wrapText="1"/>
    </xf>
    <xf numFmtId="0" fontId="153" fillId="0" borderId="66" xfId="0" applyFont="1" applyBorder="1" applyAlignment="1">
      <alignment horizontal="center" vertical="center" wrapText="1"/>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146" fillId="0" borderId="5" xfId="1" applyFont="1" applyBorder="1" applyAlignment="1">
      <alignment horizontal="center" vertical="center"/>
    </xf>
    <xf numFmtId="0" fontId="146" fillId="0" borderId="9" xfId="1" applyFont="1" applyBorder="1" applyAlignment="1">
      <alignment horizontal="center" vertical="center"/>
    </xf>
    <xf numFmtId="0" fontId="146" fillId="8" borderId="2" xfId="1" applyFill="1" applyBorder="1" applyAlignment="1">
      <alignment horizontal="center" vertical="center"/>
    </xf>
    <xf numFmtId="0" fontId="147" fillId="17" borderId="2" xfId="1" applyFont="1" applyFill="1" applyBorder="1" applyAlignment="1">
      <alignment horizontal="center" vertical="center"/>
    </xf>
    <xf numFmtId="0" fontId="146" fillId="0" borderId="2" xfId="1" applyFont="1" applyBorder="1" applyAlignment="1">
      <alignment horizontal="center" vertical="center"/>
    </xf>
    <xf numFmtId="0" fontId="146" fillId="0" borderId="2" xfId="1" applyBorder="1" applyAlignment="1">
      <alignment horizontal="center" vertical="center"/>
    </xf>
    <xf numFmtId="0" fontId="174" fillId="18" borderId="35" xfId="1" applyFont="1" applyFill="1" applyBorder="1" applyAlignment="1">
      <alignment horizontal="center" vertical="center" wrapText="1"/>
    </xf>
    <xf numFmtId="0" fontId="174" fillId="18" borderId="153" xfId="1" applyFont="1" applyFill="1" applyBorder="1" applyAlignment="1">
      <alignment horizontal="center" vertical="center" wrapText="1"/>
    </xf>
    <xf numFmtId="49" fontId="174" fillId="18" borderId="35" xfId="1" applyNumberFormat="1" applyFont="1" applyFill="1" applyBorder="1" applyAlignment="1">
      <alignment horizontal="center" vertical="center" wrapText="1"/>
    </xf>
    <xf numFmtId="49" fontId="174" fillId="18" borderId="153" xfId="1" applyNumberFormat="1" applyFont="1" applyFill="1" applyBorder="1" applyAlignment="1">
      <alignment horizontal="center" vertical="center" wrapText="1"/>
    </xf>
    <xf numFmtId="0" fontId="283" fillId="18" borderId="35" xfId="1" applyFont="1" applyFill="1" applyBorder="1" applyAlignment="1">
      <alignment horizontal="center" vertical="center" wrapText="1"/>
    </xf>
    <xf numFmtId="0" fontId="146" fillId="0" borderId="2" xfId="1" applyFont="1" applyFill="1" applyBorder="1" applyAlignment="1">
      <alignment horizontal="center" vertical="center"/>
    </xf>
    <xf numFmtId="2" fontId="146" fillId="0" borderId="2" xfId="1" applyNumberFormat="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6" fillId="0" borderId="0" xfId="1" applyAlignment="1">
      <alignment horizontal="center" vertical="center"/>
    </xf>
    <xf numFmtId="0" fontId="146" fillId="0" borderId="0" xfId="1" applyAlignment="1">
      <alignment horizontal="center" vertical="center" wrapText="1"/>
    </xf>
    <xf numFmtId="179" fontId="0" fillId="0" borderId="0" xfId="0" applyNumberFormat="1" applyAlignment="1">
      <alignment horizontal="center" vertical="center"/>
    </xf>
    <xf numFmtId="180" fontId="0" fillId="0" borderId="0" xfId="0" applyNumberFormat="1" applyAlignment="1">
      <alignment horizontal="center"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0" fontId="280" fillId="6" borderId="10" xfId="21" applyFont="1" applyFill="1" applyBorder="1" applyAlignment="1">
      <alignment horizontal="center" vertical="center" wrapText="1" readingOrder="1"/>
    </xf>
    <xf numFmtId="0" fontId="280" fillId="6" borderId="21" xfId="21" applyFont="1" applyFill="1" applyBorder="1" applyAlignment="1">
      <alignment horizontal="center" vertical="center" wrapText="1" readingOrder="1"/>
    </xf>
    <xf numFmtId="0" fontId="280" fillId="6" borderId="2" xfId="21" applyFont="1" applyFill="1" applyBorder="1" applyAlignment="1">
      <alignment horizontal="center" vertical="center" wrapText="1" readingOrder="1"/>
    </xf>
    <xf numFmtId="0" fontId="1" fillId="6" borderId="21" xfId="22" applyFill="1" applyBorder="1" applyAlignment="1">
      <alignment horizontal="center" vertical="center"/>
    </xf>
    <xf numFmtId="0" fontId="166" fillId="0" borderId="36" xfId="0" applyFont="1" applyBorder="1" applyAlignment="1">
      <alignment horizontal="center" vertical="center" wrapText="1"/>
    </xf>
    <xf numFmtId="0" fontId="166" fillId="0" borderId="38" xfId="0" applyFont="1" applyBorder="1" applyAlignment="1">
      <alignment horizontal="center" vertical="center" wrapText="1"/>
    </xf>
    <xf numFmtId="0" fontId="166" fillId="0" borderId="36" xfId="0" applyFont="1" applyBorder="1" applyAlignment="1">
      <alignment horizontal="center" vertical="center"/>
    </xf>
    <xf numFmtId="0" fontId="166" fillId="0" borderId="37" xfId="0" applyFont="1" applyBorder="1" applyAlignment="1">
      <alignment horizontal="center" vertical="center"/>
    </xf>
    <xf numFmtId="0" fontId="166" fillId="0" borderId="38" xfId="0" applyFont="1" applyBorder="1" applyAlignment="1">
      <alignment horizontal="center" vertical="center"/>
    </xf>
    <xf numFmtId="0" fontId="166" fillId="0" borderId="35" xfId="0" applyFont="1" applyBorder="1" applyAlignment="1">
      <alignment horizontal="center" vertical="center" textRotation="255" wrapText="1"/>
    </xf>
    <xf numFmtId="0" fontId="166" fillId="0" borderId="80" xfId="0" applyFont="1" applyBorder="1" applyAlignment="1">
      <alignment horizontal="center" vertical="center" textRotation="255" wrapText="1"/>
    </xf>
    <xf numFmtId="0" fontId="166" fillId="0" borderId="37" xfId="0" applyFont="1" applyBorder="1" applyAlignment="1">
      <alignment horizontal="center" vertical="center" wrapText="1"/>
    </xf>
    <xf numFmtId="0" fontId="166" fillId="0" borderId="79" xfId="0" applyFont="1" applyBorder="1" applyAlignment="1">
      <alignment horizontal="center" vertical="center" textRotation="255" wrapText="1"/>
    </xf>
    <xf numFmtId="0" fontId="166" fillId="0" borderId="35" xfId="0" applyFont="1" applyBorder="1" applyAlignment="1">
      <alignment horizontal="center" vertical="center" wrapText="1"/>
    </xf>
    <xf numFmtId="0" fontId="166" fillId="0" borderId="80" xfId="0" applyFont="1" applyBorder="1" applyAlignment="1">
      <alignment horizontal="center" vertical="center" wrapText="1"/>
    </xf>
    <xf numFmtId="0" fontId="166" fillId="13" borderId="35" xfId="0" applyFont="1" applyFill="1" applyBorder="1" applyAlignment="1">
      <alignment horizontal="center" vertical="center" wrapText="1"/>
    </xf>
    <xf numFmtId="0" fontId="166" fillId="13" borderId="80" xfId="0" applyFont="1" applyFill="1" applyBorder="1" applyAlignment="1">
      <alignment horizontal="center" vertical="center" wrapText="1"/>
    </xf>
    <xf numFmtId="0" fontId="285" fillId="0" borderId="35" xfId="0" applyFont="1" applyBorder="1" applyAlignment="1">
      <alignment horizontal="center" vertical="center" wrapText="1"/>
    </xf>
    <xf numFmtId="0" fontId="285" fillId="0" borderId="80" xfId="0" applyFont="1" applyBorder="1" applyAlignment="1">
      <alignment horizontal="center" vertical="center" wrapText="1"/>
    </xf>
  </cellXfs>
  <cellStyles count="23">
    <cellStyle name="百分比 2" xfId="11"/>
    <cellStyle name="常规" xfId="0" builtinId="0"/>
    <cellStyle name="常规 10" xfId="18"/>
    <cellStyle name="常规 11" xfId="20"/>
    <cellStyle name="常规 12" xfId="22"/>
    <cellStyle name="常规 16" xfId="1"/>
    <cellStyle name="常规 2" xfId="2"/>
    <cellStyle name="常规 2 2" xfId="3"/>
    <cellStyle name="常规 2 2 2" xfId="21"/>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8 2" xfId="17"/>
    <cellStyle name="常规 9" xfId="14"/>
    <cellStyle name="常规 9 2" xfId="16"/>
    <cellStyle name="超链接 2" xfId="19"/>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121920</xdr:colOff>
      <xdr:row>38</xdr:row>
      <xdr:rowOff>30480</xdr:rowOff>
    </xdr:from>
    <xdr:to>
      <xdr:col>15</xdr:col>
      <xdr:colOff>291391</xdr:colOff>
      <xdr:row>54</xdr:row>
      <xdr:rowOff>30479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158740" y="7277100"/>
          <a:ext cx="5655871" cy="2926079"/>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4SGCB%20&#20116;&#26143;/&#27979;&#31639;&#65288;8-2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row>
        <row r="13">
          <cell r="D13" t="str">
            <v>郑燚</v>
          </cell>
        </row>
        <row r="14">
          <cell r="D14"/>
        </row>
        <row r="15">
          <cell r="D15" t="str">
            <v>杨红英</v>
          </cell>
        </row>
        <row r="16">
          <cell r="D16" t="str">
            <v>刘梅</v>
          </cell>
        </row>
        <row r="17">
          <cell r="D17"/>
        </row>
        <row r="18">
          <cell r="D18"/>
        </row>
        <row r="19">
          <cell r="D19"/>
        </row>
        <row r="20">
          <cell r="D20"/>
        </row>
        <row r="21">
          <cell r="D21" t="str">
            <v>赵雯</v>
          </cell>
        </row>
        <row r="22">
          <cell r="D22" t="str">
            <v>刘敬东</v>
          </cell>
        </row>
        <row r="23">
          <cell r="D23"/>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0"/>
      <sheetData sheetId="21"/>
      <sheetData sheetId="22"/>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2">
          <cell r="B72" t="str">
            <v>用途</v>
          </cell>
          <cell r="C72" t="str">
            <v>工业</v>
          </cell>
          <cell r="D72" t="str">
            <v>仓储</v>
          </cell>
          <cell r="E72"/>
          <cell r="F72"/>
          <cell r="G72"/>
          <cell r="H72"/>
          <cell r="I72"/>
          <cell r="J72"/>
          <cell r="K72"/>
          <cell r="L72"/>
          <cell r="M72"/>
        </row>
        <row r="99">
          <cell r="B99" t="str">
            <v>毗邻道路的类型与等级</v>
          </cell>
          <cell r="C99" t="str">
            <v>城市快速路</v>
          </cell>
          <cell r="D99" t="str">
            <v>主</v>
          </cell>
          <cell r="E99" t="str">
            <v>次</v>
          </cell>
          <cell r="F99" t="str">
            <v>支</v>
          </cell>
          <cell r="G99"/>
          <cell r="H99"/>
          <cell r="I99"/>
          <cell r="J99"/>
          <cell r="K99"/>
          <cell r="L99"/>
          <cell r="M99"/>
        </row>
        <row r="101">
          <cell r="B101" t="str">
            <v>土地级别</v>
          </cell>
          <cell r="C101" t="str">
            <v>六级</v>
          </cell>
          <cell r="D101" t="str">
            <v>八级</v>
          </cell>
          <cell r="E101"/>
          <cell r="F101"/>
          <cell r="G101"/>
          <cell r="H101"/>
          <cell r="I101"/>
          <cell r="J101"/>
          <cell r="K101"/>
          <cell r="L101"/>
          <cell r="M101"/>
        </row>
        <row r="112">
          <cell r="B112" t="str">
            <v>宗地形状</v>
          </cell>
          <cell r="C112" t="str">
            <v>较规则</v>
          </cell>
          <cell r="D112"/>
          <cell r="E112"/>
          <cell r="F112"/>
          <cell r="G112"/>
          <cell r="H112"/>
          <cell r="I112"/>
          <cell r="J112"/>
          <cell r="K112"/>
          <cell r="L112"/>
          <cell r="M112"/>
        </row>
        <row r="114">
          <cell r="B114" t="str">
            <v>宗地开发程度</v>
          </cell>
          <cell r="C114" t="str">
            <v>七通</v>
          </cell>
          <cell r="D114" t="str">
            <v>六通</v>
          </cell>
          <cell r="E114" t="str">
            <v>五通</v>
          </cell>
          <cell r="F114" t="str">
            <v>四通</v>
          </cell>
          <cell r="G114" t="str">
            <v>三通</v>
          </cell>
          <cell r="H114"/>
          <cell r="I114"/>
          <cell r="J114"/>
          <cell r="K114"/>
          <cell r="L114"/>
          <cell r="M114"/>
        </row>
        <row r="116">
          <cell r="B116" t="str">
            <v>工程地质条件</v>
          </cell>
          <cell r="C116" t="str">
            <v>自然平整</v>
          </cell>
          <cell r="D116"/>
          <cell r="E116"/>
          <cell r="F116"/>
          <cell r="G116"/>
          <cell r="H116"/>
          <cell r="I116"/>
          <cell r="J116"/>
          <cell r="K116"/>
          <cell r="L116"/>
          <cell r="M116"/>
        </row>
      </sheetData>
      <sheetData sheetId="39"/>
      <sheetData sheetId="40"/>
      <sheetData sheetId="41">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42">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43">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4">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5">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6">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7">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8"/>
      <sheetData sheetId="49"/>
      <sheetData sheetId="50"/>
      <sheetData sheetId="51">
        <row r="44">
          <cell r="E44">
            <v>1631</v>
          </cell>
        </row>
      </sheetData>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北京市海淀区清河安宁庄东路1号出让国有建设用地使用权市场价格预评估</v>
      </c>
      <c r="AX2" s="2898"/>
      <c r="AZ2" s="2898"/>
      <c r="BA2" s="2899"/>
      <c r="BC2" s="2899"/>
    </row>
    <row r="3" spans="1:55" s="2900" customFormat="1">
      <c r="A3" s="2879" t="s">
        <v>2664</v>
      </c>
      <c r="B3" s="2882">
        <f>'预评函-封皮'!B40</f>
        <v>0</v>
      </c>
    </row>
    <row r="4" spans="1:55" s="2881" customFormat="1">
      <c r="A4" s="2879" t="s">
        <v>2665</v>
      </c>
      <c r="B4" s="2880" t="str">
        <f>'预评函-封皮'!B46</f>
        <v>土地估价师、土地估价师</v>
      </c>
      <c r="N4" s="2881" t="str">
        <f>'预评函-1'!A28</f>
        <v>——</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受贵公司委托，我公司对北京市海淀区清河安宁庄东路1号出让国有建设用地使用权市场价格进行了预评估。</v>
      </c>
      <c r="AM6" s="2904"/>
    </row>
    <row r="7" spans="1:55" s="2878" customFormat="1">
      <c r="A7" s="2879" t="s">
        <v>2660</v>
      </c>
      <c r="B7" s="2880" t="str">
        <f>'预评函-1'!A6</f>
        <v>估价对象为北京金隅股份有限公司使用的、位于北京市海淀区清河安宁庄东路1号出让国有建设用地使用权。根据《国有土地使用证》[]，估价对象（分摊）出让国有建设用地使用权面积为130380.53平方米。根据《建设工程规划许可证》[]、《出让合同》[]，估价对象规划建筑面积为57196.5平方米。</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本次评估为委托估价方了解标的物之市场价格提供参考依据而评估出让国有建设用地使用权市场价格。</v>
      </c>
    </row>
    <row r="10" spans="1:55" s="2878" customFormat="1">
      <c r="A10" s="2879" t="s">
        <v>2662</v>
      </c>
      <c r="B10" s="2880" t="str">
        <f>'预评函-1'!A11</f>
        <v>2018年11月6日（评估专业人员勘察现场之日）</v>
      </c>
    </row>
    <row r="11" spans="1:55" s="2878" customFormat="1">
      <c r="A11" s="2879" t="s">
        <v>2668</v>
      </c>
      <c r="B11" s="2880" t="str">
        <f>'预评函-1'!A14</f>
        <v>根据《国有土地使用证》[]，本次评估估价对象证载（地类）用途为工交。</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2671</v>
      </c>
      <c r="B14" s="2880" t="str">
        <f>'预评函-1'!A18</f>
        <v>。本次评估设定土地开发程度为红线外市政基础设施达“七通”、宗地红线内场地平整。</v>
      </c>
    </row>
    <row r="15" spans="1:55" s="2878" customFormat="1">
      <c r="A15" s="2879" t="s">
        <v>2667</v>
      </c>
      <c r="B15" s="2880" t="str">
        <f>'预评函-1'!A20</f>
        <v>根据《国有土地使用证》[]，估价对象（分摊）出让国有建设用地使用权面积为130380.53平方米。根据《建设工程规划许可证》[]、《出让合同》[]，估价对象规划建筑面积为57196.5平方米。</v>
      </c>
    </row>
    <row r="16" spans="1:55" s="2878" customFormat="1">
      <c r="A16" s="2879" t="s">
        <v>2672</v>
      </c>
      <c r="B16" s="2880" t="str">
        <f>'预评函-1'!A22</f>
        <v>本次估价对象为出让国有建设用地使用权，《国有土地使用证》[]证载土地终止日期为工业2050年6月6日。截至估价期日，出让国有建设用地使用权剩余土地使用年限为。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row>
    <row r="19" spans="1:48" s="2878" customFormat="1">
      <c r="A19" s="2879" t="s">
        <v>2675</v>
      </c>
      <c r="B19" s="2880" t="str">
        <f>'预评函-1'!A26</f>
        <v>——</v>
      </c>
    </row>
    <row r="20" spans="1:48" s="2878" customFormat="1">
      <c r="A20" s="2879" t="s">
        <v>2676</v>
      </c>
      <c r="B20" s="2880" t="str">
        <f>'预评函-1'!A27</f>
        <v>——</v>
      </c>
    </row>
    <row r="21" spans="1:48" s="2894" customFormat="1" ht="15" thickBot="1">
      <c r="A21" s="2901" t="s">
        <v>2677</v>
      </c>
      <c r="B21" s="2902" t="str">
        <f>'预评函-1'!A28</f>
        <v>——</v>
      </c>
    </row>
    <row r="22" spans="1:48" ht="15" thickTop="1">
      <c r="A22" s="2890" t="s">
        <v>2678</v>
      </c>
      <c r="B22" s="28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估价期日：2018年11月6日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t="str">
        <f>'预评函-2'!E5</f>
        <v>工交</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红线外七通、宗地红线内</v>
      </c>
    </row>
    <row r="39" spans="1:2">
      <c r="A39" s="2879" t="s">
        <v>2722</v>
      </c>
      <c r="B39" s="2880" t="str">
        <f>'预评函-2'!L5</f>
        <v>红线外七通、宗地红线内场地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f>'预评函-2'!N5</f>
        <v>130380.53</v>
      </c>
    </row>
    <row r="44" spans="1:2">
      <c r="A44" s="2879" t="s">
        <v>2743</v>
      </c>
      <c r="B44" s="2880" t="str">
        <f>'预评函-2'!O3</f>
        <v>规划建筑面积/㎡</v>
      </c>
    </row>
    <row r="45" spans="1:2">
      <c r="A45" s="2879" t="s">
        <v>2725</v>
      </c>
      <c r="B45" s="2880">
        <f>'预评函-2'!O5</f>
        <v>57196.500000000007</v>
      </c>
    </row>
    <row r="46" spans="1:2">
      <c r="A46" s="2879" t="s">
        <v>2726</v>
      </c>
      <c r="B46" s="2880">
        <f ca="1">'预评函-2'!P5</f>
        <v>7309</v>
      </c>
    </row>
    <row r="47" spans="1:2">
      <c r="A47" s="2879" t="s">
        <v>2727</v>
      </c>
      <c r="B47" s="2880">
        <f ca="1">'预评函-2'!Q5</f>
        <v>16660</v>
      </c>
    </row>
    <row r="48" spans="1:2">
      <c r="A48" s="2879" t="s">
        <v>2728</v>
      </c>
      <c r="B48" s="2880">
        <f ca="1">'预评函-2'!R5</f>
        <v>95292</v>
      </c>
    </row>
    <row r="49" spans="1:2">
      <c r="A49" s="2879" t="s">
        <v>2744</v>
      </c>
      <c r="B49" s="2880" t="str">
        <f>'预评函-2'!A6</f>
        <v>——</v>
      </c>
    </row>
    <row r="50" spans="1:2">
      <c r="A50" s="2879" t="s">
        <v>2729</v>
      </c>
      <c r="B50" s="2880" t="str">
        <f>'预评函-2'!R6</f>
        <v>——</v>
      </c>
    </row>
    <row r="51" spans="1:2">
      <c r="A51" s="2879" t="s">
        <v>2745</v>
      </c>
      <c r="B51" s="2880" t="str">
        <f>'预评函-2'!A7</f>
        <v>——</v>
      </c>
    </row>
    <row r="52" spans="1:2">
      <c r="A52" s="2879" t="s">
        <v>2730</v>
      </c>
      <c r="B52" s="2880" t="str">
        <f>'预评函-2'!R7</f>
        <v>——</v>
      </c>
    </row>
    <row r="53" spans="1:2">
      <c r="A53" s="2879" t="s">
        <v>2746</v>
      </c>
      <c r="B53" s="2880" t="str">
        <f>'预评函-2'!A8</f>
        <v>——</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2.基础设施条件：估价对象实际开发程度为红线外七通、宗地红线内；本次评估设定开发程度为红线外七通、宗地红线内场地。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2.本次评估设定估价对象宗地权属无争议，未被查封或者以其他形式限制其房地产权利，未设定抵押权等他项权利，不涉及第三方权利义务。</v>
      </c>
    </row>
    <row r="60" spans="1:2">
      <c r="A60" s="2879" t="s">
        <v>2685</v>
      </c>
      <c r="B60" s="2880" t="str">
        <f>'预评函-3'!A9</f>
        <v>——</v>
      </c>
    </row>
    <row r="61" spans="1:2">
      <c r="A61" s="2879" t="s">
        <v>2687</v>
      </c>
      <c r="B61" s="2880" t="str">
        <f>'预评函-3'!A10</f>
        <v>——</v>
      </c>
    </row>
    <row r="62" spans="1:2">
      <c r="A62" s="2879" t="s">
        <v>2686</v>
      </c>
      <c r="B62" s="2880" t="str">
        <f>'预评函-3'!A11</f>
        <v>——</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v>
      </c>
    </row>
    <row r="66" spans="1:2">
      <c r="A66" s="2879" t="s">
        <v>2691</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土地估价师</v>
      </c>
    </row>
    <row r="70" spans="1:2">
      <c r="A70" s="2879" t="s">
        <v>2693</v>
      </c>
      <c r="B70" s="2886">
        <f>'预评函-3'!B20</f>
        <v>0</v>
      </c>
    </row>
    <row r="71" spans="1:2">
      <c r="A71" s="2879" t="s">
        <v>2694</v>
      </c>
      <c r="B71" s="2880" t="str">
        <f>'预评函-3'!A21</f>
        <v>土地估价师</v>
      </c>
    </row>
    <row r="72" spans="1:2" s="2894" customFormat="1" ht="15" thickBot="1">
      <c r="A72" s="2901" t="s">
        <v>2694</v>
      </c>
      <c r="B72" s="2907">
        <f>'预评函-3'!B21</f>
        <v>0</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C21" sqref="C21"/>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317" t="str">
        <f>IF(B10="北京市","北京市",C10)&amp;F10&amp;B16&amp;"国有建设用地使用权"&amp;B9&amp;"预评估"</f>
        <v>北京市海淀区清河安宁庄东路1号出让国有建设用地使用权市场价格预评估</v>
      </c>
      <c r="C1" s="3318"/>
      <c r="D1" s="3318"/>
      <c r="E1" s="3318"/>
      <c r="F1" s="3318"/>
      <c r="G1" s="3318"/>
      <c r="H1" s="3318"/>
      <c r="I1" s="3319"/>
      <c r="J1" s="1694"/>
      <c r="K1" s="2456" t="str">
        <f>IF(B10="北京市","北京市",C10)&amp;F10&amp;B16&amp;"国有建设用地使用权"&amp;B9</f>
        <v>北京市海淀区清河安宁庄东路1号出让国有建设用地使用权市场价格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北京市海淀区清河安宁庄东路1号出让国有建设用地使用权</v>
      </c>
      <c r="L2" s="1723"/>
      <c r="M2" s="1723"/>
      <c r="N2" s="1694"/>
      <c r="O2" s="1695"/>
      <c r="P2" s="1694"/>
      <c r="Q2" s="1694"/>
      <c r="R2" s="1694"/>
      <c r="S2" s="1694"/>
      <c r="T2" s="1694"/>
      <c r="U2" s="1694"/>
    </row>
    <row r="3" spans="1:21">
      <c r="A3" s="1661" t="s">
        <v>1942</v>
      </c>
      <c r="B3" s="1662">
        <v>43410</v>
      </c>
      <c r="C3" s="1663" t="s">
        <v>1998</v>
      </c>
      <c r="D3" s="1662">
        <f>B3</f>
        <v>43410</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2891</v>
      </c>
      <c r="C4" s="1846">
        <f>SUMIF(土地估价师,B4,估价师及机构信息!E3:E24)</f>
        <v>0</v>
      </c>
      <c r="D4" s="1843" t="s">
        <v>2891</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3015</v>
      </c>
      <c r="C8" s="1671"/>
      <c r="D8" s="3323"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t="s">
        <v>3016</v>
      </c>
      <c r="C9" s="1675"/>
      <c r="D9" s="3324"/>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1948</v>
      </c>
      <c r="C10" s="1676"/>
      <c r="D10" s="1667"/>
      <c r="E10" s="1677" t="s">
        <v>1949</v>
      </c>
      <c r="F10" s="1678" t="s">
        <v>3017</v>
      </c>
      <c r="G10" s="1745"/>
      <c r="H10" s="1746"/>
      <c r="I10" s="1667"/>
      <c r="J10" s="1694"/>
      <c r="K10" s="1774"/>
      <c r="L10" s="1723"/>
      <c r="M10" s="1723"/>
      <c r="N10" s="1694"/>
      <c r="O10" s="1695"/>
      <c r="P10" s="1694"/>
      <c r="Q10" s="1694"/>
      <c r="R10" s="1694"/>
      <c r="S10" s="1694"/>
      <c r="T10" s="1694"/>
      <c r="U10" s="1694"/>
    </row>
    <row r="11" spans="1:21" ht="28.5">
      <c r="A11" s="1697" t="s">
        <v>2003</v>
      </c>
      <c r="B11" s="1698" t="s">
        <v>3018</v>
      </c>
      <c r="C11" s="1679" t="s">
        <v>3019</v>
      </c>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320" t="s">
        <v>3020</v>
      </c>
      <c r="C12" s="3321"/>
      <c r="D12" s="3322"/>
      <c r="E12" s="1699" t="s">
        <v>2064</v>
      </c>
      <c r="F12" s="3338" t="s">
        <v>2892</v>
      </c>
      <c r="G12" s="3339"/>
      <c r="H12" s="3339"/>
      <c r="I12" s="3340"/>
      <c r="J12" s="1694"/>
      <c r="K12" s="1774"/>
      <c r="L12" s="1723"/>
      <c r="M12" s="1723"/>
      <c r="N12" s="1694"/>
      <c r="O12" s="1695"/>
      <c r="P12" s="1694"/>
      <c r="Q12" s="1694"/>
      <c r="R12" s="1694"/>
      <c r="S12" s="1694"/>
      <c r="T12" s="1694"/>
      <c r="U12" s="1694"/>
    </row>
    <row r="13" spans="1:21">
      <c r="A13" s="1687" t="s">
        <v>2062</v>
      </c>
      <c r="B13" s="3320"/>
      <c r="C13" s="3321"/>
      <c r="D13" s="3322"/>
      <c r="E13" s="1699" t="s">
        <v>2064</v>
      </c>
      <c r="F13" s="3338" t="s">
        <v>2893</v>
      </c>
      <c r="G13" s="3339"/>
      <c r="H13" s="3339"/>
      <c r="I13" s="3340"/>
      <c r="J13" s="1694"/>
      <c r="K13" s="1774"/>
      <c r="L13" s="1723"/>
      <c r="M13" s="1723"/>
      <c r="N13" s="1694"/>
      <c r="O13" s="1695"/>
      <c r="P13" s="1694"/>
      <c r="Q13" s="1694"/>
      <c r="R13" s="1694"/>
      <c r="S13" s="1694"/>
      <c r="T13" s="1694"/>
      <c r="U13" s="1694"/>
    </row>
    <row r="14" spans="1:21">
      <c r="A14" s="1661" t="s">
        <v>2065</v>
      </c>
      <c r="B14" s="1699"/>
      <c r="C14" s="1845" t="s">
        <v>3021</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3022</v>
      </c>
      <c r="C16" s="1699" t="s">
        <v>1951</v>
      </c>
      <c r="D16" s="2647" t="s">
        <v>1952</v>
      </c>
      <c r="E16" s="1722"/>
      <c r="F16" s="1722"/>
      <c r="G16" s="1722"/>
      <c r="H16" s="1722"/>
      <c r="I16" s="1686" t="s">
        <v>1957</v>
      </c>
      <c r="J16" s="1694"/>
      <c r="K16" s="2457" t="str">
        <f>IF(D17="","",D16&amp;TEXT(D17,"yyyy年m月d日;;"))</f>
        <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工业2050年6月6日</v>
      </c>
    </row>
    <row r="17" spans="1:21">
      <c r="A17" s="1763"/>
      <c r="B17" s="1682"/>
      <c r="C17" s="1683" t="s">
        <v>1958</v>
      </c>
      <c r="D17" s="1700"/>
      <c r="E17" s="1700"/>
      <c r="F17" s="1700"/>
      <c r="G17" s="1700"/>
      <c r="H17" s="1700"/>
      <c r="I17" s="1700">
        <v>54945</v>
      </c>
      <c r="J17" s="1694"/>
      <c r="K17" s="2456" t="str">
        <f>CONCATENATE(K16,L16,M16,N16,O16,P16,Q16,R16,S16,T16,,U16)</f>
        <v>工业2050年6月6日</v>
      </c>
      <c r="L17" s="1723"/>
      <c r="M17" s="1723"/>
      <c r="N17" s="1694"/>
      <c r="O17" s="1695"/>
      <c r="P17" s="1694"/>
      <c r="Q17" s="1694"/>
      <c r="R17" s="1694"/>
      <c r="S17" s="1694"/>
      <c r="T17" s="1694"/>
      <c r="U17" s="1694"/>
    </row>
    <row r="18" spans="1:21">
      <c r="A18" s="1763"/>
      <c r="B18" s="1682"/>
      <c r="C18" s="1683" t="s">
        <v>1959</v>
      </c>
      <c r="D18" s="1684"/>
      <c r="E18" s="1684"/>
      <c r="F18" s="1684"/>
      <c r="G18" s="1684"/>
      <c r="H18" s="1684"/>
      <c r="I18" s="1684">
        <v>50</v>
      </c>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f>IF(B16="出让",IF(I17="","",ROUNDDOWN(MIN((I17-$D$3)/365,I18),2)),I18)</f>
        <v>31.6</v>
      </c>
      <c r="J19" s="1694"/>
      <c r="K19" s="1774"/>
      <c r="L19" s="1723"/>
      <c r="M19" s="1723"/>
      <c r="N19" s="1694"/>
      <c r="O19" s="1695"/>
      <c r="P19" s="1694"/>
      <c r="Q19" s="1694"/>
      <c r="R19" s="1694"/>
      <c r="S19" s="1694"/>
      <c r="T19" s="1694"/>
      <c r="U19" s="1694"/>
    </row>
    <row r="20" spans="1:21">
      <c r="A20" s="1786"/>
      <c r="B20" s="1787"/>
      <c r="C20" s="1788" t="s">
        <v>2063</v>
      </c>
      <c r="D20" s="3335"/>
      <c r="E20" s="3336"/>
      <c r="F20" s="3336"/>
      <c r="G20" s="3336"/>
      <c r="H20" s="3336"/>
      <c r="I20" s="3337"/>
      <c r="J20" s="1694"/>
      <c r="K20" s="1774"/>
      <c r="L20" s="1723"/>
      <c r="M20" s="1723"/>
      <c r="N20" s="1694"/>
      <c r="O20" s="1695"/>
      <c r="P20" s="1694"/>
      <c r="Q20" s="1694"/>
      <c r="R20" s="1694"/>
      <c r="S20" s="1694"/>
      <c r="T20" s="1694"/>
      <c r="U20" s="1694"/>
    </row>
    <row r="21" spans="1:21">
      <c r="A21" s="1763" t="s">
        <v>1961</v>
      </c>
      <c r="B21" s="1764" t="s">
        <v>1962</v>
      </c>
      <c r="C21" s="1759">
        <f>'数据-汇总表'!E3</f>
        <v>57196.500000000007</v>
      </c>
      <c r="D21" s="1760" t="s">
        <v>1963</v>
      </c>
      <c r="E21" s="3325" t="s">
        <v>2001</v>
      </c>
      <c r="F21" s="3326"/>
      <c r="G21" s="3326"/>
      <c r="H21" s="3326"/>
      <c r="I21" s="3327"/>
      <c r="J21" s="1694"/>
      <c r="K21" s="1774"/>
      <c r="L21" s="1723"/>
      <c r="M21" s="1723"/>
      <c r="N21" s="1694"/>
      <c r="O21" s="1695"/>
      <c r="P21" s="1694"/>
      <c r="Q21" s="1694"/>
      <c r="R21" s="1694"/>
      <c r="S21" s="1694"/>
      <c r="T21" s="1694"/>
      <c r="U21" s="1694"/>
    </row>
    <row r="22" spans="1:21">
      <c r="A22" s="3150" t="s">
        <v>952</v>
      </c>
      <c r="B22" s="1661" t="s">
        <v>1964</v>
      </c>
      <c r="C22" s="1686">
        <f>'数据-汇总表'!D3</f>
        <v>130380.53</v>
      </c>
      <c r="D22" s="1687" t="s">
        <v>1963</v>
      </c>
      <c r="E22" s="3325" t="s">
        <v>2894</v>
      </c>
      <c r="F22" s="3326"/>
      <c r="G22" s="3326"/>
      <c r="H22" s="3326"/>
      <c r="I22" s="3327"/>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328" t="s">
        <v>1969</v>
      </c>
      <c r="C24" s="3329"/>
      <c r="D24" s="3330" t="s">
        <v>1970</v>
      </c>
      <c r="E24" s="3331"/>
      <c r="F24" s="1708" t="s">
        <v>1971</v>
      </c>
      <c r="G24" s="1694"/>
      <c r="H24" s="1694"/>
      <c r="I24" s="1707"/>
      <c r="J24" s="1694"/>
      <c r="K24" s="3316"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316"/>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316"/>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343" t="s">
        <v>2004</v>
      </c>
      <c r="B31" s="1764" t="s">
        <v>2005</v>
      </c>
      <c r="C31" s="3341"/>
      <c r="D31" s="3342"/>
      <c r="E31" s="1694"/>
      <c r="F31" s="1694"/>
      <c r="G31" s="1694"/>
      <c r="H31" s="1694"/>
      <c r="I31" s="1707"/>
      <c r="J31" s="1694"/>
      <c r="K31" s="2459"/>
      <c r="L31" s="1694"/>
      <c r="M31" s="1694"/>
      <c r="N31" s="1694"/>
      <c r="O31" s="1694"/>
      <c r="P31" s="1694"/>
      <c r="Q31" s="1694"/>
      <c r="R31" s="1694"/>
      <c r="S31" s="1694"/>
      <c r="T31" s="1694"/>
      <c r="U31" s="1694"/>
    </row>
    <row r="32" spans="1:21">
      <c r="A32" s="3343"/>
      <c r="B32" s="1661" t="s">
        <v>2006</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343"/>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344"/>
      <c r="B34" s="1661" t="s">
        <v>2008</v>
      </c>
      <c r="C34" s="3345"/>
      <c r="D34" s="3346"/>
      <c r="E34" s="1694"/>
      <c r="F34" s="1694"/>
      <c r="G34" s="1694"/>
      <c r="H34" s="1694"/>
      <c r="I34" s="1707"/>
      <c r="J34" s="1694"/>
      <c r="K34" s="2459"/>
      <c r="L34" s="1694"/>
      <c r="M34" s="1694"/>
      <c r="N34" s="1694"/>
      <c r="O34" s="1694"/>
      <c r="P34" s="1694"/>
      <c r="Q34" s="1694"/>
      <c r="R34" s="1694"/>
      <c r="S34" s="1694"/>
      <c r="T34" s="1694"/>
      <c r="U34" s="1694"/>
    </row>
    <row r="35" spans="1:21">
      <c r="A35" s="3347" t="s">
        <v>847</v>
      </c>
      <c r="B35" s="1722"/>
      <c r="C35" s="1776" t="str">
        <f>IF(B35="场地平整","——","具体情况：")</f>
        <v>具体情况：</v>
      </c>
      <c r="D35" s="3349"/>
      <c r="E35" s="3350"/>
      <c r="F35" s="3350"/>
      <c r="G35" s="3350"/>
      <c r="H35" s="3350"/>
      <c r="I35" s="3351"/>
      <c r="J35" s="1694"/>
      <c r="K35" s="1775"/>
      <c r="L35" s="1723"/>
      <c r="M35" s="1723"/>
      <c r="N35" s="1694"/>
      <c r="O35" s="1695"/>
      <c r="P35" s="1694"/>
      <c r="Q35" s="1694"/>
      <c r="R35" s="1694"/>
      <c r="S35" s="1694"/>
      <c r="T35" s="1694"/>
      <c r="U35" s="1694"/>
    </row>
    <row r="36" spans="1:21">
      <c r="A36" s="3343"/>
      <c r="B36" s="3352" t="s">
        <v>2057</v>
      </c>
      <c r="C36" s="3353"/>
      <c r="D36" s="1792"/>
      <c r="E36" s="3354"/>
      <c r="F36" s="3354"/>
      <c r="G36" s="1687" t="str">
        <f>IF(B35="场地未平整","估价结果处理","")</f>
        <v/>
      </c>
      <c r="H36" s="3355"/>
      <c r="I36" s="3355"/>
      <c r="J36" s="1694"/>
      <c r="K36" s="1775"/>
      <c r="L36" s="1723"/>
      <c r="M36" s="1723"/>
      <c r="N36" s="1694"/>
      <c r="O36" s="1695"/>
      <c r="P36" s="1694"/>
      <c r="Q36" s="1694"/>
      <c r="R36" s="1694"/>
      <c r="S36" s="1694"/>
      <c r="T36" s="1694"/>
      <c r="U36" s="1694"/>
    </row>
    <row r="37" spans="1:21" ht="28.5">
      <c r="A37" s="3343"/>
      <c r="B37" s="3332"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343"/>
      <c r="B38" s="3333"/>
      <c r="C38" s="1669" t="s">
        <v>850</v>
      </c>
      <c r="D38" s="1791">
        <f>ROUNDDOWN(MIN(('数据-取费表'!$B$2-D37)/365,D34),1)</f>
        <v>118.9</v>
      </c>
      <c r="E38" s="1727" t="s">
        <v>851</v>
      </c>
      <c r="F38" s="1694"/>
      <c r="G38" s="1694"/>
      <c r="H38" s="1694"/>
      <c r="I38" s="1707"/>
      <c r="J38" s="1694"/>
      <c r="K38" s="1775"/>
      <c r="L38" s="1694"/>
      <c r="M38" s="1694"/>
      <c r="N38" s="1694"/>
      <c r="O38" s="1694"/>
      <c r="P38" s="1694"/>
      <c r="Q38" s="1694"/>
      <c r="R38" s="1694"/>
      <c r="S38" s="1694"/>
      <c r="T38" s="1694"/>
      <c r="U38" s="1694"/>
    </row>
    <row r="39" spans="1:21">
      <c r="A39" s="3344"/>
      <c r="B39" s="3334"/>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315" t="s">
        <v>1988</v>
      </c>
      <c r="T40" s="1731" t="str">
        <f>NUMBERSTRING(7-K40,1)&amp;"通"</f>
        <v>七通</v>
      </c>
      <c r="U40" s="1694"/>
    </row>
    <row r="41" spans="1:21">
      <c r="A41" s="1663"/>
      <c r="B41" s="3348" t="s">
        <v>1722</v>
      </c>
      <c r="C41" s="3348"/>
      <c r="D41" s="3348"/>
      <c r="E41" s="3348"/>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315"/>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t="s">
        <v>1408</v>
      </c>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t="s">
        <v>3029</v>
      </c>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2895</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130380.53</v>
      </c>
      <c r="B3" s="22">
        <f>IF(C3="否",G5-AT5,G5)</f>
        <v>57196.500000000007</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57196.500000000007</v>
      </c>
      <c r="H5" s="27">
        <f t="shared" ref="H5:AT5" si="0">SUM(H13:H641)</f>
        <v>57196.500000000007</v>
      </c>
      <c r="I5" s="27">
        <f t="shared" si="0"/>
        <v>22250.589999999997</v>
      </c>
      <c r="J5" s="27">
        <f t="shared" si="0"/>
        <v>0</v>
      </c>
      <c r="K5" s="27">
        <f t="shared" si="0"/>
        <v>4108.2</v>
      </c>
      <c r="L5" s="27">
        <f t="shared" si="0"/>
        <v>0</v>
      </c>
      <c r="M5" s="27">
        <f t="shared" si="0"/>
        <v>25448.21</v>
      </c>
      <c r="N5" s="27">
        <f t="shared" si="0"/>
        <v>0</v>
      </c>
      <c r="O5" s="27">
        <f t="shared" si="0"/>
        <v>2911</v>
      </c>
      <c r="P5" s="27">
        <f t="shared" si="0"/>
        <v>0</v>
      </c>
      <c r="Q5" s="27">
        <f t="shared" si="0"/>
        <v>2478.5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57196.500000000007</v>
      </c>
      <c r="BA5" s="29">
        <f t="shared" si="1"/>
        <v>57196.500000000007</v>
      </c>
      <c r="BB5" s="29">
        <f t="shared" si="1"/>
        <v>22250.589999999997</v>
      </c>
      <c r="BC5" s="29">
        <f t="shared" si="1"/>
        <v>4108.2</v>
      </c>
      <c r="BD5" s="29">
        <f t="shared" si="1"/>
        <v>25448.21</v>
      </c>
      <c r="BE5" s="29">
        <f t="shared" si="1"/>
        <v>2911</v>
      </c>
      <c r="BF5" s="29">
        <f t="shared" si="1"/>
        <v>2478.5</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130380.52999999998</v>
      </c>
      <c r="F6" s="27" t="s">
        <v>1</v>
      </c>
      <c r="G6" s="27" t="s">
        <v>2</v>
      </c>
      <c r="H6" s="33">
        <f>SUMIF(I$12:AB$12,"总值",I6:AB6)</f>
        <v>130380.52999999998</v>
      </c>
      <c r="I6" s="27">
        <f t="shared" ref="I6:AB6" si="2">ROUND($A$3*I5/$B$3,2)</f>
        <v>50720.65</v>
      </c>
      <c r="J6" s="27">
        <f t="shared" si="2"/>
        <v>0</v>
      </c>
      <c r="K6" s="27">
        <f t="shared" si="2"/>
        <v>9364.7199999999993</v>
      </c>
      <c r="L6" s="27">
        <f t="shared" si="2"/>
        <v>0</v>
      </c>
      <c r="M6" s="27">
        <f t="shared" si="2"/>
        <v>58009.69</v>
      </c>
      <c r="N6" s="27">
        <f t="shared" si="2"/>
        <v>0</v>
      </c>
      <c r="O6" s="27">
        <f t="shared" si="2"/>
        <v>6635.68</v>
      </c>
      <c r="P6" s="27">
        <f t="shared" si="2"/>
        <v>0</v>
      </c>
      <c r="Q6" s="27">
        <f t="shared" si="2"/>
        <v>5649.79</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130380.53</v>
      </c>
      <c r="AZ6" s="27" t="s">
        <v>3</v>
      </c>
      <c r="BA6" s="27">
        <f>ROUND($AY$6*BA5/$AZ$5,2)</f>
        <v>130380.53</v>
      </c>
      <c r="BB6" s="27">
        <f>ROUND($AY$6*BB5/$AZ$5,2)</f>
        <v>50720.65</v>
      </c>
      <c r="BC6" s="27">
        <f t="shared" ref="BC6:BH6" si="4">ROUND($AY$6*BC5/$AZ$5,2)</f>
        <v>9364.7199999999993</v>
      </c>
      <c r="BD6" s="27">
        <f t="shared" si="4"/>
        <v>58009.69</v>
      </c>
      <c r="BE6" s="27">
        <f t="shared" si="4"/>
        <v>6635.68</v>
      </c>
      <c r="BF6" s="27">
        <f t="shared" si="4"/>
        <v>5649.79</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t="s">
        <v>3014</v>
      </c>
      <c r="J9" s="51"/>
      <c r="K9" s="3020" t="s">
        <v>3014</v>
      </c>
      <c r="L9" s="51"/>
      <c r="M9" s="3020" t="s">
        <v>3014</v>
      </c>
      <c r="N9" s="51"/>
      <c r="O9" s="59" t="s">
        <v>3014</v>
      </c>
      <c r="P9" s="51"/>
      <c r="Q9" s="59" t="s">
        <v>3014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t="s">
        <v>982</v>
      </c>
      <c r="J10" s="51"/>
      <c r="K10" s="3022" t="s">
        <v>982</v>
      </c>
      <c r="L10" s="51"/>
      <c r="M10" s="3022" t="s">
        <v>982</v>
      </c>
      <c r="N10" s="51"/>
      <c r="O10" s="66" t="s">
        <v>982</v>
      </c>
      <c r="P10" s="51"/>
      <c r="Q10" s="66" t="s">
        <v>982</v>
      </c>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地上</v>
      </c>
      <c r="BF10" s="69" t="str">
        <f>Q9</f>
        <v>地上</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3024</v>
      </c>
      <c r="J11" s="71"/>
      <c r="K11" s="3021">
        <v>2</v>
      </c>
      <c r="L11" s="71"/>
      <c r="M11" s="70">
        <v>3</v>
      </c>
      <c r="N11" s="71"/>
      <c r="O11" s="70">
        <v>6</v>
      </c>
      <c r="P11" s="71"/>
      <c r="Q11" s="70">
        <v>4</v>
      </c>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t="str">
        <f>M10</f>
        <v>工业</v>
      </c>
      <c r="BE11" s="50" t="str">
        <f>O10</f>
        <v>工业</v>
      </c>
      <c r="BF11" s="50" t="str">
        <f>Q10</f>
        <v>工业</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平房</v>
      </c>
      <c r="BC12" s="79">
        <f>K11</f>
        <v>2</v>
      </c>
      <c r="BD12" s="79">
        <f>M11</f>
        <v>3</v>
      </c>
      <c r="BE12" s="50">
        <f>O11</f>
        <v>6</v>
      </c>
      <c r="BF12" s="50">
        <f>Q11</f>
        <v>4</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15" t="s">
        <v>3023</v>
      </c>
      <c r="B13" s="3015"/>
      <c r="C13" s="3015">
        <v>12</v>
      </c>
      <c r="D13" s="3016" t="s">
        <v>1679</v>
      </c>
      <c r="E13" s="27">
        <f t="shared" ref="E13:E20" si="6">IF($C$3="是",ROUND($A$3*G13/$B$3,2),ROUND($A$3*(G13-AT13)/$B$3,2))</f>
        <v>5830.55</v>
      </c>
      <c r="F13" s="81"/>
      <c r="G13" s="82">
        <f t="shared" ref="G13:G20" si="7">H13+AC13+AT13</f>
        <v>2557.8000000000002</v>
      </c>
      <c r="H13" s="33">
        <f t="shared" ref="H13:H20" si="8">SUMIF(I$12:AB$12,"总值",I13:AB13)</f>
        <v>2557.8000000000002</v>
      </c>
      <c r="I13" s="3019"/>
      <c r="J13" s="3019"/>
      <c r="K13" s="3019">
        <v>2557.8000000000002</v>
      </c>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t="str">
        <f t="shared" ref="AV13:AX20" si="10">A13</f>
        <v>京房权证海股移字第0110433号</v>
      </c>
      <c r="AW13" s="17">
        <f t="shared" si="10"/>
        <v>0</v>
      </c>
      <c r="AX13" s="17">
        <f t="shared" si="10"/>
        <v>12</v>
      </c>
      <c r="AY13" s="996">
        <f t="shared" ref="AY13:AY20" si="11">ROUND($AY$6*AZ13/$AZ$5,2)</f>
        <v>5830.55</v>
      </c>
      <c r="AZ13" s="27">
        <f t="shared" ref="AZ13:AZ20" si="12">BA13+BL13</f>
        <v>2557.8000000000002</v>
      </c>
      <c r="BA13" s="27">
        <f t="shared" ref="BA13:BA20" si="13">SUM(BB13:BK13)</f>
        <v>2557.8000000000002</v>
      </c>
      <c r="BB13" s="27">
        <f t="shared" ref="BB13:BB20" si="14">IF($D13="是",I13-J13,0)</f>
        <v>0</v>
      </c>
      <c r="BC13" s="27">
        <f t="shared" ref="BC13:BC20" si="15">IF($D13="是",K13-L13,0)</f>
        <v>2557.8000000000002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v>16</v>
      </c>
      <c r="D14" s="3016" t="s">
        <v>1679</v>
      </c>
      <c r="E14" s="27">
        <f t="shared" si="6"/>
        <v>1399.62</v>
      </c>
      <c r="F14" s="81"/>
      <c r="G14" s="82">
        <f t="shared" si="7"/>
        <v>614</v>
      </c>
      <c r="H14" s="33">
        <f t="shared" si="8"/>
        <v>614</v>
      </c>
      <c r="I14" s="3019"/>
      <c r="J14" s="3019"/>
      <c r="K14" s="3019">
        <v>614</v>
      </c>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16</v>
      </c>
      <c r="AY14" s="996">
        <f t="shared" si="11"/>
        <v>1399.62</v>
      </c>
      <c r="AZ14" s="27">
        <f t="shared" si="12"/>
        <v>614</v>
      </c>
      <c r="BA14" s="27">
        <f t="shared" si="13"/>
        <v>614</v>
      </c>
      <c r="BB14" s="27">
        <f t="shared" si="14"/>
        <v>0</v>
      </c>
      <c r="BC14" s="27">
        <f t="shared" si="15"/>
        <v>614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t="s">
        <v>1679</v>
      </c>
      <c r="E15" s="27">
        <f t="shared" si="6"/>
        <v>0</v>
      </c>
      <c r="F15" s="81"/>
      <c r="G15" s="82">
        <f t="shared" si="7"/>
        <v>0</v>
      </c>
      <c r="H15" s="33">
        <f t="shared" si="8"/>
        <v>0</v>
      </c>
      <c r="I15" s="3019">
        <v>0</v>
      </c>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t="s">
        <v>1679</v>
      </c>
      <c r="E16" s="27">
        <f t="shared" si="6"/>
        <v>0</v>
      </c>
      <c r="F16" s="81"/>
      <c r="G16" s="82">
        <f t="shared" si="7"/>
        <v>0</v>
      </c>
      <c r="H16" s="33">
        <f t="shared" si="8"/>
        <v>0</v>
      </c>
      <c r="I16" s="3019">
        <v>0</v>
      </c>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v>24</v>
      </c>
      <c r="D17" s="3016" t="s">
        <v>1679</v>
      </c>
      <c r="E17" s="27">
        <f t="shared" si="6"/>
        <v>352.41</v>
      </c>
      <c r="F17" s="81"/>
      <c r="G17" s="82">
        <f t="shared" si="7"/>
        <v>154.6</v>
      </c>
      <c r="H17" s="33">
        <f t="shared" si="8"/>
        <v>154.6</v>
      </c>
      <c r="I17" s="3019">
        <v>154.6</v>
      </c>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24</v>
      </c>
      <c r="AY17" s="996">
        <f t="shared" si="11"/>
        <v>352.41</v>
      </c>
      <c r="AZ17" s="27">
        <f t="shared" si="12"/>
        <v>154.6</v>
      </c>
      <c r="BA17" s="27">
        <f t="shared" si="13"/>
        <v>154.6</v>
      </c>
      <c r="BB17" s="27">
        <f t="shared" si="14"/>
        <v>154.6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v>25</v>
      </c>
      <c r="D18" s="3018" t="s">
        <v>1679</v>
      </c>
      <c r="E18" s="87">
        <f t="shared" si="6"/>
        <v>1656.53</v>
      </c>
      <c r="F18" s="88"/>
      <c r="G18" s="89">
        <f t="shared" si="7"/>
        <v>726.7</v>
      </c>
      <c r="H18" s="90">
        <f t="shared" si="8"/>
        <v>726.7</v>
      </c>
      <c r="I18" s="1395">
        <v>726.7</v>
      </c>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25</v>
      </c>
      <c r="AY18" s="95">
        <f t="shared" si="11"/>
        <v>1656.53</v>
      </c>
      <c r="AZ18" s="87">
        <f t="shared" si="12"/>
        <v>726.7</v>
      </c>
      <c r="BA18" s="87">
        <f t="shared" si="13"/>
        <v>726.7</v>
      </c>
      <c r="BB18" s="87">
        <f t="shared" si="14"/>
        <v>726.7</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v>26</v>
      </c>
      <c r="D19" s="80" t="s">
        <v>1679</v>
      </c>
      <c r="E19" s="87">
        <f t="shared" si="6"/>
        <v>117.62</v>
      </c>
      <c r="F19" s="88"/>
      <c r="G19" s="89">
        <f t="shared" si="7"/>
        <v>51.6</v>
      </c>
      <c r="H19" s="90">
        <f t="shared" si="8"/>
        <v>51.6</v>
      </c>
      <c r="I19" s="1395">
        <v>51.6</v>
      </c>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26</v>
      </c>
      <c r="AY19" s="95">
        <f t="shared" si="11"/>
        <v>117.62</v>
      </c>
      <c r="AZ19" s="87">
        <f t="shared" si="12"/>
        <v>51.6</v>
      </c>
      <c r="BA19" s="87">
        <f t="shared" si="13"/>
        <v>51.6</v>
      </c>
      <c r="BB19" s="87">
        <f t="shared" si="14"/>
        <v>51.6</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v>27</v>
      </c>
      <c r="D20" s="80" t="s">
        <v>1679</v>
      </c>
      <c r="E20" s="87">
        <f t="shared" si="6"/>
        <v>421.48</v>
      </c>
      <c r="F20" s="88"/>
      <c r="G20" s="89">
        <f t="shared" si="7"/>
        <v>184.9</v>
      </c>
      <c r="H20" s="90">
        <f t="shared" si="8"/>
        <v>184.9</v>
      </c>
      <c r="I20" s="1395">
        <v>184.9</v>
      </c>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27</v>
      </c>
      <c r="AY20" s="95">
        <f t="shared" si="11"/>
        <v>421.48</v>
      </c>
      <c r="AZ20" s="87">
        <f t="shared" si="12"/>
        <v>184.9</v>
      </c>
      <c r="BA20" s="87">
        <f t="shared" si="13"/>
        <v>184.9</v>
      </c>
      <c r="BB20" s="87">
        <f t="shared" si="14"/>
        <v>184.9</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v>35</v>
      </c>
      <c r="D21" s="80" t="s">
        <v>1679</v>
      </c>
      <c r="E21" s="87">
        <f t="shared" ref="E21:E112" si="33">IF($C$3="是",ROUND($A$3*G21/$B$3,2),ROUND($A$3*(G21-AT21)/$B$3,2))</f>
        <v>147.03</v>
      </c>
      <c r="F21" s="88"/>
      <c r="G21" s="89">
        <f t="shared" ref="G21:G109" si="34">H21+AC21+AT21</f>
        <v>64.5</v>
      </c>
      <c r="H21" s="90">
        <f t="shared" ref="H21:H109" si="35">SUMIF(I$12:AB$12,"总值",I21:AB21)</f>
        <v>64.5</v>
      </c>
      <c r="I21" s="1397">
        <v>64.5</v>
      </c>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35</v>
      </c>
      <c r="AY21" s="95">
        <f t="shared" ref="AY21:AY109" si="40">ROUND($AY$6*AZ21/$AZ$5,2)</f>
        <v>147.03</v>
      </c>
      <c r="AZ21" s="87">
        <f t="shared" ref="AZ21:AZ109" si="41">BA21+BL21</f>
        <v>64.5</v>
      </c>
      <c r="BA21" s="87">
        <f t="shared" ref="BA21:BA109" si="42">SUM(BB21:BK21)</f>
        <v>64.5</v>
      </c>
      <c r="BB21" s="87">
        <f t="shared" ref="BB21:BB109" si="43">IF($D21="是",I21-J21,0)</f>
        <v>64.5</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42.75">
      <c r="A22" s="3015" t="s">
        <v>3184</v>
      </c>
      <c r="B22" s="1394"/>
      <c r="C22" s="1395">
        <v>45</v>
      </c>
      <c r="D22" s="80" t="s">
        <v>1679</v>
      </c>
      <c r="E22" s="87">
        <f t="shared" si="33"/>
        <v>38592.6</v>
      </c>
      <c r="F22" s="88"/>
      <c r="G22" s="89">
        <f t="shared" si="34"/>
        <v>16930.150000000001</v>
      </c>
      <c r="H22" s="90">
        <f t="shared" si="35"/>
        <v>16930.150000000001</v>
      </c>
      <c r="I22" s="1397"/>
      <c r="J22" s="91"/>
      <c r="K22" s="1397"/>
      <c r="L22" s="91"/>
      <c r="M22" s="3182">
        <v>16930.150000000001</v>
      </c>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t="str">
        <f t="shared" si="37"/>
        <v>X京房权证海字第143645号</v>
      </c>
      <c r="AW22" s="1980">
        <f t="shared" si="38"/>
        <v>0</v>
      </c>
      <c r="AX22" s="1980">
        <f t="shared" si="39"/>
        <v>45</v>
      </c>
      <c r="AY22" s="95">
        <f t="shared" si="40"/>
        <v>38592.6</v>
      </c>
      <c r="AZ22" s="87">
        <f t="shared" si="41"/>
        <v>16930.150000000001</v>
      </c>
      <c r="BA22" s="87">
        <f t="shared" si="42"/>
        <v>16930.150000000001</v>
      </c>
      <c r="BB22" s="87">
        <f t="shared" si="43"/>
        <v>0</v>
      </c>
      <c r="BC22" s="87">
        <f t="shared" si="44"/>
        <v>0</v>
      </c>
      <c r="BD22" s="87">
        <f t="shared" si="45"/>
        <v>16930.150000000001</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57">
      <c r="A23" s="3015" t="s">
        <v>3028</v>
      </c>
      <c r="B23" s="1394"/>
      <c r="C23" s="1395">
        <v>2</v>
      </c>
      <c r="D23" s="80" t="s">
        <v>1679</v>
      </c>
      <c r="E23" s="87">
        <f t="shared" si="33"/>
        <v>6918.57</v>
      </c>
      <c r="F23" s="88"/>
      <c r="G23" s="89">
        <f t="shared" si="34"/>
        <v>3035.1</v>
      </c>
      <c r="H23" s="90">
        <f t="shared" si="35"/>
        <v>3035.1</v>
      </c>
      <c r="I23" s="1397">
        <v>3035.1</v>
      </c>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t="str">
        <f t="shared" si="37"/>
        <v>京房权证海股移字第0110434号</v>
      </c>
      <c r="AW23" s="1980">
        <f t="shared" si="38"/>
        <v>0</v>
      </c>
      <c r="AX23" s="1980">
        <f t="shared" si="39"/>
        <v>2</v>
      </c>
      <c r="AY23" s="95">
        <f t="shared" si="40"/>
        <v>6918.57</v>
      </c>
      <c r="AZ23" s="87">
        <f t="shared" si="41"/>
        <v>3035.1</v>
      </c>
      <c r="BA23" s="87">
        <f t="shared" si="42"/>
        <v>3035.1</v>
      </c>
      <c r="BB23" s="87">
        <f t="shared" si="43"/>
        <v>3035.1</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v>3</v>
      </c>
      <c r="D24" s="80" t="s">
        <v>1679</v>
      </c>
      <c r="E24" s="87">
        <f t="shared" si="33"/>
        <v>2134.54</v>
      </c>
      <c r="F24" s="88"/>
      <c r="G24" s="89">
        <f t="shared" si="34"/>
        <v>936.4</v>
      </c>
      <c r="H24" s="90">
        <f t="shared" si="35"/>
        <v>936.4</v>
      </c>
      <c r="I24" s="1397"/>
      <c r="J24" s="91"/>
      <c r="K24" s="1397">
        <v>936.4</v>
      </c>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3</v>
      </c>
      <c r="AY24" s="95">
        <f t="shared" si="40"/>
        <v>2134.54</v>
      </c>
      <c r="AZ24" s="87">
        <f t="shared" si="41"/>
        <v>936.4</v>
      </c>
      <c r="BA24" s="87">
        <f t="shared" si="42"/>
        <v>936.4</v>
      </c>
      <c r="BB24" s="87">
        <f t="shared" si="43"/>
        <v>0</v>
      </c>
      <c r="BC24" s="87">
        <f t="shared" si="44"/>
        <v>936.4</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v>6</v>
      </c>
      <c r="D25" s="80" t="s">
        <v>1679</v>
      </c>
      <c r="E25" s="87">
        <f t="shared" si="33"/>
        <v>5329.17</v>
      </c>
      <c r="F25" s="88"/>
      <c r="G25" s="89">
        <f t="shared" si="34"/>
        <v>2337.85</v>
      </c>
      <c r="H25" s="90">
        <f t="shared" si="35"/>
        <v>2337.85</v>
      </c>
      <c r="I25" s="1397">
        <v>2337.85</v>
      </c>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6</v>
      </c>
      <c r="AY25" s="95">
        <f t="shared" si="40"/>
        <v>5329.17</v>
      </c>
      <c r="AZ25" s="87">
        <f t="shared" si="41"/>
        <v>2337.85</v>
      </c>
      <c r="BA25" s="87">
        <f t="shared" si="42"/>
        <v>2337.85</v>
      </c>
      <c r="BB25" s="87">
        <f t="shared" si="43"/>
        <v>2337.85</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v>8</v>
      </c>
      <c r="D26" s="80" t="s">
        <v>1679</v>
      </c>
      <c r="E26" s="87">
        <f t="shared" si="33"/>
        <v>11203.15</v>
      </c>
      <c r="F26" s="88"/>
      <c r="G26" s="89">
        <f t="shared" si="34"/>
        <v>4914.7</v>
      </c>
      <c r="H26" s="90">
        <f t="shared" si="35"/>
        <v>4914.7</v>
      </c>
      <c r="I26" s="1397">
        <v>4914.7</v>
      </c>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8</v>
      </c>
      <c r="AY26" s="95">
        <f t="shared" si="40"/>
        <v>11203.15</v>
      </c>
      <c r="AZ26" s="87">
        <f t="shared" si="41"/>
        <v>4914.7</v>
      </c>
      <c r="BA26" s="87">
        <f t="shared" si="42"/>
        <v>4914.7</v>
      </c>
      <c r="BB26" s="87">
        <f t="shared" si="43"/>
        <v>4914.7</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v>9</v>
      </c>
      <c r="D27" s="80" t="s">
        <v>1679</v>
      </c>
      <c r="E27" s="87">
        <f t="shared" si="33"/>
        <v>583.6</v>
      </c>
      <c r="F27" s="88"/>
      <c r="G27" s="89">
        <f t="shared" si="34"/>
        <v>256.02</v>
      </c>
      <c r="H27" s="90">
        <f t="shared" si="35"/>
        <v>256.02</v>
      </c>
      <c r="I27" s="1397">
        <v>256.02</v>
      </c>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9</v>
      </c>
      <c r="AY27" s="95">
        <f t="shared" si="40"/>
        <v>583.6</v>
      </c>
      <c r="AZ27" s="87">
        <f t="shared" si="41"/>
        <v>256.02</v>
      </c>
      <c r="BA27" s="87">
        <f t="shared" si="42"/>
        <v>256.02</v>
      </c>
      <c r="BB27" s="87">
        <f t="shared" si="43"/>
        <v>256.02</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v>10</v>
      </c>
      <c r="D28" s="80" t="s">
        <v>1679</v>
      </c>
      <c r="E28" s="87">
        <f t="shared" si="33"/>
        <v>2317.36</v>
      </c>
      <c r="F28" s="88"/>
      <c r="G28" s="89">
        <f t="shared" si="34"/>
        <v>1016.6</v>
      </c>
      <c r="H28" s="90">
        <f t="shared" si="35"/>
        <v>1016.6</v>
      </c>
      <c r="I28" s="1397">
        <v>1016.6</v>
      </c>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10</v>
      </c>
      <c r="AY28" s="95">
        <f t="shared" si="40"/>
        <v>2317.36</v>
      </c>
      <c r="AZ28" s="87">
        <f t="shared" si="41"/>
        <v>1016.6</v>
      </c>
      <c r="BA28" s="87">
        <f t="shared" si="42"/>
        <v>1016.6</v>
      </c>
      <c r="BB28" s="87">
        <f t="shared" si="43"/>
        <v>1016.6</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t="s">
        <v>1679</v>
      </c>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t="s">
        <v>1679</v>
      </c>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v>35</v>
      </c>
      <c r="D31" s="80" t="s">
        <v>1679</v>
      </c>
      <c r="E31" s="87">
        <f t="shared" si="33"/>
        <v>6635.68</v>
      </c>
      <c r="F31" s="88"/>
      <c r="G31" s="89">
        <f t="shared" si="34"/>
        <v>2911</v>
      </c>
      <c r="H31" s="90">
        <f t="shared" si="35"/>
        <v>2911</v>
      </c>
      <c r="I31" s="1397"/>
      <c r="J31" s="91"/>
      <c r="K31" s="1397"/>
      <c r="L31" s="91"/>
      <c r="M31" s="91"/>
      <c r="N31" s="91"/>
      <c r="O31" s="91">
        <v>2911</v>
      </c>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35</v>
      </c>
      <c r="AY31" s="95">
        <f t="shared" si="40"/>
        <v>6635.68</v>
      </c>
      <c r="AZ31" s="87">
        <f t="shared" si="41"/>
        <v>2911</v>
      </c>
      <c r="BA31" s="87">
        <f t="shared" si="42"/>
        <v>2911</v>
      </c>
      <c r="BB31" s="87">
        <f t="shared" si="43"/>
        <v>0</v>
      </c>
      <c r="BC31" s="87">
        <f t="shared" si="44"/>
        <v>0</v>
      </c>
      <c r="BD31" s="87">
        <f t="shared" si="45"/>
        <v>0</v>
      </c>
      <c r="BE31" s="87">
        <f t="shared" si="46"/>
        <v>2911</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v>36</v>
      </c>
      <c r="D32" s="80" t="s">
        <v>1679</v>
      </c>
      <c r="E32" s="87">
        <f t="shared" si="33"/>
        <v>19417.080000000002</v>
      </c>
      <c r="F32" s="88"/>
      <c r="G32" s="89">
        <f t="shared" si="34"/>
        <v>8518.06</v>
      </c>
      <c r="H32" s="90">
        <f t="shared" si="35"/>
        <v>8518.06</v>
      </c>
      <c r="I32" s="1397"/>
      <c r="J32" s="91"/>
      <c r="K32" s="1397"/>
      <c r="L32" s="91"/>
      <c r="M32" s="91">
        <v>8518.06</v>
      </c>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36</v>
      </c>
      <c r="AY32" s="95">
        <f t="shared" si="40"/>
        <v>19417.080000000002</v>
      </c>
      <c r="AZ32" s="87">
        <f t="shared" si="41"/>
        <v>8518.06</v>
      </c>
      <c r="BA32" s="87">
        <f t="shared" si="42"/>
        <v>8518.06</v>
      </c>
      <c r="BB32" s="87">
        <f t="shared" si="43"/>
        <v>0</v>
      </c>
      <c r="BC32" s="87">
        <f t="shared" si="44"/>
        <v>0</v>
      </c>
      <c r="BD32" s="87">
        <f t="shared" si="45"/>
        <v>8518.06</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57">
      <c r="A33" s="3015" t="s">
        <v>3185</v>
      </c>
      <c r="B33" s="1394"/>
      <c r="C33" s="1395">
        <v>1</v>
      </c>
      <c r="D33" s="80" t="s">
        <v>1679</v>
      </c>
      <c r="E33" s="87">
        <f t="shared" si="33"/>
        <v>5649.79</v>
      </c>
      <c r="F33" s="88"/>
      <c r="G33" s="89">
        <f t="shared" si="34"/>
        <v>2478.5</v>
      </c>
      <c r="H33" s="90">
        <f t="shared" si="35"/>
        <v>2478.5</v>
      </c>
      <c r="I33" s="1397"/>
      <c r="J33" s="91"/>
      <c r="K33" s="1397"/>
      <c r="L33" s="91"/>
      <c r="M33" s="91"/>
      <c r="N33" s="91"/>
      <c r="O33" s="91"/>
      <c r="P33" s="91"/>
      <c r="Q33" s="91">
        <v>2478.5</v>
      </c>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t="str">
        <f t="shared" si="37"/>
        <v>京房权证海其更字第0109921号</v>
      </c>
      <c r="AW33" s="1980">
        <f t="shared" si="38"/>
        <v>0</v>
      </c>
      <c r="AX33" s="1980">
        <f t="shared" si="39"/>
        <v>1</v>
      </c>
      <c r="AY33" s="95">
        <f t="shared" si="40"/>
        <v>5649.79</v>
      </c>
      <c r="AZ33" s="87">
        <f t="shared" si="41"/>
        <v>2478.5</v>
      </c>
      <c r="BA33" s="87">
        <f t="shared" si="42"/>
        <v>2478.5</v>
      </c>
      <c r="BB33" s="87">
        <f t="shared" si="43"/>
        <v>0</v>
      </c>
      <c r="BC33" s="87">
        <f t="shared" si="44"/>
        <v>0</v>
      </c>
      <c r="BD33" s="87">
        <f t="shared" si="45"/>
        <v>0</v>
      </c>
      <c r="BE33" s="87">
        <f t="shared" si="46"/>
        <v>0</v>
      </c>
      <c r="BF33" s="87">
        <f t="shared" si="47"/>
        <v>2478.5</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v>2</v>
      </c>
      <c r="D34" s="80" t="s">
        <v>1679</v>
      </c>
      <c r="E34" s="87">
        <f t="shared" si="33"/>
        <v>1565.8</v>
      </c>
      <c r="F34" s="88"/>
      <c r="G34" s="89">
        <f t="shared" si="34"/>
        <v>686.9</v>
      </c>
      <c r="H34" s="90">
        <f t="shared" si="35"/>
        <v>686.9</v>
      </c>
      <c r="I34" s="1397">
        <v>686.9</v>
      </c>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2</v>
      </c>
      <c r="AY34" s="95">
        <f t="shared" si="40"/>
        <v>1565.8</v>
      </c>
      <c r="AZ34" s="87">
        <f t="shared" si="41"/>
        <v>686.9</v>
      </c>
      <c r="BA34" s="87">
        <f t="shared" si="42"/>
        <v>686.9</v>
      </c>
      <c r="BB34" s="87">
        <f t="shared" si="43"/>
        <v>686.9</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v>14</v>
      </c>
      <c r="D35" s="80" t="s">
        <v>1679</v>
      </c>
      <c r="E35" s="87">
        <f t="shared" si="33"/>
        <v>96.42</v>
      </c>
      <c r="F35" s="88"/>
      <c r="G35" s="89">
        <f t="shared" si="34"/>
        <v>42.3</v>
      </c>
      <c r="H35" s="90">
        <f t="shared" si="35"/>
        <v>42.3</v>
      </c>
      <c r="I35" s="3247">
        <v>42.3</v>
      </c>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14</v>
      </c>
      <c r="AY35" s="95">
        <f t="shared" si="40"/>
        <v>96.42</v>
      </c>
      <c r="AZ35" s="87">
        <f t="shared" si="41"/>
        <v>42.3</v>
      </c>
      <c r="BA35" s="87">
        <f t="shared" si="42"/>
        <v>42.3</v>
      </c>
      <c r="BB35" s="87">
        <f t="shared" si="43"/>
        <v>42.3</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v>16</v>
      </c>
      <c r="D36" s="80" t="s">
        <v>1679</v>
      </c>
      <c r="E36" s="87">
        <f t="shared" si="33"/>
        <v>1983.87</v>
      </c>
      <c r="F36" s="88"/>
      <c r="G36" s="89">
        <f t="shared" si="34"/>
        <v>870.3</v>
      </c>
      <c r="H36" s="90">
        <f t="shared" si="35"/>
        <v>870.3</v>
      </c>
      <c r="I36" s="1397">
        <v>870.3</v>
      </c>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16</v>
      </c>
      <c r="AY36" s="95">
        <f t="shared" si="40"/>
        <v>1983.87</v>
      </c>
      <c r="AZ36" s="87">
        <f t="shared" si="41"/>
        <v>870.3</v>
      </c>
      <c r="BA36" s="87">
        <f t="shared" si="42"/>
        <v>870.3</v>
      </c>
      <c r="BB36" s="87">
        <f t="shared" si="43"/>
        <v>870.3</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v>17</v>
      </c>
      <c r="D37" s="80" t="s">
        <v>1679</v>
      </c>
      <c r="E37" s="87">
        <f t="shared" si="33"/>
        <v>2543.94</v>
      </c>
      <c r="F37" s="88"/>
      <c r="G37" s="89">
        <f t="shared" si="34"/>
        <v>1116</v>
      </c>
      <c r="H37" s="90">
        <f t="shared" si="35"/>
        <v>1116</v>
      </c>
      <c r="I37" s="1397">
        <v>1116</v>
      </c>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17</v>
      </c>
      <c r="AY37" s="95">
        <f t="shared" si="40"/>
        <v>2543.94</v>
      </c>
      <c r="AZ37" s="87">
        <f t="shared" si="41"/>
        <v>1116</v>
      </c>
      <c r="BA37" s="87">
        <f t="shared" si="42"/>
        <v>1116</v>
      </c>
      <c r="BB37" s="87">
        <f t="shared" si="43"/>
        <v>1116</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v>18</v>
      </c>
      <c r="D38" s="80" t="s">
        <v>1679</v>
      </c>
      <c r="E38" s="87">
        <f t="shared" si="33"/>
        <v>652.85</v>
      </c>
      <c r="F38" s="88"/>
      <c r="G38" s="89">
        <f t="shared" si="34"/>
        <v>286.39999999999998</v>
      </c>
      <c r="H38" s="90">
        <f t="shared" si="35"/>
        <v>286.39999999999998</v>
      </c>
      <c r="I38" s="1397">
        <v>286.39999999999998</v>
      </c>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18</v>
      </c>
      <c r="AY38" s="95">
        <f t="shared" si="40"/>
        <v>652.85</v>
      </c>
      <c r="AZ38" s="87">
        <f t="shared" si="41"/>
        <v>286.39999999999998</v>
      </c>
      <c r="BA38" s="87">
        <f t="shared" si="42"/>
        <v>286.39999999999998</v>
      </c>
      <c r="BB38" s="87">
        <f t="shared" si="43"/>
        <v>286.39999999999998</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v>20</v>
      </c>
      <c r="D39" s="80" t="s">
        <v>1679</v>
      </c>
      <c r="E39" s="87">
        <f t="shared" si="33"/>
        <v>3238.51</v>
      </c>
      <c r="F39" s="88"/>
      <c r="G39" s="89">
        <f t="shared" si="34"/>
        <v>1420.7</v>
      </c>
      <c r="H39" s="90">
        <f t="shared" si="35"/>
        <v>1420.7</v>
      </c>
      <c r="I39" s="1397">
        <v>1420.7</v>
      </c>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20</v>
      </c>
      <c r="AY39" s="95">
        <f t="shared" si="40"/>
        <v>3238.51</v>
      </c>
      <c r="AZ39" s="87">
        <f t="shared" si="41"/>
        <v>1420.7</v>
      </c>
      <c r="BA39" s="87">
        <f t="shared" si="42"/>
        <v>1420.7</v>
      </c>
      <c r="BB39" s="87">
        <f t="shared" si="43"/>
        <v>1420.7</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v>24</v>
      </c>
      <c r="D40" s="80" t="s">
        <v>1679</v>
      </c>
      <c r="E40" s="87">
        <f t="shared" si="33"/>
        <v>93</v>
      </c>
      <c r="F40" s="88"/>
      <c r="G40" s="89">
        <f t="shared" si="34"/>
        <v>40.799999999999997</v>
      </c>
      <c r="H40" s="90">
        <f t="shared" si="35"/>
        <v>40.799999999999997</v>
      </c>
      <c r="I40" s="1397">
        <v>40.799999999999997</v>
      </c>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24</v>
      </c>
      <c r="AY40" s="95">
        <f t="shared" si="40"/>
        <v>93</v>
      </c>
      <c r="AZ40" s="87">
        <f t="shared" si="41"/>
        <v>40.799999999999997</v>
      </c>
      <c r="BA40" s="87">
        <f t="shared" si="42"/>
        <v>40.799999999999997</v>
      </c>
      <c r="BB40" s="87">
        <f t="shared" si="43"/>
        <v>40.799999999999997</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v>25</v>
      </c>
      <c r="D41" s="80" t="s">
        <v>1679</v>
      </c>
      <c r="E41" s="87">
        <f t="shared" si="33"/>
        <v>436.53</v>
      </c>
      <c r="F41" s="88"/>
      <c r="G41" s="89">
        <f t="shared" si="34"/>
        <v>191.5</v>
      </c>
      <c r="H41" s="90">
        <f t="shared" si="35"/>
        <v>191.5</v>
      </c>
      <c r="I41" s="1397">
        <v>191.5</v>
      </c>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25</v>
      </c>
      <c r="AY41" s="95">
        <f t="shared" si="40"/>
        <v>436.53</v>
      </c>
      <c r="AZ41" s="87">
        <f t="shared" si="41"/>
        <v>191.5</v>
      </c>
      <c r="BA41" s="87">
        <f t="shared" si="42"/>
        <v>191.5</v>
      </c>
      <c r="BB41" s="87">
        <f t="shared" si="43"/>
        <v>191.5</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v>26</v>
      </c>
      <c r="D42" s="80" t="s">
        <v>1679</v>
      </c>
      <c r="E42" s="87">
        <f t="shared" si="33"/>
        <v>562.80999999999995</v>
      </c>
      <c r="F42" s="88"/>
      <c r="G42" s="89">
        <f t="shared" si="34"/>
        <v>246.9</v>
      </c>
      <c r="H42" s="90">
        <f t="shared" si="35"/>
        <v>246.9</v>
      </c>
      <c r="I42" s="1397">
        <v>246.9</v>
      </c>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26</v>
      </c>
      <c r="AY42" s="95">
        <f t="shared" si="40"/>
        <v>562.80999999999995</v>
      </c>
      <c r="AZ42" s="87">
        <f t="shared" si="41"/>
        <v>246.9</v>
      </c>
      <c r="BA42" s="87">
        <f t="shared" si="42"/>
        <v>246.9</v>
      </c>
      <c r="BB42" s="87">
        <f t="shared" si="43"/>
        <v>246.9</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t="s">
        <v>1679</v>
      </c>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v>44</v>
      </c>
      <c r="D44" s="80" t="s">
        <v>1679</v>
      </c>
      <c r="E44" s="87">
        <f t="shared" si="33"/>
        <v>608.86</v>
      </c>
      <c r="F44" s="88"/>
      <c r="G44" s="89">
        <f t="shared" si="34"/>
        <v>267.10000000000002</v>
      </c>
      <c r="H44" s="90">
        <f t="shared" si="35"/>
        <v>267.10000000000002</v>
      </c>
      <c r="I44" s="1397">
        <v>267.10000000000002</v>
      </c>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44</v>
      </c>
      <c r="AY44" s="95">
        <f t="shared" si="40"/>
        <v>608.86</v>
      </c>
      <c r="AZ44" s="87">
        <f t="shared" si="41"/>
        <v>267.10000000000002</v>
      </c>
      <c r="BA44" s="87">
        <f t="shared" si="42"/>
        <v>267.10000000000002</v>
      </c>
      <c r="BB44" s="87">
        <f t="shared" si="43"/>
        <v>267.10000000000002</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42.75">
      <c r="A45" s="3015" t="s">
        <v>3186</v>
      </c>
      <c r="B45" s="1394"/>
      <c r="C45" s="1395">
        <v>37</v>
      </c>
      <c r="D45" s="80" t="s">
        <v>1679</v>
      </c>
      <c r="E45" s="87">
        <f t="shared" si="33"/>
        <v>706.35</v>
      </c>
      <c r="F45" s="88"/>
      <c r="G45" s="89">
        <f t="shared" si="34"/>
        <v>309.87</v>
      </c>
      <c r="H45" s="90">
        <f t="shared" si="35"/>
        <v>309.87</v>
      </c>
      <c r="I45" s="1397">
        <v>309.87</v>
      </c>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t="str">
        <f t="shared" si="37"/>
        <v>京房权证海股字第0110559号</v>
      </c>
      <c r="AW45" s="1980">
        <f t="shared" si="38"/>
        <v>0</v>
      </c>
      <c r="AX45" s="1980">
        <f t="shared" si="39"/>
        <v>37</v>
      </c>
      <c r="AY45" s="95">
        <f t="shared" si="40"/>
        <v>706.35</v>
      </c>
      <c r="AZ45" s="87">
        <f t="shared" si="41"/>
        <v>309.87</v>
      </c>
      <c r="BA45" s="87">
        <f t="shared" si="42"/>
        <v>309.87</v>
      </c>
      <c r="BB45" s="87">
        <f t="shared" si="43"/>
        <v>309.87</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42.75">
      <c r="A46" s="3015" t="s">
        <v>3187</v>
      </c>
      <c r="B46" s="1394"/>
      <c r="C46" s="1395">
        <v>38</v>
      </c>
      <c r="D46" s="80" t="s">
        <v>1679</v>
      </c>
      <c r="E46" s="87">
        <f t="shared" si="33"/>
        <v>4631.03</v>
      </c>
      <c r="F46" s="88"/>
      <c r="G46" s="89">
        <f t="shared" si="34"/>
        <v>2031.58</v>
      </c>
      <c r="H46" s="90">
        <f t="shared" si="35"/>
        <v>2031.58</v>
      </c>
      <c r="I46" s="1397">
        <v>2031.58</v>
      </c>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t="str">
        <f t="shared" si="37"/>
        <v>京房权证海股字第0110567号</v>
      </c>
      <c r="AW46" s="1980">
        <f t="shared" si="38"/>
        <v>0</v>
      </c>
      <c r="AX46" s="1980">
        <f t="shared" si="39"/>
        <v>38</v>
      </c>
      <c r="AY46" s="95">
        <f t="shared" si="40"/>
        <v>4631.03</v>
      </c>
      <c r="AZ46" s="87">
        <f t="shared" si="41"/>
        <v>2031.58</v>
      </c>
      <c r="BA46" s="87">
        <f t="shared" si="42"/>
        <v>2031.58</v>
      </c>
      <c r="BB46" s="87">
        <f t="shared" si="43"/>
        <v>2031.58</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42.75">
      <c r="A47" s="3015" t="s">
        <v>3188</v>
      </c>
      <c r="B47" s="1394"/>
      <c r="C47" s="1395">
        <v>46</v>
      </c>
      <c r="D47" s="80" t="s">
        <v>1679</v>
      </c>
      <c r="E47" s="87">
        <f t="shared" si="33"/>
        <v>2279.4299999999998</v>
      </c>
      <c r="F47" s="88"/>
      <c r="G47" s="89">
        <f t="shared" si="34"/>
        <v>999.96</v>
      </c>
      <c r="H47" s="90">
        <f t="shared" si="35"/>
        <v>999.96</v>
      </c>
      <c r="I47" s="1397">
        <v>999.96</v>
      </c>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3234" t="str">
        <f t="shared" si="37"/>
        <v>京房权证海股字第0110573号</v>
      </c>
      <c r="AW47" s="3234">
        <f t="shared" si="38"/>
        <v>0</v>
      </c>
      <c r="AX47" s="3234">
        <f t="shared" si="39"/>
        <v>46</v>
      </c>
      <c r="AY47" s="95">
        <f t="shared" si="40"/>
        <v>2279.4299999999998</v>
      </c>
      <c r="AZ47" s="87">
        <f t="shared" si="41"/>
        <v>999.96</v>
      </c>
      <c r="BA47" s="87">
        <f t="shared" si="42"/>
        <v>999.96</v>
      </c>
      <c r="BB47" s="87">
        <f t="shared" si="43"/>
        <v>999.96</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42.75">
      <c r="A48" s="3015" t="s">
        <v>3189</v>
      </c>
      <c r="B48" s="1394"/>
      <c r="C48" s="1395">
        <v>47</v>
      </c>
      <c r="D48" s="80" t="s">
        <v>1679</v>
      </c>
      <c r="E48" s="87">
        <f t="shared" si="33"/>
        <v>2274.3000000000002</v>
      </c>
      <c r="F48" s="88"/>
      <c r="G48" s="89">
        <f t="shared" si="34"/>
        <v>997.71</v>
      </c>
      <c r="H48" s="90">
        <f t="shared" si="35"/>
        <v>997.71</v>
      </c>
      <c r="I48" s="1395">
        <v>997.71</v>
      </c>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t="str">
        <f t="shared" si="37"/>
        <v>京房权证海股字第0110574号</v>
      </c>
      <c r="AW48" s="1980">
        <f t="shared" si="38"/>
        <v>0</v>
      </c>
      <c r="AX48" s="1980">
        <f t="shared" si="39"/>
        <v>47</v>
      </c>
      <c r="AY48" s="95">
        <f t="shared" si="40"/>
        <v>2274.3000000000002</v>
      </c>
      <c r="AZ48" s="87">
        <f t="shared" si="41"/>
        <v>997.71</v>
      </c>
      <c r="BA48" s="87">
        <f t="shared" si="42"/>
        <v>997.71</v>
      </c>
      <c r="BB48" s="87">
        <f t="shared" si="43"/>
        <v>997.71</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3015"/>
      <c r="B49" s="1394"/>
      <c r="C49" s="1395"/>
      <c r="D49" s="80" t="s">
        <v>1679</v>
      </c>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6" t="s">
        <v>0</v>
      </c>
      <c r="B1" s="3356" t="s">
        <v>4</v>
      </c>
      <c r="C1" s="3356" t="s">
        <v>5</v>
      </c>
      <c r="D1" s="3357" t="s">
        <v>40</v>
      </c>
      <c r="E1" s="3357" t="s">
        <v>41</v>
      </c>
      <c r="F1" s="3357"/>
      <c r="G1" s="3357"/>
      <c r="H1" s="3357"/>
      <c r="I1" s="3357"/>
      <c r="J1" s="3357"/>
      <c r="K1" s="3357"/>
      <c r="L1" s="3357"/>
      <c r="M1" s="3357"/>
    </row>
    <row r="2" spans="1:13" ht="27" customHeight="1">
      <c r="A2" s="3356"/>
      <c r="B2" s="3356"/>
      <c r="C2" s="3356"/>
      <c r="D2" s="3357"/>
      <c r="E2" s="3357" t="s">
        <v>24</v>
      </c>
      <c r="F2" s="3357" t="s">
        <v>25</v>
      </c>
      <c r="G2" s="3357"/>
      <c r="H2" s="3357"/>
      <c r="I2" s="3357"/>
      <c r="J2" s="3357" t="s">
        <v>26</v>
      </c>
      <c r="K2" s="3357"/>
      <c r="L2" s="3357"/>
      <c r="M2" s="3357"/>
    </row>
    <row r="3" spans="1:13" ht="28.5">
      <c r="A3" s="3356"/>
      <c r="B3" s="3356"/>
      <c r="C3" s="3356"/>
      <c r="D3" s="3357"/>
      <c r="E3" s="335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7" t="s">
        <v>42</v>
      </c>
      <c r="B9" s="3357"/>
      <c r="C9" s="33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67" t="s">
        <v>203</v>
      </c>
      <c r="B2" s="3367"/>
      <c r="C2" s="3367"/>
      <c r="D2" s="1976" t="s">
        <v>204</v>
      </c>
      <c r="E2" s="106" t="s">
        <v>205</v>
      </c>
      <c r="F2" s="1985"/>
      <c r="G2" s="1198"/>
      <c r="H2" s="1199"/>
      <c r="I2" s="1200" t="s">
        <v>857</v>
      </c>
      <c r="J2" s="1985"/>
      <c r="K2" s="1985"/>
      <c r="L2" s="1985"/>
    </row>
    <row r="3" spans="1:16" ht="15.75" thickBot="1">
      <c r="A3" s="3368" t="s">
        <v>206</v>
      </c>
      <c r="B3" s="3368"/>
      <c r="C3" s="3368"/>
      <c r="D3" s="107">
        <f>'数据-基础表'!AY6</f>
        <v>130380.53</v>
      </c>
      <c r="E3" s="107">
        <f>'数据-基础表'!AZ5</f>
        <v>57196.500000000007</v>
      </c>
      <c r="F3" s="1985"/>
      <c r="G3" s="280" t="s">
        <v>858</v>
      </c>
      <c r="H3" s="275" t="s">
        <v>859</v>
      </c>
      <c r="I3" s="1977">
        <f>ROUND('数据-基础表'!B3/'数据-基础表'!A3,2)</f>
        <v>0.44</v>
      </c>
      <c r="J3" s="1985"/>
      <c r="K3" s="1985"/>
      <c r="L3" s="1985"/>
    </row>
    <row r="4" spans="1:16" ht="15">
      <c r="A4" s="3369"/>
      <c r="B4" s="3370"/>
      <c r="C4" s="3371"/>
      <c r="D4" s="108" t="s">
        <v>204</v>
      </c>
      <c r="E4" s="109" t="s">
        <v>205</v>
      </c>
      <c r="F4" s="1985"/>
      <c r="G4" s="1201"/>
      <c r="H4" s="275" t="s">
        <v>860</v>
      </c>
      <c r="I4" s="1977">
        <f>ROUND(SUMIF('数据-基础表'!I9:AS9,"地上",'数据-基础表'!I5:AS5)/'数据-基础表'!A3,2)</f>
        <v>0.44</v>
      </c>
      <c r="J4" s="1985"/>
      <c r="K4" s="1985"/>
      <c r="L4" s="1985"/>
    </row>
    <row r="5" spans="1:16">
      <c r="A5" s="110" t="s">
        <v>207</v>
      </c>
      <c r="B5" s="3372" t="s">
        <v>230</v>
      </c>
      <c r="C5" s="3372"/>
      <c r="D5" s="111">
        <f>ROUND($D$3*E5/$E$3,2)</f>
        <v>0</v>
      </c>
      <c r="E5" s="112">
        <f>SUMIF('数据-基础表'!$11:$11,"住宅",'数据-基础表'!$5:$5)</f>
        <v>0</v>
      </c>
      <c r="F5" s="1985"/>
      <c r="G5" s="280" t="s">
        <v>861</v>
      </c>
      <c r="H5" s="275" t="s">
        <v>859</v>
      </c>
      <c r="I5" s="1977">
        <f>ROUND(E31/D31,2)</f>
        <v>0.44</v>
      </c>
      <c r="J5" s="1985"/>
      <c r="K5" s="1985"/>
      <c r="L5" s="1985"/>
    </row>
    <row r="6" spans="1:16" ht="15" thickBot="1">
      <c r="A6" s="113"/>
      <c r="B6" s="3372" t="s">
        <v>208</v>
      </c>
      <c r="C6" s="3372"/>
      <c r="D6" s="111">
        <f>ROUND($D$3*E6/$E$3,2)</f>
        <v>130380.53</v>
      </c>
      <c r="E6" s="112">
        <f>E3-E5</f>
        <v>57196.500000000007</v>
      </c>
      <c r="F6" s="1985"/>
      <c r="G6" s="1201"/>
      <c r="H6" s="275" t="s">
        <v>860</v>
      </c>
      <c r="I6" s="1977">
        <f>ROUND(F31/D31,2)</f>
        <v>0.44</v>
      </c>
      <c r="J6" s="1985"/>
      <c r="K6" s="1985"/>
      <c r="L6" s="1985"/>
    </row>
    <row r="7" spans="1:16" ht="15">
      <c r="A7" s="3364"/>
      <c r="B7" s="3365"/>
      <c r="C7" s="3366"/>
      <c r="D7" s="108" t="s">
        <v>204</v>
      </c>
      <c r="E7" s="114" t="s">
        <v>231</v>
      </c>
      <c r="F7" s="1985"/>
      <c r="G7" s="1156" t="s">
        <v>1646</v>
      </c>
      <c r="H7" s="1157"/>
      <c r="I7" s="1847">
        <v>1</v>
      </c>
      <c r="J7" s="1985"/>
      <c r="K7" s="1985"/>
      <c r="L7" s="1985"/>
    </row>
    <row r="8" spans="1:16">
      <c r="A8" s="110" t="s">
        <v>209</v>
      </c>
      <c r="B8" s="115" t="s">
        <v>210</v>
      </c>
      <c r="C8" s="111" t="s">
        <v>211</v>
      </c>
      <c r="D8" s="111">
        <f t="shared" ref="D8:D15" si="0">ROUND($D$3*E8/$E$3,2)</f>
        <v>130380.53</v>
      </c>
      <c r="E8" s="116">
        <f>SUMIF('数据-基础表'!BB10:BK10,"地上",'数据-基础表'!BB5:BK5)</f>
        <v>57196.5</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130380.53</v>
      </c>
      <c r="E16" s="120">
        <f>SUM(E8:E15)</f>
        <v>57196.5</v>
      </c>
      <c r="F16" s="1985"/>
      <c r="G16" s="1987"/>
      <c r="H16" s="968" t="s">
        <v>219</v>
      </c>
      <c r="I16" s="969"/>
      <c r="J16" s="1985"/>
      <c r="K16" s="3358" t="s">
        <v>2569</v>
      </c>
      <c r="L16" s="3359"/>
      <c r="M16" s="3359"/>
      <c r="N16" s="3359"/>
      <c r="O16" s="3359"/>
      <c r="P16" s="3360"/>
    </row>
    <row r="17" spans="1:19" ht="15">
      <c r="A17" s="121" t="s">
        <v>216</v>
      </c>
      <c r="B17" s="122" t="s">
        <v>217</v>
      </c>
      <c r="C17" s="2299" t="s">
        <v>2316</v>
      </c>
      <c r="D17" s="108" t="s">
        <v>204</v>
      </c>
      <c r="E17" s="124" t="s">
        <v>205</v>
      </c>
      <c r="F17" s="125"/>
      <c r="G17" s="1366"/>
      <c r="H17" s="970" t="s">
        <v>218</v>
      </c>
      <c r="I17" s="971" t="s">
        <v>2315</v>
      </c>
      <c r="J17" s="1985"/>
      <c r="K17" s="3361" t="s">
        <v>2570</v>
      </c>
      <c r="L17" s="3362"/>
      <c r="M17" s="3363"/>
      <c r="N17" s="3361" t="s">
        <v>2571</v>
      </c>
      <c r="O17" s="3362"/>
      <c r="P17" s="3363"/>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6" t="str">
        <f>'数据-基础表'!I11</f>
        <v>平房</v>
      </c>
      <c r="D19" s="111">
        <f t="shared" ref="D19:D26" si="1">ROUND($D$3*E19/$E$3,2)</f>
        <v>50720.65</v>
      </c>
      <c r="E19" s="134">
        <f t="shared" ref="E19:E26" si="2">SUM(F19:G19)</f>
        <v>22250.589999999997</v>
      </c>
      <c r="F19" s="135">
        <f>'数据-基础表'!I5</f>
        <v>22250.589999999997</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50720.65</v>
      </c>
      <c r="S19" s="2302">
        <f t="shared" si="5"/>
        <v>22250.589999999997</v>
      </c>
    </row>
    <row r="20" spans="1:19">
      <c r="A20" s="138"/>
      <c r="B20" s="115" t="s">
        <v>226</v>
      </c>
      <c r="C20" s="3026">
        <f>'数据-基础表'!K11</f>
        <v>2</v>
      </c>
      <c r="D20" s="111">
        <f t="shared" si="1"/>
        <v>9364.7199999999993</v>
      </c>
      <c r="E20" s="134">
        <f t="shared" si="2"/>
        <v>4108.2</v>
      </c>
      <c r="F20" s="135">
        <f>'数据-基础表'!K5</f>
        <v>4108.2</v>
      </c>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9364.7199999999993</v>
      </c>
      <c r="S20" s="2302">
        <f t="shared" si="5"/>
        <v>4108.2</v>
      </c>
    </row>
    <row r="21" spans="1:19">
      <c r="A21" s="138"/>
      <c r="B21" s="115" t="s">
        <v>226</v>
      </c>
      <c r="C21" s="3026">
        <f>'数据-基础表'!M11</f>
        <v>3</v>
      </c>
      <c r="D21" s="111">
        <f t="shared" si="1"/>
        <v>58009.69</v>
      </c>
      <c r="E21" s="134">
        <f t="shared" si="2"/>
        <v>25448.21</v>
      </c>
      <c r="F21" s="135">
        <f>'数据-基础表'!M5</f>
        <v>25448.21</v>
      </c>
      <c r="G21" s="1368"/>
      <c r="H21" s="974">
        <f t="shared" si="6"/>
        <v>0</v>
      </c>
      <c r="I21" s="116">
        <f t="shared" si="7"/>
        <v>0</v>
      </c>
      <c r="J21" s="1985"/>
      <c r="K21" s="2609">
        <f t="shared" si="3"/>
        <v>0</v>
      </c>
      <c r="L21" s="275">
        <f t="shared" si="4"/>
        <v>0</v>
      </c>
      <c r="M21" s="2610">
        <f t="shared" si="8"/>
        <v>0</v>
      </c>
      <c r="N21" s="2611"/>
      <c r="O21" s="2612"/>
      <c r="P21" s="2613">
        <f t="shared" si="9"/>
        <v>0</v>
      </c>
      <c r="R21" s="275">
        <f t="shared" si="5"/>
        <v>58009.69</v>
      </c>
      <c r="S21" s="2302">
        <f t="shared" si="5"/>
        <v>25448.21</v>
      </c>
    </row>
    <row r="22" spans="1:19">
      <c r="A22" s="138"/>
      <c r="B22" s="115" t="s">
        <v>226</v>
      </c>
      <c r="C22" s="1365">
        <f>'数据-基础表'!O11</f>
        <v>6</v>
      </c>
      <c r="D22" s="111">
        <f t="shared" si="1"/>
        <v>6635.68</v>
      </c>
      <c r="E22" s="134">
        <f t="shared" si="2"/>
        <v>2911</v>
      </c>
      <c r="F22" s="140">
        <f>'数据-基础表'!O5</f>
        <v>2911</v>
      </c>
      <c r="G22" s="1369"/>
      <c r="H22" s="974">
        <f t="shared" si="6"/>
        <v>0</v>
      </c>
      <c r="I22" s="116">
        <f t="shared" si="7"/>
        <v>0</v>
      </c>
      <c r="J22" s="1985"/>
      <c r="K22" s="2609">
        <f t="shared" si="3"/>
        <v>0</v>
      </c>
      <c r="L22" s="275">
        <f t="shared" si="4"/>
        <v>0</v>
      </c>
      <c r="M22" s="2610">
        <f t="shared" si="8"/>
        <v>0</v>
      </c>
      <c r="N22" s="2611"/>
      <c r="O22" s="2612"/>
      <c r="P22" s="2613">
        <f t="shared" si="9"/>
        <v>0</v>
      </c>
      <c r="R22" s="275">
        <f t="shared" si="5"/>
        <v>6635.68</v>
      </c>
      <c r="S22" s="2302">
        <f t="shared" si="5"/>
        <v>2911</v>
      </c>
    </row>
    <row r="23" spans="1:19">
      <c r="A23" s="138"/>
      <c r="B23" s="115" t="s">
        <v>226</v>
      </c>
      <c r="C23" s="139">
        <f>'数据-基础表'!Q11</f>
        <v>4</v>
      </c>
      <c r="D23" s="111">
        <f>ROUND($D$3*E23/$E$3,2)</f>
        <v>5649.79</v>
      </c>
      <c r="E23" s="134">
        <f>SUM(F23:G23)</f>
        <v>2478.5</v>
      </c>
      <c r="F23" s="140">
        <f>'数据-基础表'!Q5</f>
        <v>2478.5</v>
      </c>
      <c r="G23" s="1369"/>
      <c r="H23" s="974">
        <f>ROUND($D$3*I23/$E$3,2)</f>
        <v>0</v>
      </c>
      <c r="I23" s="116">
        <f t="shared" si="7"/>
        <v>0</v>
      </c>
      <c r="J23" s="1985"/>
      <c r="K23" s="2609">
        <f t="shared" si="3"/>
        <v>0</v>
      </c>
      <c r="L23" s="275">
        <f t="shared" si="4"/>
        <v>0</v>
      </c>
      <c r="M23" s="2610">
        <f t="shared" si="8"/>
        <v>0</v>
      </c>
      <c r="N23" s="2611"/>
      <c r="O23" s="2612"/>
      <c r="P23" s="2613">
        <f t="shared" si="9"/>
        <v>0</v>
      </c>
      <c r="R23" s="275">
        <f t="shared" si="5"/>
        <v>5649.79</v>
      </c>
      <c r="S23" s="2302">
        <f t="shared" si="5"/>
        <v>2478.5</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130380.52999999998</v>
      </c>
      <c r="E27" s="143">
        <f>IF(SUM(E19:E26)='数据-基础表'!BA5,SUM(E19:E26),IF(F27="地上面积有误","面积有误","地下面积有误"))</f>
        <v>57196.5</v>
      </c>
      <c r="F27" s="134">
        <f>IF(SUM(F19:F26)=E8,SUM(F19:F26),"地上面积有误")</f>
        <v>57196.5</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130380.52999999998</v>
      </c>
      <c r="S27" s="275">
        <f>IF(SUM(S19:S26)=$E$3,SUM(S19:S26),SUM(S19:S26)&amp;"误差"&amp;ROUND(SUM(S19:S26)-E3,2))</f>
        <v>57196.5</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130380.52999999998</v>
      </c>
      <c r="E31" s="1372">
        <f>E27+E30</f>
        <v>57196.5</v>
      </c>
      <c r="F31" s="1373">
        <f>F27+F30</f>
        <v>57196.5</v>
      </c>
      <c r="G31" s="1374">
        <f>G27+G30</f>
        <v>0</v>
      </c>
      <c r="H31" s="1985"/>
      <c r="I31" s="1985"/>
      <c r="J31" s="1985"/>
      <c r="K31" s="1985"/>
      <c r="L31" s="1985"/>
    </row>
    <row r="32" spans="1:19">
      <c r="A32" s="1985"/>
      <c r="B32" s="2364" t="s">
        <v>2324</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Q11" sqref="Q1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43410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平房</v>
      </c>
      <c r="B6" s="2338" t="str">
        <f>IF(A6=0,"","经营性")</f>
        <v>经营性</v>
      </c>
      <c r="C6" s="173" t="s">
        <v>982</v>
      </c>
      <c r="D6" s="2309">
        <f>SUMIF(项目基本情况!D$15:I$15,C6,项目基本情况!D$18:I$18)</f>
        <v>50</v>
      </c>
      <c r="E6" s="2310">
        <f>IF(B6="","",SUMIF(项目基本情况!D$15:I$15,C6,项目基本情况!D$17:I$17))</f>
        <v>54945</v>
      </c>
      <c r="F6" s="174">
        <f>SUMIF(项目基本情况!D$15:I$15,C6,项目基本情况!D$19:I$19)</f>
        <v>31.6</v>
      </c>
      <c r="G6" s="175">
        <f>IF(ISERROR(ROUND(POWER(1+H6,D6-F6)*(POWER(1+H6,F6)-1)/(POWER(1+H6,D6)-1),3)),0,ROUND(POWER(1+H6,D6-F6)*(POWER(1+H6,F6)-1)/(POWER(1+H6,D6)-1),3))</f>
        <v>0.80700000000000005</v>
      </c>
      <c r="H6" s="3027">
        <v>3.5000000000000003E-2</v>
      </c>
      <c r="I6" s="3027">
        <v>0.04</v>
      </c>
      <c r="J6" s="176">
        <v>7.0000000000000007E-2</v>
      </c>
      <c r="K6" s="179">
        <f>SUMIF('数据-汇总表'!C$19:C$33,'数据-取费表'!A6,'数据-汇总表'!E$19:E$33)</f>
        <v>22250.589999999997</v>
      </c>
      <c r="L6" s="3028"/>
      <c r="M6" s="177">
        <f t="shared" ref="M6:M14" si="0">ROUND(K6*L6/10000,0)</f>
        <v>0</v>
      </c>
      <c r="N6" s="3029"/>
      <c r="O6" s="177">
        <f>IF($N$5="成新度","——",ROUND(M6*N6,0))</f>
        <v>0</v>
      </c>
      <c r="P6" s="178">
        <f>IF($N$5="成新度","——",M6-O6)</f>
        <v>0</v>
      </c>
      <c r="Q6" s="3030">
        <v>0.14000000000000001</v>
      </c>
      <c r="R6" s="179">
        <f>SUMIF('数据-汇总表'!C$19:C$33,A6,'数据-汇总表'!R$19:R$33)</f>
        <v>50720.65</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1"/>
      <c r="AN6" s="2393"/>
      <c r="AO6" s="2001"/>
      <c r="AP6" s="1204">
        <f>ROUND(1-1/(1+H6)^F6,3)</f>
        <v>0.66300000000000003</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2</v>
      </c>
      <c r="B7" s="2338" t="str">
        <f t="shared" ref="B7:B13" si="1">IF(A7=0,"","经营性")</f>
        <v>经营性</v>
      </c>
      <c r="C7" s="173" t="s">
        <v>982</v>
      </c>
      <c r="D7" s="2309">
        <f>SUMIF(项目基本情况!D$15:I$15,C7,项目基本情况!D$18:I$18)</f>
        <v>50</v>
      </c>
      <c r="E7" s="2310">
        <f>IF(B7="","",SUMIF(项目基本情况!D$15:I$15,C7,项目基本情况!D$17:I$17))</f>
        <v>54945</v>
      </c>
      <c r="F7" s="174">
        <f>SUMIF(项目基本情况!D$15:I$15,C7,项目基本情况!D$19:I$19)</f>
        <v>31.6</v>
      </c>
      <c r="G7" s="175">
        <f t="shared" ref="G7:G11" si="2">IF(ISERROR(ROUND(POWER(1+H7,D7-F7)*(POWER(1+H7,F7)-1)/(POWER(1+H7,D7)-1),3)),0,ROUND(POWER(1+H7,D7-F7)*(POWER(1+H7,F7)-1)/(POWER(1+H7,D7)-1),3))</f>
        <v>0.80700000000000005</v>
      </c>
      <c r="H7" s="3027">
        <v>3.5000000000000003E-2</v>
      </c>
      <c r="I7" s="3027">
        <v>0.04</v>
      </c>
      <c r="J7" s="176">
        <v>7.0000000000000007E-2</v>
      </c>
      <c r="K7" s="179">
        <f>SUMIF('数据-汇总表'!C$19:C$33,'数据-取费表'!A7,'数据-汇总表'!E$19:E$33)</f>
        <v>4108.2</v>
      </c>
      <c r="L7" s="3028"/>
      <c r="M7" s="177">
        <f t="shared" si="0"/>
        <v>0</v>
      </c>
      <c r="N7" s="3029"/>
      <c r="O7" s="177">
        <f t="shared" ref="O7:O14" si="3">IF($N$5="成新度","——",ROUND(M7*N7,0))</f>
        <v>0</v>
      </c>
      <c r="P7" s="178">
        <f t="shared" ref="P7:P14" si="4">IF($N$5="成新度","——",M7-O7)</f>
        <v>0</v>
      </c>
      <c r="Q7" s="3030">
        <v>0.14000000000000001</v>
      </c>
      <c r="R7" s="179">
        <f>SUMIF('数据-汇总表'!C$19:C$33,A7,'数据-汇总表'!R$19:R$33)</f>
        <v>9364.7199999999993</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0.66300000000000003</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3</v>
      </c>
      <c r="B8" s="2338" t="str">
        <f t="shared" si="1"/>
        <v>经营性</v>
      </c>
      <c r="C8" s="173" t="s">
        <v>982</v>
      </c>
      <c r="D8" s="2309">
        <f>SUMIF(项目基本情况!D$15:I$15,C8,项目基本情况!D$18:I$18)</f>
        <v>50</v>
      </c>
      <c r="E8" s="2310">
        <f>IF(B8="","",SUMIF(项目基本情况!D$15:I$15,C8,项目基本情况!D$17:I$17))</f>
        <v>54945</v>
      </c>
      <c r="F8" s="174">
        <f>SUMIF(项目基本情况!D$15:I$15,C8,项目基本情况!D$19:I$19)</f>
        <v>31.6</v>
      </c>
      <c r="G8" s="175">
        <f t="shared" si="2"/>
        <v>0.80700000000000005</v>
      </c>
      <c r="H8" s="3027">
        <v>3.5000000000000003E-2</v>
      </c>
      <c r="I8" s="3027">
        <v>0.04</v>
      </c>
      <c r="J8" s="176">
        <v>7.0000000000000007E-2</v>
      </c>
      <c r="K8" s="179">
        <f>SUMIF('数据-汇总表'!C$19:C$33,'数据-取费表'!A8,'数据-汇总表'!E$19:E$33)</f>
        <v>25448.21</v>
      </c>
      <c r="L8" s="3028"/>
      <c r="M8" s="177">
        <f>ROUND(K8*L8/10000,0)</f>
        <v>0</v>
      </c>
      <c r="N8" s="3029"/>
      <c r="O8" s="177">
        <f t="shared" si="3"/>
        <v>0</v>
      </c>
      <c r="P8" s="178">
        <f t="shared" si="4"/>
        <v>0</v>
      </c>
      <c r="Q8" s="3030">
        <v>0.14000000000000001</v>
      </c>
      <c r="R8" s="179">
        <f>SUMIF('数据-汇总表'!C$19:C$33,A8,'数据-汇总表'!R$19:R$33)</f>
        <v>58009.69</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0.66300000000000003</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6</v>
      </c>
      <c r="B9" s="2338" t="str">
        <f t="shared" si="1"/>
        <v>经营性</v>
      </c>
      <c r="C9" s="173" t="s">
        <v>982</v>
      </c>
      <c r="D9" s="2309">
        <f>SUMIF(项目基本情况!D$15:I$15,C9,项目基本情况!D$18:I$18)</f>
        <v>50</v>
      </c>
      <c r="E9" s="2310">
        <f>IF(B9="","",SUMIF(项目基本情况!D$15:I$15,C9,项目基本情况!D$17:I$17))</f>
        <v>54945</v>
      </c>
      <c r="F9" s="174">
        <f>SUMIF(项目基本情况!D$15:I$15,C9,项目基本情况!D$19:I$19)</f>
        <v>31.6</v>
      </c>
      <c r="G9" s="175">
        <f t="shared" si="2"/>
        <v>0.80700000000000005</v>
      </c>
      <c r="H9" s="3027">
        <v>3.5000000000000003E-2</v>
      </c>
      <c r="I9" s="3027">
        <v>0.04</v>
      </c>
      <c r="J9" s="176">
        <v>7.0000000000000007E-2</v>
      </c>
      <c r="K9" s="179">
        <f>SUMIF('数据-汇总表'!C$19:C$33,'数据-取费表'!A9,'数据-汇总表'!E$19:E$33)</f>
        <v>2911</v>
      </c>
      <c r="L9" s="193"/>
      <c r="M9" s="177">
        <f t="shared" si="0"/>
        <v>0</v>
      </c>
      <c r="N9" s="194"/>
      <c r="O9" s="177">
        <f t="shared" si="3"/>
        <v>0</v>
      </c>
      <c r="P9" s="178">
        <f t="shared" si="4"/>
        <v>0</v>
      </c>
      <c r="Q9" s="192">
        <v>0.14000000000000001</v>
      </c>
      <c r="R9" s="179">
        <f>SUMIF('数据-汇总表'!C$19:C$33,A9,'数据-汇总表'!R$19:R$33)</f>
        <v>6635.68</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0.66300000000000003</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4</v>
      </c>
      <c r="B10" s="2338" t="str">
        <f t="shared" si="1"/>
        <v>经营性</v>
      </c>
      <c r="C10" s="173" t="s">
        <v>982</v>
      </c>
      <c r="D10" s="2309">
        <f>SUMIF(项目基本情况!D$15:I$15,C10,项目基本情况!D$18:I$18)</f>
        <v>50</v>
      </c>
      <c r="E10" s="2310">
        <f>IF(B10="","",SUMIF(项目基本情况!D$15:I$15,C10,项目基本情况!D$17:I$17))</f>
        <v>54945</v>
      </c>
      <c r="F10" s="174">
        <f>SUMIF(项目基本情况!D$15:I$15,C10,项目基本情况!D$19:I$19)</f>
        <v>31.6</v>
      </c>
      <c r="G10" s="175">
        <f t="shared" si="2"/>
        <v>0.80700000000000005</v>
      </c>
      <c r="H10" s="3027">
        <v>3.5000000000000003E-2</v>
      </c>
      <c r="I10" s="3027">
        <v>0.04</v>
      </c>
      <c r="J10" s="176">
        <v>7.0000000000000007E-2</v>
      </c>
      <c r="K10" s="179">
        <f>SUMIF('数据-汇总表'!C$19:C$33,'数据-取费表'!A10,'数据-汇总表'!E$19:E$33)</f>
        <v>2478.5</v>
      </c>
      <c r="L10" s="193"/>
      <c r="M10" s="177">
        <f t="shared" si="0"/>
        <v>0</v>
      </c>
      <c r="N10" s="194"/>
      <c r="O10" s="177">
        <f t="shared" si="3"/>
        <v>0</v>
      </c>
      <c r="P10" s="178">
        <f t="shared" si="4"/>
        <v>0</v>
      </c>
      <c r="Q10" s="192">
        <v>0.14000000000000001</v>
      </c>
      <c r="R10" s="179">
        <f>SUMIF('数据-汇总表'!C$19:C$33,A10,'数据-汇总表'!R$19:R$33)</f>
        <v>5649.79</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0.66300000000000003</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0.80700000000000005</v>
      </c>
      <c r="H16" s="203">
        <f>ROUND(SUMPRODUCT(H6:H13,K6:K13)/SUMPRODUCT((H6:H13&gt;0)*(K6:K13)),3)</f>
        <v>3.5000000000000003E-2</v>
      </c>
      <c r="I16" s="204"/>
      <c r="J16" s="204"/>
      <c r="K16" s="205">
        <f>SUM(K6:K15)</f>
        <v>57196.5</v>
      </c>
      <c r="L16" s="206">
        <f>ROUND(M16*10000/SUM(K6:K14),0)</f>
        <v>0</v>
      </c>
      <c r="M16" s="206">
        <f>SUM(M6:M14)</f>
        <v>0</v>
      </c>
      <c r="N16" s="207" t="e">
        <f>ROUND(SUMPRODUCT(M6:M14,N6:N14)/M16,3)</f>
        <v>#DIV/0!</v>
      </c>
      <c r="O16" s="206">
        <f>SUM(O6:O14)</f>
        <v>0</v>
      </c>
      <c r="P16" s="206">
        <f>SUM(P6:P14)</f>
        <v>0</v>
      </c>
      <c r="Q16" s="208">
        <f>ROUND(SUMPRODUCT(Q6:Q13,K6:K13)/SUMPRODUCT((Q6:Q13&gt;0)*(K6:K13)),2)</f>
        <v>0.14000000000000001</v>
      </c>
      <c r="R16" s="2312">
        <f>SUM(R6:R13)</f>
        <v>130380.52999999998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0.66300000000000003</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2</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1</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1</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3</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0</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160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300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160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140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2896</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2897</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2898</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2899</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2900</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2900</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2">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2901</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2902</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2903</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6" t="s">
        <v>2904</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7" t="s">
        <v>2905</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7" t="s">
        <v>2906</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1410</v>
      </c>
      <c r="C53" s="3078" t="s">
        <v>2907</v>
      </c>
      <c r="D53" s="3079" t="s">
        <v>2908</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2909</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2910</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2911</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2912</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2913</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2914</v>
      </c>
      <c r="B59" s="186">
        <v>1.5</v>
      </c>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2915</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2916</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2917</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2918</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73" t="s">
        <v>1664</v>
      </c>
      <c r="B1" s="3374"/>
      <c r="C1" s="3374"/>
      <c r="D1" s="3374"/>
      <c r="E1" s="3374"/>
      <c r="F1" s="3374"/>
      <c r="G1" s="3374"/>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3" t="s">
        <v>2925</v>
      </c>
      <c r="D3" s="2010"/>
      <c r="E3" s="1229" t="s">
        <v>1667</v>
      </c>
      <c r="F3" s="1230" t="s">
        <v>1655</v>
      </c>
      <c r="G3" s="3087" t="s">
        <v>2924</v>
      </c>
      <c r="H3" s="2009"/>
      <c r="I3" s="2009"/>
      <c r="J3" s="2009"/>
      <c r="K3" s="2009"/>
      <c r="L3" s="2009"/>
      <c r="M3" s="2009"/>
      <c r="N3" s="2009"/>
      <c r="O3" s="2009"/>
      <c r="P3" s="2009"/>
      <c r="Q3" s="2009"/>
      <c r="R3" s="2009"/>
    </row>
    <row r="4" spans="1:18" ht="41.25">
      <c r="A4" s="1229"/>
      <c r="B4" s="1231" t="s">
        <v>1668</v>
      </c>
      <c r="C4" s="3084" t="s">
        <v>2926</v>
      </c>
      <c r="D4" s="2010"/>
      <c r="E4" s="1232"/>
      <c r="F4" s="1233" t="s">
        <v>1669</v>
      </c>
      <c r="G4" s="3085" t="s">
        <v>2921</v>
      </c>
      <c r="H4" s="2009"/>
      <c r="I4" s="2009"/>
      <c r="J4" s="2009"/>
      <c r="K4" s="2009"/>
      <c r="L4" s="2009"/>
      <c r="M4" s="2009"/>
      <c r="N4" s="2009"/>
      <c r="O4" s="2009"/>
      <c r="P4" s="2009"/>
      <c r="Q4" s="2009"/>
      <c r="R4" s="2009"/>
    </row>
    <row r="5" spans="1:18" ht="41.25">
      <c r="A5" s="1229"/>
      <c r="B5" s="1231" t="s">
        <v>1670</v>
      </c>
      <c r="C5" s="3084" t="s">
        <v>2927</v>
      </c>
      <c r="D5" s="2010"/>
      <c r="E5" s="1232"/>
      <c r="F5" s="1231" t="s">
        <v>2549</v>
      </c>
      <c r="G5" s="3085" t="s">
        <v>2922</v>
      </c>
      <c r="H5" s="2009"/>
      <c r="I5" s="2009"/>
      <c r="J5" s="2009"/>
      <c r="K5" s="2009"/>
      <c r="L5" s="2009"/>
      <c r="M5" s="2009"/>
      <c r="N5" s="2009"/>
      <c r="O5" s="2009"/>
      <c r="P5" s="2009"/>
      <c r="Q5" s="2009"/>
      <c r="R5" s="2009"/>
    </row>
    <row r="6" spans="1:18" ht="54">
      <c r="A6" s="1229"/>
      <c r="B6" s="1231" t="s">
        <v>1656</v>
      </c>
      <c r="C6" s="3085" t="s">
        <v>2921</v>
      </c>
      <c r="D6" s="2010"/>
      <c r="E6" s="1232"/>
      <c r="F6" s="1231" t="s">
        <v>2550</v>
      </c>
      <c r="G6" s="3085" t="s">
        <v>2919</v>
      </c>
      <c r="H6" s="2009"/>
      <c r="I6" s="2009"/>
      <c r="J6" s="2009"/>
      <c r="K6" s="2009"/>
      <c r="L6" s="2009"/>
      <c r="M6" s="2009"/>
      <c r="N6" s="2009"/>
      <c r="O6" s="2009"/>
      <c r="P6" s="2009"/>
      <c r="Q6" s="2009"/>
      <c r="R6" s="2009"/>
    </row>
    <row r="7" spans="1:18" ht="41.25" thickBot="1">
      <c r="A7" s="1229"/>
      <c r="B7" s="1231" t="s">
        <v>2549</v>
      </c>
      <c r="C7" s="3085" t="s">
        <v>2922</v>
      </c>
      <c r="D7" s="2011"/>
      <c r="E7" s="1234"/>
      <c r="F7" s="1235" t="s">
        <v>1671</v>
      </c>
      <c r="G7" s="3088" t="s">
        <v>2923</v>
      </c>
      <c r="H7" s="2009"/>
      <c r="I7" s="2009"/>
      <c r="J7" s="2009"/>
      <c r="K7" s="2009"/>
      <c r="L7" s="2009"/>
      <c r="M7" s="2009"/>
      <c r="N7" s="2009"/>
      <c r="O7" s="2009"/>
      <c r="P7" s="2009"/>
      <c r="Q7" s="2009"/>
      <c r="R7" s="2009"/>
    </row>
    <row r="8" spans="1:18" ht="27">
      <c r="A8" s="1229"/>
      <c r="B8" s="1231" t="s">
        <v>2550</v>
      </c>
      <c r="C8" s="3085" t="s">
        <v>2919</v>
      </c>
      <c r="D8" s="2011"/>
      <c r="E8" s="2011"/>
      <c r="F8" s="1554"/>
      <c r="G8" s="1554"/>
      <c r="H8" s="2009"/>
      <c r="I8" s="2009"/>
      <c r="J8" s="2009"/>
      <c r="K8" s="2009"/>
      <c r="L8" s="2009"/>
      <c r="M8" s="2009"/>
      <c r="N8" s="2009"/>
      <c r="O8" s="2009"/>
      <c r="P8" s="2009"/>
      <c r="Q8" s="2009"/>
      <c r="R8" s="2009"/>
    </row>
    <row r="9" spans="1:18" ht="40.5">
      <c r="A9" s="1229"/>
      <c r="B9" s="1231" t="s">
        <v>1657</v>
      </c>
      <c r="C9" s="3084" t="s">
        <v>2920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2549</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2550</v>
      </c>
      <c r="G20" s="1005" t="str">
        <f>G6</f>
        <v>估价对象所在区域基础设施水平</v>
      </c>
    </row>
    <row r="21" spans="1:7" ht="27">
      <c r="A21" s="2590"/>
      <c r="B21" s="1231" t="s">
        <v>2549</v>
      </c>
      <c r="C21" s="1005" t="str">
        <f>C7</f>
        <v>估价对象所在区域公共配套设施齐备情况</v>
      </c>
      <c r="D21" s="2010"/>
      <c r="E21" s="2587"/>
      <c r="F21" s="1247" t="s">
        <v>1662</v>
      </c>
      <c r="G21" s="3089"/>
    </row>
    <row r="22" spans="1:7" ht="27">
      <c r="A22" s="2590"/>
      <c r="B22" s="1231" t="s">
        <v>2550</v>
      </c>
      <c r="C22" s="1005" t="str">
        <f>C8</f>
        <v>估价对象所在区域基础设施水平</v>
      </c>
      <c r="D22" s="2010"/>
      <c r="E22" s="2587"/>
      <c r="F22" s="1247" t="s">
        <v>1672</v>
      </c>
      <c r="G22" s="2795"/>
    </row>
    <row r="23" spans="1:7" ht="15" thickBot="1">
      <c r="A23" s="2590"/>
      <c r="B23" s="1247" t="s">
        <v>1662</v>
      </c>
      <c r="C23" s="3089"/>
      <c r="E23" s="2588"/>
      <c r="F23" s="1248" t="s">
        <v>1676</v>
      </c>
      <c r="G23" s="3090"/>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7" t="s">
        <v>2846</v>
      </c>
      <c r="B1" s="3047">
        <f>SUM(B14:B23)</f>
        <v>57196.500000000007</v>
      </c>
      <c r="C1" s="3048"/>
      <c r="D1" s="3048"/>
      <c r="E1" s="3048"/>
      <c r="F1" s="3048"/>
    </row>
    <row r="2" spans="1:9" ht="16.5">
      <c r="A2" s="3047" t="s">
        <v>2847</v>
      </c>
      <c r="B2" s="3047">
        <f>SUM(C14:C23)</f>
        <v>130380.53</v>
      </c>
      <c r="C2" s="3048"/>
      <c r="D2" s="3048"/>
      <c r="E2" s="3048"/>
      <c r="F2" s="3048"/>
    </row>
    <row r="3" spans="1:9" ht="16.5">
      <c r="A3" s="3047" t="s">
        <v>2848</v>
      </c>
      <c r="B3" s="3049">
        <f>项目基本情况!D3</f>
        <v>43410</v>
      </c>
      <c r="C3" s="3048"/>
      <c r="D3" s="3048"/>
      <c r="E3" s="3048"/>
      <c r="F3" s="3048"/>
    </row>
    <row r="4" spans="1:9" ht="33">
      <c r="A4" s="3047" t="s">
        <v>2849</v>
      </c>
      <c r="B4" s="3047" t="s">
        <v>2850</v>
      </c>
      <c r="C4" s="3047" t="s">
        <v>2851</v>
      </c>
      <c r="D4" s="3047" t="s">
        <v>2852</v>
      </c>
      <c r="E4" s="3048"/>
      <c r="F4" s="3048"/>
    </row>
    <row r="5" spans="1:9" ht="16.5">
      <c r="A5" s="3047" t="s">
        <v>2853</v>
      </c>
      <c r="B5" s="3047">
        <f ca="1">SUM(D14:D23)</f>
        <v>95292</v>
      </c>
      <c r="C5" s="3047">
        <f ca="1">ROUND(B5*10000/$B$1,0)</f>
        <v>16660</v>
      </c>
      <c r="D5" s="3047">
        <f ca="1">ROUND(B5*10000/$B$2,0)</f>
        <v>7309</v>
      </c>
      <c r="E5" s="3048"/>
      <c r="F5" s="3048"/>
    </row>
    <row r="6" spans="1:9" ht="16.5">
      <c r="A6" s="3047" t="s">
        <v>2854</v>
      </c>
      <c r="B6" s="3047">
        <f>SUM(G14:G23)</f>
        <v>0</v>
      </c>
      <c r="C6" s="3047">
        <f t="shared" ref="C6:C8" si="0">ROUND(B6*10000/$B$1,0)</f>
        <v>0</v>
      </c>
      <c r="D6" s="3047">
        <f t="shared" ref="D6:D8" si="1">ROUND(B6*10000/$B$2,0)</f>
        <v>0</v>
      </c>
      <c r="E6" s="3048"/>
      <c r="F6" s="3048"/>
    </row>
    <row r="7" spans="1:9" ht="16.5">
      <c r="A7" s="3047" t="s">
        <v>2855</v>
      </c>
      <c r="B7" s="3047">
        <f>SUM(H14:H23)</f>
        <v>0</v>
      </c>
      <c r="C7" s="3047">
        <f t="shared" si="0"/>
        <v>0</v>
      </c>
      <c r="D7" s="3047">
        <f t="shared" si="1"/>
        <v>0</v>
      </c>
      <c r="E7" s="3048"/>
      <c r="F7" s="3048"/>
    </row>
    <row r="8" spans="1:9" ht="16.5">
      <c r="A8" s="3047" t="s">
        <v>2856</v>
      </c>
      <c r="B8" s="3047">
        <f>SUM(I14:I23)</f>
        <v>0</v>
      </c>
      <c r="C8" s="3047">
        <f t="shared" si="0"/>
        <v>0</v>
      </c>
      <c r="D8" s="3047">
        <f t="shared" si="1"/>
        <v>0</v>
      </c>
      <c r="E8" s="3048"/>
      <c r="F8" s="3048"/>
    </row>
    <row r="9" spans="1:9" ht="16.5">
      <c r="A9" s="3047" t="s">
        <v>2857</v>
      </c>
      <c r="B9" s="3050"/>
      <c r="C9" s="3048"/>
      <c r="D9" s="3048"/>
      <c r="E9" s="3048"/>
      <c r="F9" s="3048"/>
    </row>
    <row r="10" spans="1:9" ht="16.5">
      <c r="A10" s="3047" t="s">
        <v>2858</v>
      </c>
      <c r="B10" s="3050"/>
      <c r="C10" s="3048"/>
      <c r="D10" s="3048"/>
      <c r="E10" s="3048"/>
      <c r="F10" s="3048"/>
    </row>
    <row r="11" spans="1:9" ht="16.5">
      <c r="A11" s="3047" t="s">
        <v>2875</v>
      </c>
      <c r="B11" s="3050"/>
      <c r="C11" s="3048"/>
      <c r="D11" s="3048"/>
      <c r="E11" s="3048"/>
      <c r="F11" s="3048"/>
    </row>
    <row r="12" spans="1:9" ht="16.5">
      <c r="A12" s="3048"/>
      <c r="B12" s="3048"/>
      <c r="C12" s="3048"/>
      <c r="D12" s="3048"/>
      <c r="E12" s="3048"/>
      <c r="F12" s="3048"/>
    </row>
    <row r="13" spans="1:9" ht="33">
      <c r="A13" s="3053" t="s">
        <v>2874</v>
      </c>
      <c r="B13" s="3051" t="s">
        <v>2846</v>
      </c>
      <c r="C13" s="3051" t="s">
        <v>2847</v>
      </c>
      <c r="D13" s="3051" t="s">
        <v>2859</v>
      </c>
      <c r="E13" s="3047" t="s">
        <v>2873</v>
      </c>
      <c r="F13" s="3047" t="s">
        <v>2852</v>
      </c>
      <c r="G13" s="3051" t="s">
        <v>2860</v>
      </c>
      <c r="H13" s="3051" t="s">
        <v>2861</v>
      </c>
      <c r="I13" s="3051" t="s">
        <v>2862</v>
      </c>
    </row>
    <row r="14" spans="1:9" ht="16.5">
      <c r="A14" s="3054" t="s">
        <v>2872</v>
      </c>
      <c r="B14" s="3051">
        <f>结果表!L38</f>
        <v>57196.500000000007</v>
      </c>
      <c r="C14" s="3051">
        <f>结果表!K38</f>
        <v>130380.53</v>
      </c>
      <c r="D14" s="3051">
        <f ca="1">结果表!C42</f>
        <v>95292</v>
      </c>
      <c r="E14" s="3051">
        <f ca="1">ROUND(D14*10000/B14,0)</f>
        <v>16660</v>
      </c>
      <c r="F14" s="3051">
        <f ca="1">ROUND(D14*10000/C14,0)</f>
        <v>7309</v>
      </c>
      <c r="G14" s="3051" t="str">
        <f>结果表!C44</f>
        <v>——</v>
      </c>
      <c r="H14" s="3051" t="str">
        <f>结果表!C45</f>
        <v>——</v>
      </c>
      <c r="I14" s="3051" t="str">
        <f>结果表!C46</f>
        <v>——</v>
      </c>
    </row>
    <row r="15" spans="1:9" ht="16.5">
      <c r="A15" s="3054" t="s">
        <v>2863</v>
      </c>
      <c r="B15" s="3055"/>
      <c r="C15" s="3055"/>
      <c r="D15" s="3055"/>
      <c r="E15" s="3051" t="e">
        <f t="shared" ref="E15:E23" si="2">ROUND(D15*10000/B15,0)</f>
        <v>#DIV/0!</v>
      </c>
      <c r="F15" s="3051" t="e">
        <f t="shared" ref="F15:F23" si="3">ROUND(D15*10000/C15,0)</f>
        <v>#DIV/0!</v>
      </c>
      <c r="G15" s="3052"/>
      <c r="H15" s="3052"/>
      <c r="I15" s="3055"/>
    </row>
    <row r="16" spans="1:9" ht="16.5">
      <c r="A16" s="3054" t="s">
        <v>2864</v>
      </c>
      <c r="B16" s="3055"/>
      <c r="C16" s="3055"/>
      <c r="D16" s="3055"/>
      <c r="E16" s="3051" t="e">
        <f t="shared" si="2"/>
        <v>#DIV/0!</v>
      </c>
      <c r="F16" s="3051" t="e">
        <f t="shared" si="3"/>
        <v>#DIV/0!</v>
      </c>
      <c r="G16" s="3052"/>
      <c r="H16" s="3052"/>
      <c r="I16" s="3055"/>
    </row>
    <row r="17" spans="1:9" ht="16.5">
      <c r="A17" s="3054" t="s">
        <v>2865</v>
      </c>
      <c r="B17" s="3055"/>
      <c r="C17" s="3055"/>
      <c r="D17" s="3055"/>
      <c r="E17" s="3051" t="e">
        <f t="shared" si="2"/>
        <v>#DIV/0!</v>
      </c>
      <c r="F17" s="3051" t="e">
        <f t="shared" si="3"/>
        <v>#DIV/0!</v>
      </c>
      <c r="G17" s="3052"/>
      <c r="H17" s="3052"/>
      <c r="I17" s="3055"/>
    </row>
    <row r="18" spans="1:9" ht="16.5">
      <c r="A18" s="3054" t="s">
        <v>2866</v>
      </c>
      <c r="B18" s="3055"/>
      <c r="C18" s="3055"/>
      <c r="D18" s="3055"/>
      <c r="E18" s="3051" t="e">
        <f t="shared" si="2"/>
        <v>#DIV/0!</v>
      </c>
      <c r="F18" s="3051" t="e">
        <f t="shared" si="3"/>
        <v>#DIV/0!</v>
      </c>
      <c r="G18" s="3055"/>
      <c r="H18" s="3055"/>
      <c r="I18" s="3055"/>
    </row>
    <row r="19" spans="1:9" ht="16.5">
      <c r="A19" s="3054" t="s">
        <v>2867</v>
      </c>
      <c r="B19" s="3055"/>
      <c r="C19" s="3055"/>
      <c r="D19" s="3055"/>
      <c r="E19" s="3051" t="e">
        <f t="shared" si="2"/>
        <v>#DIV/0!</v>
      </c>
      <c r="F19" s="3051" t="e">
        <f t="shared" si="3"/>
        <v>#DIV/0!</v>
      </c>
      <c r="G19" s="3055"/>
      <c r="H19" s="3055"/>
      <c r="I19" s="3055"/>
    </row>
    <row r="20" spans="1:9" ht="16.5">
      <c r="A20" s="3054" t="s">
        <v>2868</v>
      </c>
      <c r="B20" s="3055"/>
      <c r="C20" s="3055"/>
      <c r="D20" s="3055"/>
      <c r="E20" s="3051" t="e">
        <f t="shared" si="2"/>
        <v>#DIV/0!</v>
      </c>
      <c r="F20" s="3051" t="e">
        <f t="shared" si="3"/>
        <v>#DIV/0!</v>
      </c>
      <c r="G20" s="3055"/>
      <c r="H20" s="3055"/>
      <c r="I20" s="3055"/>
    </row>
    <row r="21" spans="1:9" ht="16.5">
      <c r="A21" s="3054" t="s">
        <v>2869</v>
      </c>
      <c r="B21" s="3055"/>
      <c r="C21" s="3055"/>
      <c r="D21" s="3055"/>
      <c r="E21" s="3051" t="e">
        <f t="shared" si="2"/>
        <v>#DIV/0!</v>
      </c>
      <c r="F21" s="3051" t="e">
        <f t="shared" si="3"/>
        <v>#DIV/0!</v>
      </c>
      <c r="G21" s="3055"/>
      <c r="H21" s="3055"/>
      <c r="I21" s="3055"/>
    </row>
    <row r="22" spans="1:9" ht="16.5">
      <c r="A22" s="3054" t="s">
        <v>2870</v>
      </c>
      <c r="B22" s="3055"/>
      <c r="C22" s="3055"/>
      <c r="D22" s="3055"/>
      <c r="E22" s="3051" t="e">
        <f t="shared" si="2"/>
        <v>#DIV/0!</v>
      </c>
      <c r="F22" s="3051" t="e">
        <f t="shared" si="3"/>
        <v>#DIV/0!</v>
      </c>
      <c r="G22" s="3055"/>
      <c r="H22" s="3055"/>
      <c r="I22" s="3055"/>
    </row>
    <row r="23" spans="1:9" ht="16.5">
      <c r="A23" s="3054" t="s">
        <v>2871</v>
      </c>
      <c r="B23" s="3055"/>
      <c r="C23" s="3055"/>
      <c r="D23" s="3055"/>
      <c r="E23" s="3047" t="e">
        <f t="shared" si="2"/>
        <v>#DIV/0!</v>
      </c>
      <c r="F23" s="3047" t="e">
        <f t="shared" si="3"/>
        <v>#DIV/0!</v>
      </c>
      <c r="G23" s="3055"/>
      <c r="H23" s="3055"/>
      <c r="I23" s="3055"/>
    </row>
  </sheetData>
  <sheetProtection password="C66D" sheet="1" objects="1" scenarios="1"/>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D21" sqref="D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420" t="str">
        <f>项目基本情况!K2</f>
        <v>北京市海淀区清河安宁庄东路1号出让国有建设用地使用权</v>
      </c>
      <c r="B2" s="3421"/>
      <c r="C2" s="3422"/>
      <c r="D2" s="3422"/>
      <c r="E2" s="3422"/>
      <c r="F2" s="3422"/>
      <c r="G2" s="3421"/>
      <c r="H2" s="3421"/>
      <c r="I2" s="3423"/>
      <c r="J2" s="2031"/>
      <c r="K2" s="2030"/>
      <c r="L2" s="2030"/>
      <c r="M2" s="2030"/>
      <c r="N2" s="2030"/>
      <c r="O2" s="2030"/>
      <c r="P2" s="2030"/>
      <c r="Q2" s="2030"/>
      <c r="R2" s="2030"/>
      <c r="S2" s="2030"/>
      <c r="T2" s="2030"/>
      <c r="U2" s="2030"/>
      <c r="V2" s="2030"/>
    </row>
    <row r="3" spans="1:22" ht="14.25">
      <c r="A3" s="3431" t="s">
        <v>298</v>
      </c>
      <c r="B3" s="3432"/>
      <c r="C3" s="3432"/>
      <c r="D3" s="3432"/>
      <c r="E3" s="3432"/>
      <c r="F3" s="3432"/>
      <c r="G3" s="3432"/>
      <c r="H3" s="3432"/>
      <c r="I3" s="3432"/>
      <c r="J3" s="2031"/>
      <c r="K3" s="2030"/>
      <c r="L3" s="2030"/>
      <c r="M3" s="2030"/>
      <c r="N3" s="2030"/>
      <c r="O3" s="2030"/>
      <c r="P3" s="2030"/>
      <c r="Q3" s="2030"/>
      <c r="R3" s="2030"/>
      <c r="S3" s="2030"/>
      <c r="T3" s="2030"/>
      <c r="U3" s="2030"/>
      <c r="V3" s="2030"/>
    </row>
    <row r="4" spans="1:22" ht="14.25">
      <c r="A4" s="258" t="s">
        <v>299</v>
      </c>
      <c r="B4" s="259" t="s">
        <v>300</v>
      </c>
      <c r="C4" s="260" t="s">
        <v>2955</v>
      </c>
      <c r="D4" s="260" t="s">
        <v>3042</v>
      </c>
      <c r="E4" s="3395" t="s">
        <v>301</v>
      </c>
      <c r="F4" s="3437"/>
      <c r="G4" s="3437"/>
      <c r="H4" s="3437"/>
      <c r="I4" s="3396"/>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30"/>
      <c r="O4" s="2030"/>
      <c r="P4" s="2030"/>
      <c r="Q4" s="2030"/>
      <c r="R4" s="2030"/>
      <c r="S4" s="2030"/>
      <c r="T4" s="2030"/>
      <c r="U4" s="2030"/>
      <c r="V4" s="2030"/>
    </row>
    <row r="5" spans="1:22" ht="14.25">
      <c r="A5" s="3424" t="s">
        <v>302</v>
      </c>
      <c r="B5" s="3425">
        <v>25</v>
      </c>
      <c r="C5" s="3433">
        <v>3</v>
      </c>
      <c r="D5" s="3436">
        <f>10-C5</f>
        <v>7</v>
      </c>
      <c r="E5" s="261" t="s">
        <v>303</v>
      </c>
      <c r="F5" s="262"/>
      <c r="G5" s="262"/>
      <c r="H5" s="262"/>
      <c r="I5" s="263"/>
      <c r="J5" s="2031"/>
      <c r="K5" s="2030"/>
      <c r="L5" s="2030"/>
      <c r="M5" s="2030"/>
      <c r="N5" s="2030"/>
      <c r="O5" s="2030"/>
      <c r="P5" s="2030"/>
      <c r="Q5" s="2030"/>
      <c r="R5" s="2030"/>
      <c r="S5" s="2030"/>
      <c r="T5" s="2030"/>
      <c r="U5" s="2030"/>
      <c r="V5" s="2030"/>
    </row>
    <row r="6" spans="1:22" ht="14.25">
      <c r="A6" s="3424"/>
      <c r="B6" s="3425"/>
      <c r="C6" s="3434"/>
      <c r="D6" s="3436"/>
      <c r="E6" s="261" t="s">
        <v>304</v>
      </c>
      <c r="F6" s="262"/>
      <c r="G6" s="262"/>
      <c r="H6" s="262"/>
      <c r="I6" s="263"/>
      <c r="J6" s="2031"/>
      <c r="K6" s="2030"/>
      <c r="L6" s="2030"/>
      <c r="M6" s="2030"/>
      <c r="N6" s="2030"/>
      <c r="O6" s="2030"/>
      <c r="P6" s="2030"/>
      <c r="Q6" s="2030"/>
      <c r="R6" s="2030"/>
      <c r="S6" s="2030"/>
      <c r="T6" s="2030"/>
      <c r="U6" s="2030"/>
      <c r="V6" s="2030"/>
    </row>
    <row r="7" spans="1:22" ht="14.25">
      <c r="A7" s="3424"/>
      <c r="B7" s="3425"/>
      <c r="C7" s="3435"/>
      <c r="D7" s="3436"/>
      <c r="E7" s="261" t="s">
        <v>305</v>
      </c>
      <c r="F7" s="262"/>
      <c r="G7" s="262"/>
      <c r="H7" s="262"/>
      <c r="I7" s="263"/>
      <c r="J7" s="2031"/>
      <c r="K7" s="2030"/>
      <c r="L7" s="2030"/>
      <c r="M7" s="2030"/>
      <c r="N7" s="2030"/>
      <c r="O7" s="2030"/>
      <c r="P7" s="2030"/>
      <c r="Q7" s="2030"/>
      <c r="R7" s="2030"/>
      <c r="S7" s="2030"/>
      <c r="T7" s="2030"/>
      <c r="U7" s="2030"/>
      <c r="V7" s="2030"/>
    </row>
    <row r="8" spans="1:22" ht="14.25">
      <c r="A8" s="3424" t="s">
        <v>306</v>
      </c>
      <c r="B8" s="3425">
        <v>15</v>
      </c>
      <c r="C8" s="3433"/>
      <c r="D8" s="3436"/>
      <c r="E8" s="261" t="s">
        <v>307</v>
      </c>
      <c r="F8" s="262"/>
      <c r="G8" s="262"/>
      <c r="H8" s="262"/>
      <c r="I8" s="263"/>
      <c r="J8" s="2031"/>
      <c r="K8" s="2030"/>
      <c r="L8" s="2030"/>
      <c r="M8" s="2030"/>
      <c r="N8" s="2030"/>
      <c r="O8" s="2030"/>
      <c r="P8" s="2030"/>
      <c r="Q8" s="2030"/>
      <c r="R8" s="2030"/>
      <c r="S8" s="2030"/>
      <c r="T8" s="2030"/>
      <c r="U8" s="2030"/>
      <c r="V8" s="2030"/>
    </row>
    <row r="9" spans="1:22" ht="14.25">
      <c r="A9" s="3424"/>
      <c r="B9" s="3425"/>
      <c r="C9" s="3435"/>
      <c r="D9" s="3436"/>
      <c r="E9" s="261" t="s">
        <v>308</v>
      </c>
      <c r="F9" s="262"/>
      <c r="G9" s="262"/>
      <c r="H9" s="262"/>
      <c r="I9" s="263"/>
      <c r="J9" s="2031"/>
      <c r="K9" s="2030"/>
      <c r="L9" s="2030"/>
      <c r="M9" s="2030"/>
      <c r="N9" s="2030"/>
      <c r="O9" s="2030"/>
      <c r="P9" s="2030"/>
      <c r="Q9" s="2030"/>
      <c r="R9" s="2030"/>
      <c r="S9" s="2030"/>
      <c r="T9" s="2030"/>
      <c r="U9" s="2030"/>
      <c r="V9" s="2030"/>
    </row>
    <row r="10" spans="1:22" ht="14.25">
      <c r="A10" s="3424" t="s">
        <v>309</v>
      </c>
      <c r="B10" s="3425">
        <v>15</v>
      </c>
      <c r="C10" s="3433"/>
      <c r="D10" s="3436"/>
      <c r="E10" s="261" t="s">
        <v>310</v>
      </c>
      <c r="F10" s="262"/>
      <c r="G10" s="262"/>
      <c r="H10" s="262"/>
      <c r="I10" s="263"/>
      <c r="J10" s="2031"/>
      <c r="K10" s="2030"/>
      <c r="L10" s="2030"/>
      <c r="M10" s="2030"/>
      <c r="N10" s="2030"/>
      <c r="O10" s="2030"/>
      <c r="P10" s="2030"/>
      <c r="Q10" s="2030"/>
      <c r="R10" s="2030"/>
      <c r="S10" s="2030"/>
      <c r="T10" s="2030"/>
      <c r="U10" s="2030"/>
      <c r="V10" s="2030"/>
    </row>
    <row r="11" spans="1:22" ht="14.25">
      <c r="A11" s="3424"/>
      <c r="B11" s="3425"/>
      <c r="C11" s="3435"/>
      <c r="D11" s="3436"/>
      <c r="E11" s="261" t="s">
        <v>311</v>
      </c>
      <c r="F11" s="262"/>
      <c r="G11" s="262"/>
      <c r="H11" s="262"/>
      <c r="I11" s="263"/>
      <c r="J11" s="2031"/>
      <c r="K11" s="2030"/>
      <c r="L11" s="2030"/>
      <c r="M11" s="2030"/>
      <c r="N11" s="2030"/>
      <c r="O11" s="2030"/>
      <c r="P11" s="2030"/>
      <c r="Q11" s="2030"/>
      <c r="R11" s="2030"/>
      <c r="S11" s="2030"/>
      <c r="T11" s="2030"/>
      <c r="U11" s="2030"/>
      <c r="V11" s="2030"/>
    </row>
    <row r="12" spans="1:22" ht="14.25">
      <c r="A12" s="3424" t="s">
        <v>312</v>
      </c>
      <c r="B12" s="3425">
        <v>15</v>
      </c>
      <c r="C12" s="3433"/>
      <c r="D12" s="3436"/>
      <c r="E12" s="261" t="s">
        <v>313</v>
      </c>
      <c r="F12" s="262"/>
      <c r="G12" s="262"/>
      <c r="H12" s="262"/>
      <c r="I12" s="263"/>
      <c r="J12" s="2031"/>
      <c r="K12" s="2030"/>
      <c r="L12" s="2030"/>
      <c r="M12" s="2030"/>
      <c r="N12" s="2030"/>
      <c r="O12" s="2030"/>
      <c r="P12" s="2030"/>
      <c r="Q12" s="2030"/>
      <c r="R12" s="2030"/>
      <c r="S12" s="2030"/>
      <c r="T12" s="2030"/>
      <c r="U12" s="2030"/>
      <c r="V12" s="2030"/>
    </row>
    <row r="13" spans="1:22" ht="14.25">
      <c r="A13" s="3424"/>
      <c r="B13" s="3425"/>
      <c r="C13" s="3435"/>
      <c r="D13" s="3436"/>
      <c r="E13" s="261" t="s">
        <v>314</v>
      </c>
      <c r="F13" s="262"/>
      <c r="G13" s="262"/>
      <c r="H13" s="262"/>
      <c r="I13" s="263"/>
      <c r="J13" s="2031"/>
      <c r="K13" s="2030"/>
      <c r="L13" s="2030"/>
      <c r="M13" s="2030"/>
      <c r="N13" s="2030"/>
      <c r="O13" s="2030"/>
      <c r="P13" s="2030"/>
      <c r="Q13" s="2030"/>
      <c r="R13" s="2030"/>
      <c r="S13" s="2030"/>
      <c r="T13" s="2030"/>
      <c r="U13" s="2030"/>
      <c r="V13" s="2030"/>
    </row>
    <row r="14" spans="1:22" ht="14.25">
      <c r="A14" s="3424" t="s">
        <v>315</v>
      </c>
      <c r="B14" s="3425">
        <v>30</v>
      </c>
      <c r="C14" s="3433"/>
      <c r="D14" s="3436"/>
      <c r="E14" s="261" t="s">
        <v>316</v>
      </c>
      <c r="F14" s="262"/>
      <c r="G14" s="262"/>
      <c r="H14" s="262"/>
      <c r="I14" s="263"/>
      <c r="J14" s="2031"/>
      <c r="K14" s="2030"/>
      <c r="L14" s="2030"/>
      <c r="M14" s="2030"/>
      <c r="N14" s="2030"/>
      <c r="O14" s="2030"/>
      <c r="P14" s="2030"/>
      <c r="Q14" s="2030"/>
      <c r="R14" s="2030"/>
      <c r="S14" s="2030"/>
      <c r="T14" s="2030"/>
      <c r="U14" s="2030"/>
      <c r="V14" s="2030"/>
    </row>
    <row r="15" spans="1:22" ht="14.25">
      <c r="A15" s="3424"/>
      <c r="B15" s="3425"/>
      <c r="C15" s="3434"/>
      <c r="D15" s="3436"/>
      <c r="E15" s="261" t="s">
        <v>317</v>
      </c>
      <c r="F15" s="262"/>
      <c r="G15" s="262"/>
      <c r="H15" s="262"/>
      <c r="I15" s="263"/>
      <c r="J15" s="2031"/>
      <c r="K15" s="2030"/>
      <c r="L15" s="2030"/>
      <c r="M15" s="2030"/>
      <c r="N15" s="2030"/>
      <c r="O15" s="2030"/>
      <c r="P15" s="2030"/>
      <c r="Q15" s="2030"/>
      <c r="R15" s="2030"/>
      <c r="S15" s="2030"/>
      <c r="T15" s="2030"/>
      <c r="U15" s="2030"/>
      <c r="V15" s="2030"/>
    </row>
    <row r="16" spans="1:22" ht="14.25">
      <c r="A16" s="3424"/>
      <c r="B16" s="3425"/>
      <c r="C16" s="3435"/>
      <c r="D16" s="3436"/>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3</v>
      </c>
      <c r="D17" s="265">
        <f>SUM(D5:D16)</f>
        <v>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53912</v>
      </c>
      <c r="D19" s="271">
        <f ca="1">SUMIF(INDIRECT("'"&amp;D4&amp;"'"&amp;"!A:A"),结果表!B19,INDIRECT("'"&amp;D4&amp;"'"&amp;"!B:B"))</f>
        <v>113026</v>
      </c>
      <c r="E19" s="268" t="s">
        <v>323</v>
      </c>
      <c r="F19" s="269" t="s">
        <v>322</v>
      </c>
      <c r="G19" s="272">
        <f ca="1">ROUND(C19*$C$18+D19*$D$18,0)</f>
        <v>95292</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4135</v>
      </c>
      <c r="D20" s="277">
        <f ca="1">SUMIF(INDIRECT("'"&amp;D4&amp;"'"&amp;"!A:A"),结果表!B20,INDIRECT("'"&amp;D4&amp;"'"&amp;"!B:B"))</f>
        <v>19761</v>
      </c>
      <c r="E20" s="274"/>
      <c r="F20" s="275" t="s">
        <v>325</v>
      </c>
      <c r="G20" s="278">
        <f ca="1">ROUND(C20*$C$18+D20*$D$18,0)</f>
        <v>15073</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4135</v>
      </c>
      <c r="D21" s="151">
        <f ca="1">SUMIF(INDIRECT("'"&amp;D4&amp;"'"&amp;"!A:A"),结果表!B21,INDIRECT("'"&amp;D4&amp;"'"&amp;"!B:B"))</f>
        <v>8669</v>
      </c>
      <c r="E21" s="274"/>
      <c r="F21" s="280" t="s">
        <v>327</v>
      </c>
      <c r="G21" s="282">
        <f ca="1">ROUND(C21*$C$18+D21*$D$18,0)</f>
        <v>7309</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1.0964905772369788</v>
      </c>
      <c r="E22" s="284"/>
      <c r="F22" s="285"/>
      <c r="G22" s="286">
        <f ca="1">ROUND(G19/('数据-汇总表'!D3/666.67),0)</f>
        <v>487</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97"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439"/>
      <c r="B25" s="1321" t="s">
        <v>331</v>
      </c>
      <c r="C25" s="290">
        <f>IF(B30=0,0,C30)</f>
        <v>0</v>
      </c>
      <c r="D25" s="291"/>
      <c r="E25" s="311"/>
      <c r="F25" s="311"/>
      <c r="G25" s="311"/>
      <c r="H25" s="311"/>
      <c r="I25" s="311"/>
      <c r="J25" s="2030"/>
      <c r="K25" s="1255" t="str">
        <f ca="1">项目基本情况!B16&amp;"国有建设用地使用权价格："&amp;O38&amp;"万元"</f>
        <v>出让国有建设用地使用权价格：95292万元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大写金额：人民币玖亿伍仟贰佰玖拾贰万元整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单位面积地价：7309元/平方米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楼面地价：16660元/平方米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2" t="s">
        <v>336</v>
      </c>
      <c r="B30" s="309"/>
      <c r="C30" s="309"/>
      <c r="D30" s="310"/>
      <c r="E30" s="3133" t="s">
        <v>2972</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337</v>
      </c>
      <c r="B32" s="1382" t="s">
        <v>1689</v>
      </c>
      <c r="C32" s="1383">
        <f ca="1">G19-C24</f>
        <v>95292</v>
      </c>
      <c r="D32" s="1384" t="s">
        <v>1690</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340</v>
      </c>
      <c r="B33" s="1385" t="s">
        <v>1691</v>
      </c>
      <c r="C33" s="264">
        <f ca="1">ROUND(C32*10000/'数据-汇总表'!E3,0)</f>
        <v>16660</v>
      </c>
      <c r="D33" s="1386" t="s">
        <v>1692</v>
      </c>
      <c r="E33" s="3397"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7309</v>
      </c>
      <c r="D34" s="1388" t="s">
        <v>1692</v>
      </c>
      <c r="E34" s="3398"/>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487</v>
      </c>
      <c r="D35" s="1391" t="s">
        <v>1694</v>
      </c>
      <c r="E35" s="3399"/>
      <c r="F35" s="301" t="s">
        <v>342</v>
      </c>
      <c r="G35" s="982"/>
      <c r="H35" s="981" t="s">
        <v>343</v>
      </c>
      <c r="I35" s="311"/>
      <c r="J35" s="2030"/>
      <c r="K35" s="3403" t="s">
        <v>350</v>
      </c>
      <c r="L35" s="3403" t="s">
        <v>351</v>
      </c>
      <c r="M35" s="1264" t="s">
        <v>352</v>
      </c>
      <c r="N35" s="3403" t="s">
        <v>353</v>
      </c>
      <c r="O35" s="3403" t="s">
        <v>354</v>
      </c>
      <c r="P35" s="2030"/>
      <c r="V35" s="2030"/>
    </row>
    <row r="36" spans="1:26" ht="16.5" customHeight="1">
      <c r="A36" s="303" t="s">
        <v>344</v>
      </c>
      <c r="B36" s="304" t="s">
        <v>333</v>
      </c>
      <c r="C36" s="305" t="s">
        <v>345</v>
      </c>
      <c r="D36" s="305" t="s">
        <v>346</v>
      </c>
      <c r="E36" s="306" t="s">
        <v>347</v>
      </c>
      <c r="F36" s="311"/>
      <c r="G36" s="311"/>
      <c r="H36" s="311"/>
      <c r="I36" s="311"/>
      <c r="J36" s="2032"/>
      <c r="K36" s="3404"/>
      <c r="L36" s="3404"/>
      <c r="M36" s="1266" t="s">
        <v>355</v>
      </c>
      <c r="N36" s="3404"/>
      <c r="O36" s="3404"/>
      <c r="P36" s="2030"/>
      <c r="V36" s="2030"/>
    </row>
    <row r="37" spans="1:26" ht="16.5" customHeight="1" thickBot="1">
      <c r="A37" s="1260" t="s">
        <v>348</v>
      </c>
      <c r="B37" s="307"/>
      <c r="C37" s="294"/>
      <c r="D37" s="294"/>
      <c r="E37" s="295"/>
      <c r="F37" s="311"/>
      <c r="G37" s="311"/>
      <c r="H37" s="311"/>
      <c r="I37" s="311"/>
      <c r="J37" s="2032"/>
      <c r="K37" s="3405"/>
      <c r="L37" s="3405"/>
      <c r="M37" s="1267"/>
      <c r="N37" s="3405"/>
      <c r="O37" s="3405"/>
      <c r="P37" s="2030"/>
      <c r="V37" s="2030"/>
    </row>
    <row r="38" spans="1:26" ht="16.5" customHeight="1" thickBot="1">
      <c r="A38" s="1260" t="s">
        <v>349</v>
      </c>
      <c r="B38" s="307"/>
      <c r="C38" s="294"/>
      <c r="D38" s="294"/>
      <c r="E38" s="295"/>
      <c r="F38" s="311"/>
      <c r="G38" s="311"/>
      <c r="H38" s="311"/>
      <c r="I38" s="311"/>
      <c r="J38" s="2032"/>
      <c r="K38" s="1268">
        <f>'数据-汇总表'!D3</f>
        <v>130380.53</v>
      </c>
      <c r="L38" s="1269">
        <f>'数据-汇总表'!E3</f>
        <v>57196.500000000007</v>
      </c>
      <c r="M38" s="1269">
        <f ca="1">C34</f>
        <v>7309</v>
      </c>
      <c r="N38" s="1269">
        <f ca="1">C33</f>
        <v>16660</v>
      </c>
      <c r="O38" s="1270">
        <f ca="1">C32</f>
        <v>95292</v>
      </c>
      <c r="P38" s="2030"/>
      <c r="V38" s="2030"/>
    </row>
    <row r="39" spans="1:26" ht="16.5" customHeight="1" thickBot="1">
      <c r="A39" s="1265"/>
      <c r="B39" s="308"/>
      <c r="C39" s="309"/>
      <c r="D39" s="309"/>
      <c r="E39" s="310"/>
      <c r="F39" s="311"/>
      <c r="G39" s="311"/>
      <c r="H39" s="311"/>
      <c r="I39" s="311"/>
      <c r="J39" s="2032"/>
      <c r="K39" s="3380" t="str">
        <f>MID(A44,3,LEN(A44)-2)</f>
        <v/>
      </c>
      <c r="L39" s="3381"/>
      <c r="M39" s="3381"/>
      <c r="N39" s="3382"/>
      <c r="O39" s="1393" t="str">
        <f>C44</f>
        <v>——</v>
      </c>
      <c r="P39" s="2030"/>
      <c r="V39" s="2030"/>
    </row>
    <row r="40" spans="1:26" ht="19.5" thickBot="1">
      <c r="A40" s="104" t="s">
        <v>873</v>
      </c>
      <c r="B40" s="311"/>
      <c r="C40" s="311"/>
      <c r="D40" s="311"/>
      <c r="E40" s="311"/>
      <c r="F40" s="311"/>
      <c r="G40" s="311"/>
      <c r="H40" s="311"/>
      <c r="I40" s="311"/>
      <c r="J40" s="2032"/>
      <c r="K40" s="3380" t="str">
        <f t="shared" ref="K40:K41" si="0">MID(A45,3,LEN(A45)-2)</f>
        <v/>
      </c>
      <c r="L40" s="3381"/>
      <c r="M40" s="3381"/>
      <c r="N40" s="3382"/>
      <c r="O40" s="1393" t="str">
        <f>C45</f>
        <v>——</v>
      </c>
      <c r="P40" s="2030"/>
      <c r="V40" s="2030"/>
    </row>
    <row r="41" spans="1:26" ht="16.5" thickBot="1">
      <c r="A41" s="312" t="s">
        <v>356</v>
      </c>
      <c r="B41" s="313"/>
      <c r="C41" s="314" t="s">
        <v>357</v>
      </c>
      <c r="D41" s="315" t="s">
        <v>358</v>
      </c>
      <c r="E41" s="315" t="s">
        <v>359</v>
      </c>
      <c r="F41" s="316" t="s">
        <v>360</v>
      </c>
      <c r="G41" s="311"/>
      <c r="H41" s="311"/>
      <c r="I41" s="311"/>
      <c r="J41" s="2032"/>
      <c r="K41" s="3380" t="str">
        <f t="shared" si="0"/>
        <v/>
      </c>
      <c r="L41" s="3381"/>
      <c r="M41" s="3381"/>
      <c r="N41" s="3382"/>
      <c r="O41" s="1393" t="str">
        <f>C46</f>
        <v>——</v>
      </c>
      <c r="P41" s="2030"/>
      <c r="V41" s="2030"/>
    </row>
    <row r="42" spans="1:26" ht="29.25">
      <c r="A42" s="3440" t="s">
        <v>2070</v>
      </c>
      <c r="B42" s="3441"/>
      <c r="C42" s="264">
        <f ca="1">C32</f>
        <v>95292</v>
      </c>
      <c r="D42" s="317">
        <f ca="1">C33</f>
        <v>16660</v>
      </c>
      <c r="E42" s="317">
        <f ca="1">C34</f>
        <v>7309</v>
      </c>
      <c r="F42" s="318">
        <f ca="1">C35</f>
        <v>487</v>
      </c>
      <c r="G42" s="311"/>
      <c r="H42" s="311"/>
      <c r="I42" s="319"/>
      <c r="J42" s="2032"/>
      <c r="K42" s="1271" t="s">
        <v>361</v>
      </c>
      <c r="L42" s="2049" t="s">
        <v>362</v>
      </c>
      <c r="M42" s="1272" t="s">
        <v>363</v>
      </c>
      <c r="N42" s="2050" t="s">
        <v>364</v>
      </c>
      <c r="O42" s="2051" t="s">
        <v>365</v>
      </c>
      <c r="P42" s="2030"/>
      <c r="V42" s="2030"/>
    </row>
    <row r="43" spans="1:26" ht="18">
      <c r="A43" s="3450" t="s">
        <v>2733</v>
      </c>
      <c r="B43" s="3451"/>
      <c r="C43" s="264">
        <f>IF(H33="正常操作",G33+G34+G35,G34+G35)</f>
        <v>0</v>
      </c>
      <c r="D43" s="317" t="s">
        <v>43</v>
      </c>
      <c r="E43" s="317" t="s">
        <v>44</v>
      </c>
      <c r="F43" s="318" t="s">
        <v>44</v>
      </c>
      <c r="G43" s="2868" t="s">
        <v>952</v>
      </c>
      <c r="H43" s="311"/>
      <c r="I43" s="319"/>
      <c r="J43" s="2032"/>
      <c r="K43" s="1273" t="str">
        <f>C4</f>
        <v>基准地价</v>
      </c>
      <c r="L43" s="1274">
        <f ca="1">IF(L42="估价结果/万元",C19,C20)</f>
        <v>53912</v>
      </c>
      <c r="M43" s="1275">
        <f>C18</f>
        <v>0.3</v>
      </c>
      <c r="N43" s="1276">
        <f ca="1">IF(N42="测算结果/万元",G19,G20)</f>
        <v>95292</v>
      </c>
      <c r="O43" s="1277">
        <f ca="1">IF(O42="最终结果/万元",C32,C33)</f>
        <v>95292</v>
      </c>
      <c r="P43" s="2030"/>
      <c r="V43" s="2030"/>
    </row>
    <row r="44" spans="1:26" ht="18.75" thickBot="1">
      <c r="A44" s="3440" t="str">
        <f>IF(OR(项目基本情况!E8="抵押价格",项目基本情况!E8="已注销及未注销"),"3.抵押价格","——")</f>
        <v>——</v>
      </c>
      <c r="B44" s="3441"/>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成本逼近法</v>
      </c>
      <c r="L44" s="1279">
        <f ca="1">IF(L42="估价结果/万元",D19,D20)</f>
        <v>113026</v>
      </c>
      <c r="M44" s="1280">
        <f>D18</f>
        <v>0.7</v>
      </c>
      <c r="N44" s="1281"/>
      <c r="O44" s="1282"/>
      <c r="P44" s="2030"/>
      <c r="V44" s="2030"/>
    </row>
    <row r="45" spans="1:26" ht="15">
      <c r="A45" s="3445" t="str">
        <f>IF(项目基本情况!E8="已注销及未注销","4.抵押担保权已注销时的抵押价格",IF(项目基本情况!E8="已注销","3.抵押担保权已注销时的抵押价格","——"))</f>
        <v>——</v>
      </c>
      <c r="B45" s="344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442" t="str">
        <f>IF(项目基本情况!E9="抵押净值",IF(A45="——","4.抵押净值","5.抵押净值"),"——")</f>
        <v>——</v>
      </c>
      <c r="B46" s="3443"/>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408" t="s">
        <v>374</v>
      </c>
      <c r="B63" s="3409"/>
      <c r="C63" s="3410"/>
      <c r="D63" s="341">
        <f ca="1">ROUND(C42*F63,0)</f>
        <v>57175</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447" t="s">
        <v>378</v>
      </c>
      <c r="B64" s="3448"/>
      <c r="C64" s="3448"/>
      <c r="D64" s="3448"/>
      <c r="E64" s="3448"/>
      <c r="F64" s="3448"/>
      <c r="G64" s="3449"/>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444" t="s">
        <v>386</v>
      </c>
      <c r="B66" s="3415"/>
      <c r="C66" s="3415"/>
      <c r="D66" s="261">
        <f ca="1">IF(H66="情况1",0,IF(H66="情况2",D70,IF(H66="情况3",D71,IF(H66="情况4",D72))))</f>
        <v>3049</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84" t="s">
        <v>385</v>
      </c>
      <c r="M66" s="3385"/>
      <c r="N66" s="2460"/>
      <c r="O66" s="2461"/>
      <c r="P66" s="2462"/>
      <c r="Q66" s="2030"/>
      <c r="R66" s="2030"/>
      <c r="S66" s="2030"/>
      <c r="T66" s="2030"/>
      <c r="U66" s="2030"/>
      <c r="V66" s="2030"/>
    </row>
    <row r="67" spans="1:22" ht="25.5" customHeight="1">
      <c r="A67" s="352" t="s">
        <v>390</v>
      </c>
      <c r="B67" s="3427" t="s">
        <v>391</v>
      </c>
      <c r="C67" s="3427"/>
      <c r="D67" s="353">
        <v>0</v>
      </c>
      <c r="E67" s="41" t="s">
        <v>392</v>
      </c>
      <c r="F67" s="62" t="s">
        <v>21</v>
      </c>
      <c r="G67" s="3411"/>
      <c r="H67" s="311"/>
      <c r="I67" s="1292"/>
      <c r="J67" s="2037"/>
      <c r="K67" s="1978">
        <v>2</v>
      </c>
      <c r="L67" s="3383" t="s">
        <v>389</v>
      </c>
      <c r="M67" s="3383"/>
      <c r="N67" s="1325">
        <f>'数据-取费表'!B2</f>
        <v>43410</v>
      </c>
      <c r="O67" s="1325"/>
      <c r="P67" s="1325"/>
      <c r="Q67" s="2030"/>
      <c r="R67" s="2030"/>
      <c r="S67" s="2030"/>
      <c r="T67" s="2030"/>
      <c r="U67" s="2030"/>
      <c r="V67" s="2030"/>
    </row>
    <row r="68" spans="1:22" ht="25.5" customHeight="1">
      <c r="A68" s="354"/>
      <c r="B68" s="3427" t="s">
        <v>394</v>
      </c>
      <c r="C68" s="3427"/>
      <c r="D68" s="355"/>
      <c r="E68" s="77"/>
      <c r="F68" s="356"/>
      <c r="G68" s="3412"/>
      <c r="H68" s="311"/>
      <c r="I68" s="1292"/>
      <c r="J68" s="2037"/>
      <c r="K68" s="1978">
        <v>3</v>
      </c>
      <c r="L68" s="3383" t="s">
        <v>393</v>
      </c>
      <c r="M68" s="3383"/>
      <c r="N68" s="1293">
        <f ca="1">C42</f>
        <v>95292</v>
      </c>
      <c r="O68" s="1293"/>
      <c r="P68" s="1293"/>
      <c r="Q68" s="2030"/>
      <c r="R68" s="2030"/>
      <c r="S68" s="2030"/>
      <c r="T68" s="2030"/>
      <c r="U68" s="2030"/>
      <c r="V68" s="2030"/>
    </row>
    <row r="69" spans="1:22" ht="12" customHeight="1">
      <c r="A69" s="357"/>
      <c r="B69" s="3427" t="s">
        <v>395</v>
      </c>
      <c r="C69" s="3427"/>
      <c r="D69" s="358"/>
      <c r="E69" s="73"/>
      <c r="F69" s="356"/>
      <c r="G69" s="3413"/>
      <c r="H69" s="311"/>
      <c r="I69" s="1292"/>
      <c r="J69" s="2037"/>
      <c r="K69" s="1294">
        <v>4</v>
      </c>
      <c r="L69" s="3389" t="s">
        <v>2885</v>
      </c>
      <c r="M69" s="3390"/>
      <c r="N69" s="1295" t="str">
        <f>C44</f>
        <v>——</v>
      </c>
      <c r="O69" s="1295"/>
      <c r="P69" s="1295"/>
      <c r="Q69" s="2030"/>
      <c r="R69" s="2030"/>
      <c r="S69" s="2030"/>
      <c r="T69" s="2030"/>
      <c r="U69" s="2030"/>
      <c r="V69" s="2030"/>
    </row>
    <row r="70" spans="1:22" ht="24" customHeight="1">
      <c r="A70" s="359" t="s">
        <v>396</v>
      </c>
      <c r="B70" s="3427" t="s">
        <v>397</v>
      </c>
      <c r="C70" s="3427"/>
      <c r="D70" s="358">
        <f ca="1">ROUND(D63*'数据-取费表'!B41/(1+'数据-取费表'!C42),0)</f>
        <v>3049</v>
      </c>
      <c r="E70" s="17" t="s">
        <v>398</v>
      </c>
      <c r="F70" s="360">
        <f>'数据-取费表'!B41</f>
        <v>5.6000000000000001E-2</v>
      </c>
      <c r="G70" s="361"/>
      <c r="H70" s="311"/>
      <c r="I70" s="1292"/>
      <c r="J70" s="2037"/>
      <c r="K70" s="3064"/>
      <c r="L70" s="3065"/>
      <c r="M70" s="3065"/>
      <c r="N70" s="3066" t="s">
        <v>2890</v>
      </c>
      <c r="O70" s="3065"/>
      <c r="P70" s="3067"/>
      <c r="Q70" s="2030"/>
      <c r="R70" s="2030"/>
      <c r="S70" s="2030"/>
      <c r="T70" s="2030"/>
      <c r="U70" s="2030"/>
      <c r="V70" s="2030"/>
    </row>
    <row r="71" spans="1:22" ht="12" customHeight="1">
      <c r="A71" s="359" t="s">
        <v>404</v>
      </c>
      <c r="B71" s="3426" t="s">
        <v>405</v>
      </c>
      <c r="C71" s="3438"/>
      <c r="D71" s="358">
        <f ca="1">ROUND(D63*'数据-取费表'!B41/(1+'数据-取费表'!C42),0)</f>
        <v>3049</v>
      </c>
      <c r="E71" s="17" t="s">
        <v>398</v>
      </c>
      <c r="F71" s="360">
        <f>'数据-取费表'!B41</f>
        <v>5.6000000000000001E-2</v>
      </c>
      <c r="G71" s="361"/>
      <c r="H71" s="311"/>
      <c r="I71" s="1292"/>
      <c r="J71" s="2037"/>
      <c r="K71" s="3063" t="s">
        <v>399</v>
      </c>
      <c r="L71" s="3391" t="s">
        <v>400</v>
      </c>
      <c r="M71" s="3391"/>
      <c r="N71" s="3063" t="s">
        <v>401</v>
      </c>
      <c r="O71" s="3063" t="s">
        <v>402</v>
      </c>
      <c r="P71" s="3063" t="s">
        <v>403</v>
      </c>
      <c r="Q71" s="2030"/>
      <c r="R71" s="2030"/>
      <c r="S71" s="2030"/>
      <c r="T71" s="2030"/>
      <c r="U71" s="2030"/>
      <c r="V71" s="2030"/>
    </row>
    <row r="72" spans="1:22" ht="12" customHeight="1">
      <c r="A72" s="359" t="s">
        <v>407</v>
      </c>
      <c r="B72" s="3426" t="s">
        <v>408</v>
      </c>
      <c r="C72" s="3438"/>
      <c r="D72" s="358">
        <f ca="1">C86</f>
        <v>2937</v>
      </c>
      <c r="E72" s="73" t="s">
        <v>409</v>
      </c>
      <c r="F72" s="360">
        <f>'数据-取费表'!B41</f>
        <v>5.6000000000000001E-2</v>
      </c>
      <c r="G72" s="361"/>
      <c r="H72" s="1298"/>
      <c r="I72" s="1292"/>
      <c r="J72" s="2037"/>
      <c r="K72" s="1978">
        <v>1</v>
      </c>
      <c r="L72" s="3388" t="s">
        <v>406</v>
      </c>
      <c r="M72" s="3388"/>
      <c r="N72" s="1296">
        <f ca="1">D66</f>
        <v>3049</v>
      </c>
      <c r="O72" s="1861" t="str">
        <f>E66</f>
        <v>销售额×税（费）率</v>
      </c>
      <c r="P72" s="1297">
        <f>F66</f>
        <v>5.6000000000000001E-2</v>
      </c>
      <c r="Q72" s="2030"/>
      <c r="R72" s="2030"/>
      <c r="S72" s="2030"/>
      <c r="T72" s="2030"/>
      <c r="U72" s="2030"/>
      <c r="V72" s="2030"/>
    </row>
    <row r="73" spans="1:22" ht="24" customHeight="1">
      <c r="A73" s="3414" t="s">
        <v>411</v>
      </c>
      <c r="B73" s="3415"/>
      <c r="C73" s="3415"/>
      <c r="D73" s="362">
        <f>IF(H73="个人住宅",0,ROUND(D63*I73,0))</f>
        <v>0</v>
      </c>
      <c r="E73" s="17" t="s">
        <v>412</v>
      </c>
      <c r="F73" s="360" t="str">
        <f>IF(H73="正常",I73,"免征")</f>
        <v>免征</v>
      </c>
      <c r="G73" s="361"/>
      <c r="H73" s="191" t="s">
        <v>2458</v>
      </c>
      <c r="I73" s="360">
        <f>'数据-取费表'!B49</f>
        <v>5.0000000000000001E-4</v>
      </c>
      <c r="J73" s="2037"/>
      <c r="K73" s="1978">
        <v>2</v>
      </c>
      <c r="L73" s="3388" t="s">
        <v>410</v>
      </c>
      <c r="M73" s="3388"/>
      <c r="N73" s="1296">
        <f t="shared" ref="N73:P74" si="1">D73</f>
        <v>0</v>
      </c>
      <c r="O73" s="1861" t="str">
        <f t="shared" si="1"/>
        <v>销售额×税（费）率</v>
      </c>
      <c r="P73" s="1297" t="str">
        <f t="shared" si="1"/>
        <v>免征</v>
      </c>
      <c r="Q73" s="2030"/>
      <c r="R73" s="2030"/>
      <c r="S73" s="2030"/>
      <c r="T73" s="2030"/>
      <c r="U73" s="2030"/>
      <c r="V73" s="2030"/>
    </row>
    <row r="74" spans="1:22" ht="24.75">
      <c r="A74" s="3414" t="s">
        <v>415</v>
      </c>
      <c r="B74" s="3415"/>
      <c r="C74" s="3415"/>
      <c r="D74" s="362">
        <f ca="1">IF(H74="个人住宅",D75,D76)</f>
        <v>31705</v>
      </c>
      <c r="E74" s="17" t="s">
        <v>416</v>
      </c>
      <c r="F74" s="360" t="str">
        <f>IF(H74="正常",F76,"免征")</f>
        <v>——</v>
      </c>
      <c r="G74" s="983" t="s">
        <v>417</v>
      </c>
      <c r="H74" s="363" t="s">
        <v>413</v>
      </c>
      <c r="I74" s="42"/>
      <c r="J74" s="2037"/>
      <c r="K74" s="1978">
        <v>3</v>
      </c>
      <c r="L74" s="3388" t="s">
        <v>414</v>
      </c>
      <c r="M74" s="3388"/>
      <c r="N74" s="1296">
        <f t="shared" ca="1" si="1"/>
        <v>31705</v>
      </c>
      <c r="O74" s="1861" t="str">
        <f t="shared" si="1"/>
        <v>增值额×税（费）率</v>
      </c>
      <c r="P74" s="1299" t="str">
        <f t="shared" si="1"/>
        <v>——</v>
      </c>
      <c r="Q74" s="2030"/>
      <c r="R74" s="2030"/>
      <c r="S74" s="2030"/>
      <c r="T74" s="2030"/>
      <c r="U74" s="2030"/>
      <c r="V74" s="2030"/>
    </row>
    <row r="75" spans="1:22" ht="24">
      <c r="A75" s="359" t="s">
        <v>418</v>
      </c>
      <c r="B75" s="3395" t="s">
        <v>419</v>
      </c>
      <c r="C75" s="3396"/>
      <c r="D75" s="364">
        <v>0</v>
      </c>
      <c r="E75" s="41" t="s">
        <v>420</v>
      </c>
      <c r="F75" s="365"/>
      <c r="G75" s="361"/>
      <c r="H75" s="42"/>
      <c r="I75" s="42"/>
      <c r="J75" s="2037"/>
      <c r="K75" s="3056">
        <f>IF(H77="非个人房产","",4)</f>
        <v>4</v>
      </c>
      <c r="L75" s="3388" t="str">
        <f>IF(H77="非个人房产","——","个人所得税")</f>
        <v>个人所得税</v>
      </c>
      <c r="M75" s="3388"/>
      <c r="N75" s="1300">
        <f ca="1">D77</f>
        <v>572</v>
      </c>
      <c r="O75" s="1874" t="str">
        <f>E77</f>
        <v>销售额×税（费）率</v>
      </c>
      <c r="P75" s="1301">
        <f>F77</f>
        <v>0.01</v>
      </c>
      <c r="Q75" s="2030"/>
      <c r="R75" s="2030"/>
      <c r="S75" s="2030"/>
      <c r="T75" s="2030"/>
      <c r="U75" s="2030"/>
      <c r="V75" s="2030"/>
    </row>
    <row r="76" spans="1:22" ht="24.75">
      <c r="A76" s="359" t="s">
        <v>396</v>
      </c>
      <c r="B76" s="3395" t="s">
        <v>422</v>
      </c>
      <c r="C76" s="3437"/>
      <c r="D76" s="362">
        <f ca="1">IF(H76="转让取得",C99,C115)</f>
        <v>31705</v>
      </c>
      <c r="E76" s="17" t="s">
        <v>423</v>
      </c>
      <c r="F76" s="53" t="s">
        <v>21</v>
      </c>
      <c r="G76" s="361"/>
      <c r="H76" s="363" t="s">
        <v>424</v>
      </c>
      <c r="I76" s="42"/>
      <c r="J76" s="2037"/>
      <c r="K76" s="3056" t="str">
        <f>IF(项目基本情况!K6="上海银行",IF(K75="",4,K75+1),"")</f>
        <v/>
      </c>
      <c r="L76" s="3376" t="str">
        <f>IF(项目基本情况!K6="上海银行","其他处置费用","")</f>
        <v/>
      </c>
      <c r="M76" s="3377"/>
      <c r="N76" s="1296" t="str">
        <f>IF(项目基本情况!K6="上海银行",N89,"")</f>
        <v/>
      </c>
      <c r="O76" s="3378" t="str">
        <f>IF(项目基本情况!K6="上海银行","包含处置中涉及的律师、诉讼、拍卖、评估等费用","")</f>
        <v/>
      </c>
      <c r="P76" s="3379"/>
      <c r="Q76" s="2030"/>
      <c r="R76" s="2030"/>
      <c r="S76" s="2030"/>
      <c r="T76" s="2030"/>
      <c r="U76" s="2030"/>
      <c r="V76" s="2030"/>
    </row>
    <row r="77" spans="1:22" ht="26.25" thickBot="1">
      <c r="A77" s="3406" t="s">
        <v>426</v>
      </c>
      <c r="B77" s="3407"/>
      <c r="C77" s="3407"/>
      <c r="D77" s="366">
        <f ca="1">IF(H77="非个人房产","——",IF(H77="个人住宅",0,ROUND(D63*I77,0)))</f>
        <v>572</v>
      </c>
      <c r="E77" s="367" t="str">
        <f>IF(H77="非个人房产","——","销售额×税（费）率")</f>
        <v>销售额×税（费）率</v>
      </c>
      <c r="F77" s="368">
        <f>IF(H77="非个人房产","——",IF(H77="个人住宅","免征",I77))</f>
        <v>0.01</v>
      </c>
      <c r="G77" s="984" t="s">
        <v>417</v>
      </c>
      <c r="H77" s="363" t="s">
        <v>2886</v>
      </c>
      <c r="I77" s="369">
        <v>0.01</v>
      </c>
      <c r="J77" s="2037"/>
      <c r="K77" s="3402">
        <f>IF(AND(K75="",K76=""),4,IF(项目基本情况!K6="上海银行",K76+1,K75+1))</f>
        <v>5</v>
      </c>
      <c r="L77" s="3388" t="s">
        <v>2887</v>
      </c>
      <c r="M77" s="3062" t="s">
        <v>421</v>
      </c>
      <c r="N77" s="1302"/>
      <c r="O77" s="1303">
        <f ca="1">SUMIF(N72:N76,"&lt;9e307")</f>
        <v>35326</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402"/>
      <c r="L78" s="3388"/>
      <c r="M78" s="3062" t="s">
        <v>425</v>
      </c>
      <c r="N78" s="1302"/>
      <c r="O78" s="1303" t="str">
        <f ca="1">NUMBERSTRING(INT(O77*10000),2)&amp;"元整"</f>
        <v>叁亿伍仟叁佰贰拾陆万元整</v>
      </c>
      <c r="P78" s="1304"/>
      <c r="Q78" s="2030"/>
      <c r="R78" s="2030"/>
      <c r="S78" s="2030"/>
      <c r="T78" s="2030"/>
      <c r="U78" s="2030"/>
      <c r="V78" s="2030"/>
    </row>
    <row r="79" spans="1:22" ht="13.5" thickBot="1">
      <c r="A79" s="3392" t="s">
        <v>427</v>
      </c>
      <c r="B79" s="3392"/>
      <c r="C79" s="3392"/>
      <c r="D79" s="3392"/>
      <c r="E79" s="3392"/>
      <c r="F79" s="42"/>
      <c r="G79" s="42"/>
      <c r="H79" s="1003"/>
      <c r="I79" s="311"/>
      <c r="J79" s="2037"/>
      <c r="K79" s="3386">
        <f>K77+1</f>
        <v>6</v>
      </c>
      <c r="L79" s="3388" t="s">
        <v>2888</v>
      </c>
      <c r="M79" s="3062" t="s">
        <v>421</v>
      </c>
      <c r="N79" s="1302"/>
      <c r="O79" s="1303" t="e">
        <f ca="1">N69-O77</f>
        <v>#VALUE!</v>
      </c>
      <c r="P79" s="1304"/>
      <c r="Q79" s="2030"/>
      <c r="R79" s="2030"/>
      <c r="S79" s="2030"/>
      <c r="T79" s="2030"/>
      <c r="U79" s="2030"/>
      <c r="V79" s="2030"/>
    </row>
    <row r="80" spans="1:22" ht="12.75">
      <c r="A80" s="3393" t="s">
        <v>428</v>
      </c>
      <c r="B80" s="3394"/>
      <c r="C80" s="994"/>
      <c r="D80" s="994" t="s">
        <v>429</v>
      </c>
      <c r="E80" s="370" t="s">
        <v>430</v>
      </c>
      <c r="F80" s="42"/>
      <c r="G80" s="42"/>
      <c r="H80" s="1003"/>
      <c r="I80" s="311"/>
      <c r="J80" s="2030"/>
      <c r="K80" s="3387"/>
      <c r="L80" s="3388"/>
      <c r="M80" s="3062"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54452</v>
      </c>
      <c r="D81" s="373"/>
      <c r="E81" s="374"/>
      <c r="F81" s="42"/>
      <c r="G81" s="42"/>
      <c r="H81" s="1003"/>
      <c r="I81" s="311"/>
      <c r="J81" s="2030"/>
      <c r="K81" s="3056">
        <f>K79+1</f>
        <v>7</v>
      </c>
      <c r="L81" s="3400" t="s">
        <v>2889</v>
      </c>
      <c r="M81" s="3401"/>
      <c r="N81" s="1306"/>
      <c r="O81" s="1307" t="e">
        <f ca="1">ROUND(O79*10000/'数据-汇总表'!E3,0)</f>
        <v>#VALUE!</v>
      </c>
      <c r="P81" s="1308"/>
      <c r="Q81" s="2030"/>
      <c r="R81" s="2030"/>
      <c r="S81" s="2030"/>
      <c r="T81" s="2030"/>
      <c r="U81" s="2030"/>
      <c r="V81" s="2030"/>
    </row>
    <row r="82" spans="1:26" ht="13.5" thickTop="1">
      <c r="A82" s="375" t="s">
        <v>1825</v>
      </c>
      <c r="B82" s="376" t="s">
        <v>432</v>
      </c>
      <c r="C82" s="377">
        <f ca="1">D63</f>
        <v>57175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75" t="s">
        <v>2876</v>
      </c>
      <c r="L83" s="3068" t="s">
        <v>2877</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1827</v>
      </c>
      <c r="B84" s="382" t="s">
        <v>434</v>
      </c>
      <c r="C84" s="383">
        <v>2000</v>
      </c>
      <c r="D84" s="384" t="s">
        <v>19</v>
      </c>
      <c r="E84" s="3103" t="s">
        <v>2944</v>
      </c>
      <c r="F84" s="42"/>
      <c r="G84" s="42"/>
      <c r="H84" s="1003"/>
      <c r="I84" s="311"/>
      <c r="J84" s="2030"/>
      <c r="K84" s="3375"/>
      <c r="L84" s="3068" t="s">
        <v>2878</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2879</v>
      </c>
      <c r="P84" s="2030"/>
      <c r="Q84" s="2030"/>
      <c r="R84" s="2030"/>
      <c r="S84" s="2030"/>
      <c r="T84" s="2030"/>
      <c r="U84" s="2030"/>
      <c r="V84" s="2030"/>
    </row>
    <row r="85" spans="1:26" ht="12.75">
      <c r="A85" s="381" t="s">
        <v>1828</v>
      </c>
      <c r="B85" s="382" t="s">
        <v>435</v>
      </c>
      <c r="C85" s="385">
        <f ca="1">C81-C84</f>
        <v>52452</v>
      </c>
      <c r="D85" s="378" t="s">
        <v>19</v>
      </c>
      <c r="E85" s="379"/>
      <c r="F85" s="42"/>
      <c r="G85" s="42"/>
      <c r="H85" s="1003"/>
      <c r="I85" s="311"/>
      <c r="J85" s="2030"/>
      <c r="K85" s="3375"/>
      <c r="L85" s="3068" t="s">
        <v>2880</v>
      </c>
      <c r="M85" s="3058" t="e">
        <f>IF(N69&gt;1000,N69*0.1%,IF(AND(N69&gt;500,N69&lt;=1000),N69*0.5%,IF(AND(N69&gt;50,N69&lt;=500),N69*1%,IF(AND(N69&gt;1,N69&lt;=50),N69*1.5%))))</f>
        <v>#VALUE!</v>
      </c>
      <c r="N85" s="53" t="e">
        <f t="shared" si="2"/>
        <v>#VALUE!</v>
      </c>
      <c r="O85" s="2030" t="s">
        <v>2879</v>
      </c>
      <c r="P85" s="2030"/>
      <c r="Q85" s="2030"/>
      <c r="R85" s="2030"/>
      <c r="S85" s="2030"/>
      <c r="T85" s="2030"/>
      <c r="U85" s="2030"/>
      <c r="V85" s="2030"/>
    </row>
    <row r="86" spans="1:26" ht="13.5" thickBot="1">
      <c r="A86" s="386" t="s">
        <v>1829</v>
      </c>
      <c r="B86" s="387" t="s">
        <v>436</v>
      </c>
      <c r="C86" s="388">
        <f ca="1">IF(C85&lt;=0,0,ROUND(C85*D86,0))</f>
        <v>2937</v>
      </c>
      <c r="D86" s="389">
        <f>'数据-取费表'!B41</f>
        <v>5.6000000000000001E-2</v>
      </c>
      <c r="E86" s="390"/>
      <c r="F86" s="42"/>
      <c r="G86" s="42"/>
      <c r="H86" s="1003"/>
      <c r="I86" s="311"/>
      <c r="J86" s="2030"/>
      <c r="K86" s="3375"/>
      <c r="L86" s="3068" t="s">
        <v>2881</v>
      </c>
      <c r="M86" s="3058" t="e">
        <f>N69*0.5%</f>
        <v>#VALUE!</v>
      </c>
      <c r="N86" s="53" t="e">
        <f>IF(M86&gt;0.5,0.5,ROUND(M86,0))</f>
        <v>#VALUE!</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75"/>
      <c r="L87" s="3068" t="s">
        <v>2883</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429" t="s">
        <v>437</v>
      </c>
      <c r="B88" s="3430"/>
      <c r="C88" s="3430"/>
      <c r="D88" s="3430"/>
      <c r="E88" s="3430"/>
      <c r="F88" s="3430"/>
      <c r="G88" s="3430"/>
      <c r="H88" s="3430"/>
      <c r="I88" s="1315"/>
      <c r="J88" s="2038"/>
      <c r="K88" s="3375"/>
      <c r="L88" s="3068" t="s">
        <v>2884</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393" t="s">
        <v>428</v>
      </c>
      <c r="B89" s="3394"/>
      <c r="C89" s="994"/>
      <c r="D89" s="994" t="s">
        <v>429</v>
      </c>
      <c r="E89" s="391" t="s">
        <v>438</v>
      </c>
      <c r="F89" s="392"/>
      <c r="G89" s="392"/>
      <c r="H89" s="393"/>
      <c r="I89" s="1316"/>
      <c r="J89" s="2040"/>
      <c r="K89" s="3375"/>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54452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2888</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426" t="s">
        <v>447</v>
      </c>
      <c r="F94" s="3427"/>
      <c r="G94" s="3427"/>
      <c r="H94" s="3428"/>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327</v>
      </c>
      <c r="D96" s="406">
        <f>'数据-取费表'!B43</f>
        <v>6.000000000000001E-3</v>
      </c>
      <c r="E96" s="3416" t="s">
        <v>2431</v>
      </c>
      <c r="F96" s="3417"/>
      <c r="G96" s="3417"/>
      <c r="H96" s="341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51564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17.854570637119114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29928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429" t="s">
        <v>454</v>
      </c>
      <c r="B101" s="3430"/>
      <c r="C101" s="3430"/>
      <c r="D101" s="3430"/>
      <c r="E101" s="3430"/>
      <c r="F101" s="3430"/>
      <c r="G101" s="3430"/>
      <c r="H101" s="3430"/>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93" t="s">
        <v>428</v>
      </c>
      <c r="B102" s="3394"/>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54452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1017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419" t="s">
        <v>462</v>
      </c>
      <c r="F109" s="3417"/>
      <c r="G109" s="3417"/>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419" t="s">
        <v>464</v>
      </c>
      <c r="F110" s="3417"/>
      <c r="G110" s="3417"/>
      <c r="H110" s="341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327</v>
      </c>
      <c r="D111" s="406">
        <f>'数据-取费表'!B43</f>
        <v>6.000000000000001E-3</v>
      </c>
      <c r="E111" s="3416" t="s">
        <v>2431</v>
      </c>
      <c r="F111" s="3417"/>
      <c r="G111" s="3417"/>
      <c r="H111" s="341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419" t="s">
        <v>2456</v>
      </c>
      <c r="F112" s="3417"/>
      <c r="G112" s="3417"/>
      <c r="H112" s="341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53435</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52.541789577187807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31705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11</v>
      </c>
    </row>
    <row r="2" spans="1:31" s="2043" customFormat="1" ht="18" customHeight="1">
      <c r="A2" s="2103" t="s">
        <v>467</v>
      </c>
      <c r="B2" s="2107">
        <f ca="1">C36</f>
        <v>-3062</v>
      </c>
      <c r="C2" s="2106"/>
      <c r="D2" s="2106"/>
      <c r="E2" s="2106"/>
      <c r="F2" s="2106"/>
      <c r="G2" s="2106"/>
      <c r="H2" s="2106"/>
      <c r="I2" s="2106"/>
      <c r="J2" s="2106"/>
      <c r="K2" s="2106"/>
    </row>
    <row r="3" spans="1:31" s="2043" customFormat="1" ht="18" customHeight="1">
      <c r="A3" s="2108" t="s">
        <v>1685</v>
      </c>
      <c r="B3" s="2109">
        <f ca="1">ROUND(B2*10000/IF(B1="",'数据-汇总表'!E3,INDIRECT("'数据-取费表'!K"&amp;$K$1)),0)</f>
        <v>-535</v>
      </c>
      <c r="C3" s="2106"/>
      <c r="D3" s="2106"/>
      <c r="E3" s="2106"/>
      <c r="F3" s="2106"/>
      <c r="G3" s="2106"/>
      <c r="H3" s="2106"/>
      <c r="I3" s="2106"/>
      <c r="J3" s="2106"/>
      <c r="K3" s="2106"/>
    </row>
    <row r="4" spans="1:31" s="2043" customFormat="1" ht="18" customHeight="1">
      <c r="A4" s="426" t="s">
        <v>468</v>
      </c>
      <c r="B4" s="427">
        <f ca="1">ROUND(B2*10000/IF(B1="",'数据-汇总表'!D3,INDIRECT("'数据-取费表'!R"&amp;$K$1)),0)</f>
        <v>-235</v>
      </c>
      <c r="C4" s="428"/>
      <c r="D4" s="422"/>
      <c r="E4" s="422"/>
      <c r="F4" s="422"/>
      <c r="G4" s="422"/>
      <c r="H4" s="422"/>
      <c r="I4" s="422"/>
      <c r="J4" s="422"/>
      <c r="K4" s="422"/>
    </row>
    <row r="5" spans="1:31" s="2043" customFormat="1" ht="18" customHeight="1" thickBot="1">
      <c r="A5" s="429"/>
      <c r="B5" s="430">
        <f ca="1">ROUND(B2/(IF(B1="",'数据-汇总表'!D3,INDIRECT("'数据-取费表'!R"&amp;$K$1))/666.67),0)</f>
        <v>-16</v>
      </c>
      <c r="C5" s="431" t="s">
        <v>469</v>
      </c>
      <c r="D5" s="422"/>
      <c r="E5" s="422"/>
      <c r="F5" s="422"/>
      <c r="G5" s="422"/>
      <c r="H5" s="422"/>
      <c r="I5" s="422"/>
      <c r="J5" s="422"/>
      <c r="K5" s="422"/>
    </row>
    <row r="6" spans="1:31" s="2113" customFormat="1" ht="16.5" customHeight="1">
      <c r="A6" s="2830" t="s">
        <v>1843</v>
      </c>
      <c r="B6" s="2831"/>
      <c r="C6" s="2832">
        <f>SUM(C10:K10)</f>
        <v>0</v>
      </c>
      <c r="D6" s="2831"/>
      <c r="E6" s="2831"/>
      <c r="F6" s="2831"/>
      <c r="G6" s="2831"/>
      <c r="H6" s="2831"/>
      <c r="I6" s="2831"/>
      <c r="J6" s="2831"/>
      <c r="K6" s="2833"/>
    </row>
    <row r="7" spans="1:31" s="2115" customFormat="1" ht="15">
      <c r="A7" s="2834" t="s">
        <v>470</v>
      </c>
      <c r="B7" s="28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0</v>
      </c>
      <c r="D13" s="2846"/>
      <c r="E13" s="2847"/>
      <c r="F13" s="2848"/>
      <c r="G13" s="2814"/>
      <c r="H13" s="2815"/>
      <c r="I13" s="2815"/>
      <c r="J13" s="2815"/>
      <c r="K13" s="2816"/>
    </row>
    <row r="14" spans="1:31" s="2118" customFormat="1" ht="13.5" customHeight="1">
      <c r="A14" s="2844" t="s">
        <v>1850</v>
      </c>
      <c r="B14" s="2845" t="s">
        <v>480</v>
      </c>
      <c r="C14" s="53">
        <f ca="1">ROUND(C13*F14,0)</f>
        <v>0</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0</v>
      </c>
      <c r="D15" s="2846"/>
      <c r="E15" s="2847"/>
      <c r="F15" s="2849">
        <f>'数据-取费表'!B34</f>
        <v>0</v>
      </c>
      <c r="G15" s="2814" t="s">
        <v>483</v>
      </c>
      <c r="H15" s="2815"/>
      <c r="I15" s="2815"/>
      <c r="J15" s="2815"/>
      <c r="K15" s="2816"/>
    </row>
    <row r="16" spans="1:31" s="2119" customFormat="1" ht="13.5" customHeight="1">
      <c r="A16" s="2844" t="s">
        <v>1852</v>
      </c>
      <c r="B16" s="2845" t="s">
        <v>484</v>
      </c>
      <c r="C16" s="53">
        <f ca="1">ROUND(D16*E16/10000,0)</f>
        <v>1144</v>
      </c>
      <c r="D16" s="2846">
        <f ca="1">IF(B1="",'数据-汇总表'!E3,INDIRECT("'数据-取费表'!K"&amp;$K$1)+INDIRECT("'数据-取费表'!S"&amp;$K$1))</f>
        <v>57196.500000000007</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0</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1144</v>
      </c>
      <c r="D18" s="2855"/>
      <c r="E18" s="468"/>
      <c r="F18" s="468"/>
      <c r="G18" s="2818" t="s">
        <v>2433</v>
      </c>
      <c r="H18" s="2819"/>
      <c r="I18" s="2819"/>
      <c r="J18" s="2819"/>
      <c r="K18" s="2820"/>
    </row>
    <row r="19" spans="1:14" s="2118" customFormat="1" ht="13.5" customHeight="1">
      <c r="A19" s="2852" t="s">
        <v>1855</v>
      </c>
      <c r="B19" s="2853" t="s">
        <v>488</v>
      </c>
      <c r="C19" s="2810">
        <f ca="1">ROUND(D19*E19/10000,0)</f>
        <v>801</v>
      </c>
      <c r="D19" s="2856">
        <f ca="1">D16</f>
        <v>57196.500000000007</v>
      </c>
      <c r="E19" s="2810">
        <f>'数据-取费表'!B32</f>
        <v>140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1144</v>
      </c>
      <c r="D20" s="2856"/>
      <c r="E20" s="2810"/>
      <c r="F20" s="2857"/>
      <c r="G20" s="3091"/>
      <c r="H20" s="2812"/>
      <c r="I20" s="2813" t="s">
        <v>2654</v>
      </c>
      <c r="J20" s="2819"/>
      <c r="K20" s="2820"/>
    </row>
    <row r="21" spans="1:14" s="2118" customFormat="1" ht="13.5" customHeight="1">
      <c r="A21" s="2844" t="s">
        <v>1857</v>
      </c>
      <c r="B21" s="2845" t="s">
        <v>491</v>
      </c>
      <c r="C21" s="53">
        <f ca="1">ROUND(D21*E21/10000,0)</f>
        <v>0</v>
      </c>
      <c r="D21" s="2846">
        <f ca="1">IF(B1="",'数据-汇总表'!E5,IF(INDIRECT("'数据-取费表'!c"&amp;$K$1)="住宅",INDIRECT("'数据-取费表'!k"&amp;$K$1),0))</f>
        <v>0</v>
      </c>
      <c r="E21" s="53">
        <f>'数据-取费表'!B27</f>
        <v>160</v>
      </c>
      <c r="F21" s="2849"/>
      <c r="G21" s="26"/>
      <c r="H21" s="51"/>
      <c r="I21" s="51"/>
      <c r="J21" s="51"/>
      <c r="K21" s="2821"/>
    </row>
    <row r="22" spans="1:14" s="2118" customFormat="1" ht="13.5" customHeight="1">
      <c r="A22" s="2844" t="s">
        <v>1858</v>
      </c>
      <c r="B22" s="2845" t="s">
        <v>492</v>
      </c>
      <c r="C22" s="53">
        <f ca="1">ROUND(D22*E22/10000,0)</f>
        <v>1144</v>
      </c>
      <c r="D22" s="2846">
        <f ca="1">IF(B1="",'数据-汇总表'!E6,IF(INDIRECT("'数据-取费表'!c"&amp;$K$1)="住宅",INDIRECT("'数据-取费表'!s"&amp;$K$1),INDIRECT("'数据-取费表'!k"&amp;$K$1)+INDIRECT("'数据-取费表'!s"&amp;$K$1)))</f>
        <v>57196.500000000007</v>
      </c>
      <c r="E22" s="53">
        <f>'数据-取费表'!B28</f>
        <v>200</v>
      </c>
      <c r="F22" s="2849"/>
      <c r="G22" s="26"/>
      <c r="H22" s="51"/>
      <c r="I22" s="51"/>
      <c r="J22" s="51"/>
      <c r="K22" s="2821"/>
    </row>
    <row r="23" spans="1:14" s="2118" customFormat="1" ht="13.5" customHeight="1">
      <c r="A23" s="2852" t="s">
        <v>1859</v>
      </c>
      <c r="B23" s="3037" t="s">
        <v>2836</v>
      </c>
      <c r="C23" s="2854">
        <f ca="1">ROUND((C18+C19+C20)*F23,0)</f>
        <v>62</v>
      </c>
      <c r="D23" s="468"/>
      <c r="E23" s="468"/>
      <c r="F23" s="2858">
        <f>'数据-取费表'!B37</f>
        <v>0.02</v>
      </c>
      <c r="G23" s="2814" t="s">
        <v>2434</v>
      </c>
      <c r="H23" s="2815"/>
      <c r="I23" s="2815"/>
      <c r="J23" s="2815"/>
      <c r="K23" s="2816"/>
      <c r="L23" s="2120"/>
      <c r="M23" s="2120"/>
      <c r="N23" s="2120"/>
    </row>
    <row r="24" spans="1:14" s="2118" customFormat="1" ht="13.5" customHeight="1">
      <c r="A24" s="2852" t="s">
        <v>1860</v>
      </c>
      <c r="B24" s="3037" t="s">
        <v>2839</v>
      </c>
      <c r="C24" s="2854">
        <f>ROUND(C6*F24,0)</f>
        <v>0</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7" t="s">
        <v>2837</v>
      </c>
      <c r="C25" s="467">
        <f>ROUND(F25/(1+'数据-取费表'!C42),4)</f>
        <v>2.9000000000000001E-2</v>
      </c>
      <c r="D25" s="462" t="s">
        <v>2831</v>
      </c>
      <c r="E25" s="469"/>
      <c r="F25" s="2858">
        <f>'数据-取费表'!B48+'数据-取费表'!B49</f>
        <v>3.0499999999999999E-2</v>
      </c>
      <c r="G25" s="2822" t="s">
        <v>2292</v>
      </c>
      <c r="H25" s="2815"/>
      <c r="I25" s="2815"/>
      <c r="J25" s="2815"/>
      <c r="K25" s="2816"/>
    </row>
    <row r="26" spans="1:14" s="2120" customFormat="1" ht="13.5" customHeight="1">
      <c r="A26" s="2852" t="s">
        <v>1862</v>
      </c>
      <c r="B26" s="3038" t="s">
        <v>2838</v>
      </c>
      <c r="C26" s="2859">
        <f ca="1">C28</f>
        <v>0</v>
      </c>
      <c r="D26" s="467">
        <f ca="1">C27</f>
        <v>0</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2840</v>
      </c>
      <c r="C28" s="2862">
        <f ca="1">ROUND(IF('数据-取费表'!B22&lt;=1,(C18+C19+C20+C23+C24)*F26*'数据-取费表'!B24/2,(C18+C19+C20+C23+C24)*(POWER((1+F26),'数据-取费表'!B24/2)-1)),0)</f>
        <v>0</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0</v>
      </c>
      <c r="D29" s="468"/>
      <c r="E29" s="468"/>
      <c r="F29" s="3039">
        <f>'数据-取费表'!B41</f>
        <v>5.6000000000000001E-2</v>
      </c>
      <c r="G29" s="2823" t="s">
        <v>498</v>
      </c>
      <c r="H29" s="2815"/>
      <c r="I29" s="2815"/>
      <c r="J29" s="2815"/>
      <c r="K29" s="2816"/>
    </row>
    <row r="30" spans="1:14" s="2123" customFormat="1" ht="13.5" customHeight="1">
      <c r="A30" s="1636" t="s">
        <v>1864</v>
      </c>
      <c r="B30" s="2864" t="s">
        <v>500</v>
      </c>
      <c r="C30" s="2859">
        <f ca="1">C31</f>
        <v>3151</v>
      </c>
      <c r="D30" s="477">
        <f ca="1">C32</f>
        <v>2.9000000000000001E-2</v>
      </c>
      <c r="E30" s="469" t="s">
        <v>495</v>
      </c>
      <c r="F30" s="471"/>
      <c r="G30" s="2822" t="s">
        <v>2976</v>
      </c>
      <c r="H30" s="2815"/>
      <c r="I30" s="2815"/>
      <c r="J30" s="2815"/>
      <c r="K30" s="2816"/>
    </row>
    <row r="31" spans="1:14" s="2122" customFormat="1" ht="13.5" customHeight="1">
      <c r="A31" s="803" t="s">
        <v>1857</v>
      </c>
      <c r="B31" s="2860"/>
      <c r="C31" s="450">
        <f ca="1">C18+C19+C20+C23+C24+C26+C29</f>
        <v>3151</v>
      </c>
      <c r="D31" s="472"/>
      <c r="E31" s="473"/>
      <c r="F31" s="474"/>
      <c r="G31" s="261"/>
      <c r="H31" s="2817"/>
      <c r="I31" s="2817"/>
      <c r="J31" s="2817"/>
      <c r="K31" s="279"/>
    </row>
    <row r="32" spans="1:14" s="2122" customFormat="1" ht="13.5" customHeight="1">
      <c r="A32" s="803" t="s">
        <v>1858</v>
      </c>
      <c r="B32" s="2860"/>
      <c r="C32" s="53">
        <f ca="1">ROUND(C25+D26,4)</f>
        <v>2.9000000000000001E-2</v>
      </c>
      <c r="D32" s="472"/>
      <c r="E32" s="473"/>
      <c r="F32" s="474"/>
      <c r="G32" s="261"/>
      <c r="H32" s="2817"/>
      <c r="I32" s="2817"/>
      <c r="J32" s="2817"/>
      <c r="K32" s="279"/>
    </row>
    <row r="33" spans="1:11" s="2124" customFormat="1" ht="13.5" customHeight="1">
      <c r="A33" s="3036" t="s">
        <v>2835</v>
      </c>
      <c r="B33" s="3034" t="s">
        <v>2833</v>
      </c>
      <c r="C33" s="478">
        <f ca="1">C35</f>
        <v>441</v>
      </c>
      <c r="D33" s="467">
        <f ca="1">C34</f>
        <v>0.14410000000000001</v>
      </c>
      <c r="E33" s="469" t="s">
        <v>495</v>
      </c>
      <c r="F33" s="479">
        <f ca="1">IF(B1="",'数据-取费表'!Q16,INDIRECT("'数据-取费表'!q"&amp;$K$1))</f>
        <v>0.14000000000000001</v>
      </c>
      <c r="G33" s="2818"/>
      <c r="H33" s="2819"/>
      <c r="I33" s="2819"/>
      <c r="J33" s="2819"/>
      <c r="K33" s="2820"/>
    </row>
    <row r="34" spans="1:11" s="2125" customFormat="1" ht="13.5" customHeight="1">
      <c r="A34" s="375" t="s">
        <v>1857</v>
      </c>
      <c r="B34" s="2865" t="s">
        <v>501</v>
      </c>
      <c r="C34" s="472">
        <f ca="1">ROUND((1+C25)*F33,4)</f>
        <v>0.14410000000000001</v>
      </c>
      <c r="D34" s="472"/>
      <c r="E34" s="473"/>
      <c r="F34" s="480"/>
      <c r="G34" s="261" t="s">
        <v>2293</v>
      </c>
      <c r="H34" s="2817"/>
      <c r="I34" s="2817"/>
      <c r="J34" s="2817"/>
      <c r="K34" s="279"/>
    </row>
    <row r="35" spans="1:11" s="2125" customFormat="1" ht="13.5" customHeight="1" thickBot="1">
      <c r="A35" s="1637" t="s">
        <v>1858</v>
      </c>
      <c r="B35" s="3035" t="s">
        <v>2841</v>
      </c>
      <c r="C35" s="1629">
        <f ca="1">ROUND((C18+C19+C20+C23+C24)*F33,0)</f>
        <v>441</v>
      </c>
      <c r="D35" s="1630"/>
      <c r="E35" s="2866"/>
      <c r="F35" s="1631"/>
      <c r="G35" s="2824"/>
      <c r="H35" s="2825"/>
      <c r="I35" s="2825"/>
      <c r="J35" s="2825"/>
      <c r="K35" s="2826"/>
    </row>
    <row r="36" spans="1:11" s="2087" customFormat="1" ht="13.5" customHeight="1" thickBot="1">
      <c r="A36" s="284" t="s">
        <v>1845</v>
      </c>
      <c r="B36" s="2828"/>
      <c r="C36" s="2867">
        <f ca="1">ROUND((C6-C30-C33)/(1+D30+D33),0)</f>
        <v>-3062</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11</v>
      </c>
    </row>
    <row r="2" spans="1:41" s="2043" customFormat="1" ht="18" customHeight="1">
      <c r="A2" s="423" t="s">
        <v>467</v>
      </c>
      <c r="B2" s="424" t="e">
        <f ca="1">C32</f>
        <v>#DIV/0!</v>
      </c>
      <c r="C2" s="2106"/>
      <c r="D2" s="2106"/>
      <c r="E2" s="2106"/>
      <c r="F2" s="2106"/>
      <c r="G2" s="2106"/>
      <c r="H2" s="2106"/>
      <c r="I2" s="2106"/>
      <c r="J2" s="2106"/>
      <c r="K2" s="2106"/>
    </row>
    <row r="3" spans="1:41" s="2043" customFormat="1" ht="18" customHeight="1">
      <c r="A3" s="1380" t="s">
        <v>1685</v>
      </c>
      <c r="B3" s="425" t="e">
        <f ca="1">ROUND(B2*10000/IF(B1="",'数据-汇总表'!E3,INDIRECT("'数据-取费表'!K"&amp;$K$1)),0)</f>
        <v>#DIV/0!</v>
      </c>
      <c r="C3" s="2106"/>
      <c r="D3" s="2106"/>
      <c r="E3" s="2106"/>
      <c r="F3" s="2106"/>
      <c r="G3" s="2106"/>
      <c r="H3" s="2106"/>
      <c r="I3" s="2106"/>
      <c r="J3" s="2106"/>
      <c r="K3" s="2106"/>
    </row>
    <row r="4" spans="1:41" s="2043" customFormat="1" ht="18" customHeight="1">
      <c r="A4" s="426" t="s">
        <v>468</v>
      </c>
      <c r="B4" s="427" t="e">
        <f ca="1">ROUND(B2*10000/IF(B1="",'数据-汇总表'!D3,INDIRECT("'数据-取费表'!R"&amp;$K$1)),0)</f>
        <v>#DIV/0!</v>
      </c>
      <c r="C4" s="2063"/>
      <c r="D4" s="2106"/>
      <c r="E4" s="2106"/>
      <c r="F4" s="2106"/>
      <c r="G4" s="2106"/>
      <c r="H4" s="2106"/>
      <c r="I4" s="2106"/>
      <c r="J4" s="2106"/>
      <c r="K4" s="2106"/>
    </row>
    <row r="5" spans="1:41" s="2043" customFormat="1" ht="18" customHeight="1" thickBot="1">
      <c r="A5" s="429"/>
      <c r="B5" s="430" t="e">
        <f ca="1">ROUND(B2/(IF(B1="",'数据-汇总表'!D3,INDIRECT("'数据-取费表'!R"&amp;$K$1))/666.67),0)</f>
        <v>#DIV/0!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0</v>
      </c>
      <c r="D13" s="451"/>
      <c r="E13" s="365"/>
      <c r="F13" s="452"/>
      <c r="G13" s="444"/>
      <c r="H13" s="447"/>
      <c r="I13" s="447"/>
      <c r="J13" s="447"/>
      <c r="K13" s="448"/>
    </row>
    <row r="14" spans="1:41" s="2118" customFormat="1" ht="13.5" customHeight="1">
      <c r="A14" s="1634" t="s">
        <v>1850</v>
      </c>
      <c r="B14" s="449" t="s">
        <v>480</v>
      </c>
      <c r="C14" s="53">
        <f ca="1">ROUND(C13*F14,0)</f>
        <v>0</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1144</v>
      </c>
      <c r="D16" s="451">
        <f ca="1">IF(B1="",'数据-汇总表'!E3,INDIRECT("'数据-取费表'!K"&amp;$K$1)+INDIRECT("'数据-取费表'!S"&amp;$K$1))</f>
        <v>57196.500000000007</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0</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1144</v>
      </c>
      <c r="D18" s="461"/>
      <c r="E18" s="462"/>
      <c r="F18" s="462"/>
      <c r="G18" s="1327" t="s">
        <v>2435</v>
      </c>
      <c r="H18" s="447"/>
      <c r="I18" s="447"/>
      <c r="J18" s="447"/>
      <c r="K18" s="448"/>
    </row>
    <row r="19" spans="1:14" s="2121" customFormat="1" ht="13.5" customHeight="1">
      <c r="A19" s="1635" t="s">
        <v>1855</v>
      </c>
      <c r="B19" s="459" t="s">
        <v>493</v>
      </c>
      <c r="C19" s="460">
        <f ca="1">ROUND(C18*F19,0)</f>
        <v>23</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2">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27</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27</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5.0000000000000001E-4</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4" t="s">
        <v>2834</v>
      </c>
      <c r="C24" s="478">
        <f ca="1">C25</f>
        <v>163</v>
      </c>
      <c r="D24" s="489">
        <f ca="1">C26</f>
        <v>2.8E-3</v>
      </c>
      <c r="E24" s="469" t="s">
        <v>507</v>
      </c>
      <c r="F24" s="479">
        <f ca="1">IF(B1="",'数据-取费表'!Q16,INDIRECT("'数据-取费表'!q"&amp;$K$1))</f>
        <v>0.14000000000000001</v>
      </c>
      <c r="G24" s="444"/>
      <c r="H24" s="447"/>
      <c r="I24" s="447"/>
      <c r="J24" s="447"/>
      <c r="K24" s="448"/>
    </row>
    <row r="25" spans="1:14" s="2122" customFormat="1" ht="13.5" customHeight="1">
      <c r="A25" s="1634" t="s">
        <v>1849</v>
      </c>
      <c r="B25" s="1328" t="s">
        <v>2439</v>
      </c>
      <c r="C25" s="490">
        <f ca="1">ROUND((C18+C19)*F24,0)</f>
        <v>163</v>
      </c>
      <c r="D25" s="472"/>
      <c r="E25" s="473"/>
      <c r="F25" s="480"/>
      <c r="G25" s="1326" t="s">
        <v>2436</v>
      </c>
      <c r="H25" s="457"/>
      <c r="I25" s="457"/>
      <c r="J25" s="457"/>
      <c r="K25" s="458"/>
    </row>
    <row r="26" spans="1:14" s="2122" customFormat="1" ht="13.5" customHeight="1">
      <c r="A26" s="1634" t="s">
        <v>1850</v>
      </c>
      <c r="B26" s="1328" t="s">
        <v>509</v>
      </c>
      <c r="C26" s="491">
        <f ca="1">ROUND(F20*F24,4)</f>
        <v>2.8E-3</v>
      </c>
      <c r="D26" s="472"/>
      <c r="E26" s="481"/>
      <c r="F26" s="480"/>
      <c r="G26" s="1326" t="s">
        <v>510</v>
      </c>
      <c r="H26" s="457"/>
      <c r="I26" s="457"/>
      <c r="J26" s="457"/>
      <c r="K26" s="458"/>
    </row>
    <row r="27" spans="1:14" s="2122" customFormat="1" ht="13.5" customHeight="1">
      <c r="A27" s="1638" t="s">
        <v>1868</v>
      </c>
      <c r="B27" s="459" t="s">
        <v>511</v>
      </c>
      <c r="C27" s="3033">
        <f>ROUND(F27/(1+'数据-取费表'!C42),4)</f>
        <v>5.33E-2</v>
      </c>
      <c r="D27" s="462" t="s">
        <v>2832</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1470</v>
      </c>
      <c r="D28" s="477"/>
      <c r="E28" s="469"/>
      <c r="F28" s="471"/>
      <c r="G28" s="1327" t="s">
        <v>2437</v>
      </c>
      <c r="H28" s="447"/>
      <c r="I28" s="447"/>
      <c r="J28" s="447"/>
      <c r="K28" s="448"/>
    </row>
    <row r="29" spans="1:14" s="2123" customFormat="1" ht="13.5" customHeight="1">
      <c r="A29" s="1638" t="s">
        <v>1870</v>
      </c>
      <c r="B29" s="476" t="s">
        <v>513</v>
      </c>
      <c r="C29" s="492" t="e">
        <f ca="1">IF(B1="",'数据-取费表'!N16,INDIRECT("'数据-取费表'!N"&amp;$K$1))</f>
        <v>#DIV/0!</v>
      </c>
      <c r="D29" s="493"/>
      <c r="E29" s="494"/>
      <c r="F29" s="495"/>
      <c r="G29" s="444"/>
      <c r="H29" s="447"/>
      <c r="I29" s="447"/>
      <c r="J29" s="447"/>
      <c r="K29" s="448"/>
    </row>
    <row r="30" spans="1:14" s="2123" customFormat="1" ht="13.5" customHeight="1">
      <c r="A30" s="443">
        <v>2</v>
      </c>
      <c r="B30" s="476" t="s">
        <v>514</v>
      </c>
      <c r="C30" s="497" t="e">
        <f ca="1">ROUND(C28*C29,0)</f>
        <v>#DIV/0!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t="e">
        <f ca="1">IF('数据-取费表'!B20&lt;=1,(C6-C30-C31)/(1+F21*'数据-取费表'!B20+F24)/(1+'数据-取费表'!B48+'数据-取费表'!B49),(C6-C30-C31)/(1+(POWER((1+F21),'数据-取费表'!B20)-1)+F24)/(1+'数据-取费表'!B48+'数据-取费表'!B49))</f>
        <v>#DIV/0!</v>
      </c>
      <c r="D32" s="483"/>
      <c r="E32" s="483"/>
      <c r="F32" s="483"/>
      <c r="G32" s="2485" t="s">
        <v>2977</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87" t="str">
        <f>项目基本情况!B1</f>
        <v>北京市海淀区清河安宁庄东路1号出让国有建设用地使用权市场价格预评估</v>
      </c>
      <c r="C37" s="3287"/>
      <c r="D37" s="3287"/>
      <c r="E37" s="3287"/>
      <c r="F37" s="3287"/>
      <c r="G37" s="3287"/>
      <c r="H37" s="3287"/>
      <c r="I37" s="3287"/>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74" t="s">
        <v>522</v>
      </c>
      <c r="D6" s="3475"/>
      <c r="E6" s="3474" t="s">
        <v>523</v>
      </c>
      <c r="F6" s="3475"/>
      <c r="G6" s="3474" t="s">
        <v>524</v>
      </c>
      <c r="H6" s="3475"/>
      <c r="I6" s="3474" t="s">
        <v>525</v>
      </c>
      <c r="J6" s="3475"/>
      <c r="K6" s="514" t="s">
        <v>526</v>
      </c>
      <c r="L6" s="2135"/>
      <c r="M6" s="2134"/>
      <c r="N6" s="2134"/>
      <c r="O6" s="2136"/>
      <c r="P6" s="3476" t="s">
        <v>527</v>
      </c>
      <c r="Q6" s="3477"/>
      <c r="R6" s="3462" t="s">
        <v>523</v>
      </c>
      <c r="S6" s="3463"/>
      <c r="T6" s="3462" t="s">
        <v>524</v>
      </c>
      <c r="U6" s="3463"/>
      <c r="V6" s="3482" t="s">
        <v>525</v>
      </c>
      <c r="W6" s="3482"/>
      <c r="X6" s="1568"/>
      <c r="Y6" s="3462" t="s">
        <v>527</v>
      </c>
      <c r="Z6" s="3463"/>
      <c r="AA6" s="3457" t="s">
        <v>523</v>
      </c>
      <c r="AB6" s="3458" t="s">
        <v>524</v>
      </c>
      <c r="AC6" s="3457" t="s">
        <v>525</v>
      </c>
    </row>
    <row r="7" spans="1:30" ht="20.25">
      <c r="A7" s="515"/>
      <c r="B7" s="516"/>
      <c r="C7" s="3485" t="s">
        <v>2933</v>
      </c>
      <c r="D7" s="3486"/>
      <c r="E7" s="3485" t="s">
        <v>2934</v>
      </c>
      <c r="F7" s="3486"/>
      <c r="G7" s="3485" t="s">
        <v>2935</v>
      </c>
      <c r="H7" s="3486"/>
      <c r="I7" s="3485" t="s">
        <v>2936</v>
      </c>
      <c r="J7" s="3486"/>
      <c r="K7" s="514"/>
      <c r="L7" s="2135"/>
      <c r="M7" s="2134"/>
      <c r="N7" s="2134"/>
      <c r="O7" s="2136"/>
      <c r="P7" s="3478"/>
      <c r="Q7" s="3479"/>
      <c r="R7" s="3464"/>
      <c r="S7" s="3465"/>
      <c r="T7" s="3464"/>
      <c r="U7" s="3465"/>
      <c r="V7" s="3482"/>
      <c r="W7" s="3482"/>
      <c r="X7" s="1568"/>
      <c r="Y7" s="3464"/>
      <c r="Z7" s="3465"/>
      <c r="AA7" s="3458"/>
      <c r="AB7" s="3458"/>
      <c r="AC7" s="3458"/>
    </row>
    <row r="8" spans="1:30" ht="21" thickBot="1">
      <c r="A8" s="515"/>
      <c r="B8" s="516"/>
      <c r="C8" s="3487" t="s">
        <v>2937</v>
      </c>
      <c r="D8" s="3488"/>
      <c r="E8" s="3487" t="s">
        <v>2937</v>
      </c>
      <c r="F8" s="3488"/>
      <c r="G8" s="3483" t="s">
        <v>2937</v>
      </c>
      <c r="H8" s="3484"/>
      <c r="I8" s="3483" t="s">
        <v>2937</v>
      </c>
      <c r="J8" s="3484"/>
      <c r="K8" s="514" t="s">
        <v>528</v>
      </c>
      <c r="L8" s="2135"/>
      <c r="M8" s="2134"/>
      <c r="N8" s="2134"/>
      <c r="O8" s="2136"/>
      <c r="P8" s="3480"/>
      <c r="Q8" s="3481"/>
      <c r="R8" s="3464"/>
      <c r="S8" s="3465"/>
      <c r="T8" s="3466"/>
      <c r="U8" s="3467"/>
      <c r="V8" s="3482"/>
      <c r="W8" s="3482"/>
      <c r="X8" s="1568"/>
      <c r="Y8" s="3466"/>
      <c r="Z8" s="3467"/>
      <c r="AA8" s="3459"/>
      <c r="AB8" s="3459"/>
      <c r="AC8" s="3459"/>
    </row>
    <row r="9" spans="1:30" s="1220" customFormat="1" ht="21" thickBot="1">
      <c r="A9" s="2914"/>
      <c r="B9" s="2921" t="s">
        <v>529</v>
      </c>
      <c r="C9" s="2913">
        <f>'数据-取费表'!B2</f>
        <v>43410</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460" t="s">
        <v>530</v>
      </c>
      <c r="Q9" s="3469"/>
      <c r="R9" s="1569" t="s">
        <v>8</v>
      </c>
      <c r="S9" s="1570">
        <f t="shared" ref="S9:S17" si="0">F9</f>
        <v>0</v>
      </c>
      <c r="T9" s="1569" t="s">
        <v>8</v>
      </c>
      <c r="U9" s="1570">
        <f t="shared" ref="U9:U17" si="1">H9</f>
        <v>0</v>
      </c>
      <c r="V9" s="1569" t="s">
        <v>8</v>
      </c>
      <c r="W9" s="1570">
        <f t="shared" ref="W9:W17" si="2">J9</f>
        <v>0</v>
      </c>
      <c r="X9" s="1571"/>
      <c r="Y9" s="3460" t="s">
        <v>530</v>
      </c>
      <c r="Z9" s="3461"/>
      <c r="AA9" s="1572" t="e">
        <f>D9/F9</f>
        <v>#DIV/0!</v>
      </c>
      <c r="AB9" s="1572" t="e">
        <f>D9/H9</f>
        <v>#DIV/0!</v>
      </c>
      <c r="AC9" s="1572" t="e">
        <f>D9/J9</f>
        <v>#DIV/0!</v>
      </c>
    </row>
    <row r="10" spans="1:30" s="1220" customFormat="1" ht="21" thickBot="1">
      <c r="A10" s="2915"/>
      <c r="B10" s="2922"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460" t="s">
        <v>533</v>
      </c>
      <c r="Q10" s="3461"/>
      <c r="R10" s="1569" t="s">
        <v>8</v>
      </c>
      <c r="S10" s="1570">
        <f t="shared" si="0"/>
        <v>0</v>
      </c>
      <c r="T10" s="1569" t="s">
        <v>8</v>
      </c>
      <c r="U10" s="1570">
        <f t="shared" si="1"/>
        <v>0</v>
      </c>
      <c r="V10" s="1569" t="s">
        <v>8</v>
      </c>
      <c r="W10" s="1570">
        <f t="shared" si="2"/>
        <v>0</v>
      </c>
      <c r="X10" s="1571"/>
      <c r="Y10" s="3460" t="s">
        <v>533</v>
      </c>
      <c r="Z10" s="3461"/>
      <c r="AA10" s="1572" t="e">
        <f t="shared" ref="AA10:AA47" si="3">D10/F10</f>
        <v>#DIV/0!</v>
      </c>
      <c r="AB10" s="1572" t="e">
        <f t="shared" ref="AB10:AB47" si="4">D10/H10</f>
        <v>#DIV/0!</v>
      </c>
      <c r="AC10" s="1572" t="e">
        <f t="shared" ref="AC10:AC47" si="5">D10/J10</f>
        <v>#DIV/0!</v>
      </c>
    </row>
    <row r="11" spans="1:30" s="1220" customFormat="1" ht="20.25">
      <c r="A11" s="2916"/>
      <c r="B11" s="2923" t="s">
        <v>2759</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468" t="s">
        <v>535</v>
      </c>
      <c r="Q11" s="1151" t="str">
        <f t="shared" ref="Q11:Q17" si="6">B11</f>
        <v>用途</v>
      </c>
      <c r="R11" s="1569" t="s">
        <v>8</v>
      </c>
      <c r="S11" s="1570">
        <f t="shared" si="0"/>
        <v>100</v>
      </c>
      <c r="T11" s="1569" t="s">
        <v>8</v>
      </c>
      <c r="U11" s="1570">
        <f t="shared" si="1"/>
        <v>100</v>
      </c>
      <c r="V11" s="1569" t="s">
        <v>8</v>
      </c>
      <c r="W11" s="1570">
        <f t="shared" si="2"/>
        <v>100</v>
      </c>
      <c r="X11" s="1571"/>
      <c r="Y11" s="3425" t="s">
        <v>536</v>
      </c>
      <c r="Z11" s="1150" t="str">
        <f t="shared" ref="Z11:Z17" si="7">Q11</f>
        <v>用途</v>
      </c>
      <c r="AA11" s="1572">
        <f t="shared" si="3"/>
        <v>1</v>
      </c>
      <c r="AB11" s="1572">
        <f t="shared" si="4"/>
        <v>1</v>
      </c>
      <c r="AC11" s="1572">
        <f t="shared" si="5"/>
        <v>1</v>
      </c>
    </row>
    <row r="12" spans="1:30" s="1338" customFormat="1" ht="27">
      <c r="A12" s="2917"/>
      <c r="B12" s="2922" t="s">
        <v>2760</v>
      </c>
      <c r="C12" s="910"/>
      <c r="D12" s="255">
        <v>100</v>
      </c>
      <c r="E12" s="529"/>
      <c r="F12" s="255">
        <f>ROUND(100/'数据-取费表'!G16,0)</f>
        <v>124</v>
      </c>
      <c r="G12" s="530"/>
      <c r="H12" s="255">
        <f>ROUND(100/'数据-取费表'!G16,0)</f>
        <v>124</v>
      </c>
      <c r="I12" s="530"/>
      <c r="J12" s="255">
        <f>ROUND(100/'数据-取费表'!G16,0)</f>
        <v>124</v>
      </c>
      <c r="K12" s="531"/>
      <c r="L12" s="2140"/>
      <c r="M12" s="2134"/>
      <c r="N12" s="2134"/>
      <c r="O12" s="2141"/>
      <c r="P12" s="3468"/>
      <c r="Q12" s="1151" t="str">
        <f t="shared" si="6"/>
        <v>土地使用年限（年）</v>
      </c>
      <c r="R12" s="1569" t="s">
        <v>8</v>
      </c>
      <c r="S12" s="1570">
        <f t="shared" si="0"/>
        <v>124</v>
      </c>
      <c r="T12" s="1569" t="s">
        <v>8</v>
      </c>
      <c r="U12" s="1570">
        <f t="shared" si="1"/>
        <v>124</v>
      </c>
      <c r="V12" s="1569" t="s">
        <v>8</v>
      </c>
      <c r="W12" s="1570">
        <f t="shared" si="2"/>
        <v>124</v>
      </c>
      <c r="X12" s="1571"/>
      <c r="Y12" s="3425"/>
      <c r="Z12" s="1150" t="str">
        <f t="shared" si="7"/>
        <v>土地使用年限（年）</v>
      </c>
      <c r="AA12" s="1572">
        <f t="shared" si="3"/>
        <v>0.80645161290322576</v>
      </c>
      <c r="AB12" s="1572">
        <f t="shared" si="4"/>
        <v>0.80645161290322576</v>
      </c>
      <c r="AC12" s="1572">
        <f t="shared" si="5"/>
        <v>0.80645161290322576</v>
      </c>
    </row>
    <row r="13" spans="1:30" ht="20.25">
      <c r="A13" s="2918"/>
      <c r="B13" s="2922"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468"/>
      <c r="Q13" s="1151" t="str">
        <f t="shared" si="6"/>
        <v>容积率</v>
      </c>
      <c r="R13" s="1569" t="s">
        <v>8</v>
      </c>
      <c r="S13" s="1570" t="e">
        <f t="shared" si="0"/>
        <v>#N/A</v>
      </c>
      <c r="T13" s="1569" t="s">
        <v>8</v>
      </c>
      <c r="U13" s="1570" t="e">
        <f t="shared" si="1"/>
        <v>#N/A</v>
      </c>
      <c r="V13" s="1569" t="s">
        <v>8</v>
      </c>
      <c r="W13" s="1570" t="e">
        <f t="shared" si="2"/>
        <v>#N/A</v>
      </c>
      <c r="X13" s="1571"/>
      <c r="Y13" s="3425"/>
      <c r="Z13" s="1150" t="str">
        <f t="shared" si="7"/>
        <v>容积率</v>
      </c>
      <c r="AA13" s="1572" t="e">
        <f t="shared" si="3"/>
        <v>#N/A</v>
      </c>
      <c r="AB13" s="1572" t="e">
        <f t="shared" si="4"/>
        <v>#N/A</v>
      </c>
      <c r="AC13" s="1572" t="e">
        <f t="shared" si="5"/>
        <v>#N/A</v>
      </c>
    </row>
    <row r="14" spans="1:30" s="1220" customFormat="1" ht="20.25">
      <c r="A14" s="2915"/>
      <c r="B14" s="2924" t="s">
        <v>2762</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68"/>
      <c r="Q14" s="1151" t="str">
        <f t="shared" si="6"/>
        <v>配建</v>
      </c>
      <c r="R14" s="1569" t="s">
        <v>8</v>
      </c>
      <c r="S14" s="1570">
        <f t="shared" si="0"/>
        <v>100</v>
      </c>
      <c r="T14" s="1569" t="s">
        <v>8</v>
      </c>
      <c r="U14" s="1570">
        <f t="shared" si="1"/>
        <v>100</v>
      </c>
      <c r="V14" s="1569" t="s">
        <v>8</v>
      </c>
      <c r="W14" s="1570">
        <f t="shared" si="2"/>
        <v>100</v>
      </c>
      <c r="X14" s="1571"/>
      <c r="Y14" s="3425"/>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68"/>
      <c r="Q15" s="1151">
        <f t="shared" si="6"/>
        <v>111</v>
      </c>
      <c r="R15" s="1569" t="s">
        <v>8</v>
      </c>
      <c r="S15" s="1570">
        <f t="shared" si="0"/>
        <v>100</v>
      </c>
      <c r="T15" s="1569" t="s">
        <v>8</v>
      </c>
      <c r="U15" s="1570">
        <f t="shared" si="1"/>
        <v>100</v>
      </c>
      <c r="V15" s="1569" t="s">
        <v>8</v>
      </c>
      <c r="W15" s="1570">
        <f t="shared" si="2"/>
        <v>100</v>
      </c>
      <c r="X15" s="1571"/>
      <c r="Y15" s="3425"/>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68"/>
      <c r="Q16" s="1151">
        <f t="shared" si="6"/>
        <v>111</v>
      </c>
      <c r="R16" s="1569" t="s">
        <v>8</v>
      </c>
      <c r="S16" s="1570">
        <f t="shared" si="0"/>
        <v>100</v>
      </c>
      <c r="T16" s="1569" t="s">
        <v>8</v>
      </c>
      <c r="U16" s="1570">
        <f t="shared" si="1"/>
        <v>100</v>
      </c>
      <c r="V16" s="1569" t="s">
        <v>8</v>
      </c>
      <c r="W16" s="1570">
        <f t="shared" si="2"/>
        <v>100</v>
      </c>
      <c r="X16" s="1571"/>
      <c r="Y16" s="3425"/>
      <c r="Z16" s="1150">
        <f t="shared" si="7"/>
        <v>111</v>
      </c>
      <c r="AA16" s="1572">
        <f>D16/F16</f>
        <v>1</v>
      </c>
      <c r="AB16" s="1572">
        <f>D16/H16</f>
        <v>1</v>
      </c>
      <c r="AC16" s="1572">
        <f>D16/J16</f>
        <v>1</v>
      </c>
    </row>
    <row r="17" spans="1:29" ht="99.75">
      <c r="A17" s="2912"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70" t="s">
        <v>540</v>
      </c>
      <c r="Q17" s="1573" t="str">
        <f t="shared" si="6"/>
        <v>居住社区成熟度</v>
      </c>
      <c r="R17" s="1574" t="s">
        <v>8</v>
      </c>
      <c r="S17" s="1575">
        <f t="shared" si="0"/>
        <v>100</v>
      </c>
      <c r="T17" s="1574" t="s">
        <v>8</v>
      </c>
      <c r="U17" s="1575">
        <f t="shared" si="1"/>
        <v>100</v>
      </c>
      <c r="V17" s="1574" t="s">
        <v>8</v>
      </c>
      <c r="W17" s="1575">
        <f t="shared" si="2"/>
        <v>100</v>
      </c>
      <c r="X17" s="1568"/>
      <c r="Y17" s="3470"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471"/>
      <c r="Q18" s="1573"/>
      <c r="R18" s="1574"/>
      <c r="S18" s="1575"/>
      <c r="T18" s="1574"/>
      <c r="U18" s="1575"/>
      <c r="V18" s="1574"/>
      <c r="W18" s="1575"/>
      <c r="X18" s="1568"/>
      <c r="Y18" s="3471"/>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71"/>
      <c r="Q19" s="1573" t="str">
        <f>B19</f>
        <v>商业繁华度</v>
      </c>
      <c r="R19" s="1574" t="s">
        <v>8</v>
      </c>
      <c r="S19" s="1575">
        <f>F19</f>
        <v>100</v>
      </c>
      <c r="T19" s="1574" t="s">
        <v>8</v>
      </c>
      <c r="U19" s="1575">
        <f>H19</f>
        <v>100</v>
      </c>
      <c r="V19" s="1574" t="s">
        <v>8</v>
      </c>
      <c r="W19" s="1575">
        <f>J19</f>
        <v>100</v>
      </c>
      <c r="X19" s="1568"/>
      <c r="Y19" s="3471"/>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71"/>
      <c r="Q20" s="1573"/>
      <c r="R20" s="1574"/>
      <c r="S20" s="1575"/>
      <c r="T20" s="1574"/>
      <c r="U20" s="1575"/>
      <c r="V20" s="1574"/>
      <c r="W20" s="1575"/>
      <c r="X20" s="1568"/>
      <c r="Y20" s="3471"/>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71"/>
      <c r="Q21" s="1573" t="str">
        <f>B21</f>
        <v>办公集聚程度</v>
      </c>
      <c r="R21" s="1574" t="s">
        <v>8</v>
      </c>
      <c r="S21" s="1575">
        <f>F21</f>
        <v>100</v>
      </c>
      <c r="T21" s="1574" t="s">
        <v>8</v>
      </c>
      <c r="U21" s="1575">
        <f>H21</f>
        <v>100</v>
      </c>
      <c r="V21" s="1574" t="s">
        <v>8</v>
      </c>
      <c r="W21" s="1575">
        <f>J21</f>
        <v>100</v>
      </c>
      <c r="X21" s="1568"/>
      <c r="Y21" s="3471"/>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71"/>
      <c r="Q22" s="1573"/>
      <c r="R22" s="1574"/>
      <c r="S22" s="1575"/>
      <c r="T22" s="1574"/>
      <c r="U22" s="1575"/>
      <c r="V22" s="1574"/>
      <c r="W22" s="1575"/>
      <c r="X22" s="1568"/>
      <c r="Y22" s="3471"/>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471"/>
      <c r="Q23" s="1573" t="str">
        <f>B23</f>
        <v>交通便捷度</v>
      </c>
      <c r="R23" s="1574" t="s">
        <v>8</v>
      </c>
      <c r="S23" s="1575">
        <f>F23</f>
        <v>100</v>
      </c>
      <c r="T23" s="1574" t="s">
        <v>8</v>
      </c>
      <c r="U23" s="1575">
        <f>H23</f>
        <v>100</v>
      </c>
      <c r="V23" s="1574" t="s">
        <v>8</v>
      </c>
      <c r="W23" s="1575">
        <f>J23</f>
        <v>100</v>
      </c>
      <c r="X23" s="1568"/>
      <c r="Y23" s="3471"/>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471"/>
      <c r="Q24" s="1573"/>
      <c r="R24" s="1574"/>
      <c r="S24" s="1575"/>
      <c r="T24" s="1574"/>
      <c r="U24" s="1575"/>
      <c r="V24" s="1574"/>
      <c r="W24" s="1575"/>
      <c r="X24" s="1568"/>
      <c r="Y24" s="3471"/>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71"/>
      <c r="Q25" s="1573" t="str">
        <f t="shared" ref="Q25:Q39" si="8">B25</f>
        <v>区域土地利用方向</v>
      </c>
      <c r="R25" s="1574" t="s">
        <v>8</v>
      </c>
      <c r="S25" s="1575">
        <f>F25</f>
        <v>100</v>
      </c>
      <c r="T25" s="1574" t="s">
        <v>8</v>
      </c>
      <c r="U25" s="1575">
        <f>H25</f>
        <v>100</v>
      </c>
      <c r="V25" s="1574" t="s">
        <v>8</v>
      </c>
      <c r="W25" s="1575">
        <f>J25</f>
        <v>100</v>
      </c>
      <c r="X25" s="1568"/>
      <c r="Y25" s="3471"/>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71"/>
      <c r="Q26" s="1573"/>
      <c r="R26" s="1574"/>
      <c r="S26" s="1575"/>
      <c r="T26" s="1574"/>
      <c r="U26" s="1575"/>
      <c r="V26" s="1574"/>
      <c r="W26" s="1575"/>
      <c r="X26" s="1568"/>
      <c r="Y26" s="3471"/>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471"/>
      <c r="Q27" s="1573" t="str">
        <f t="shared" si="8"/>
        <v>自然及人文环境状况</v>
      </c>
      <c r="R27" s="1574" t="s">
        <v>8</v>
      </c>
      <c r="S27" s="1575">
        <f>F27</f>
        <v>100</v>
      </c>
      <c r="T27" s="1574" t="s">
        <v>8</v>
      </c>
      <c r="U27" s="1575">
        <f>H27</f>
        <v>100</v>
      </c>
      <c r="V27" s="1574" t="s">
        <v>8</v>
      </c>
      <c r="W27" s="1575">
        <f>J27</f>
        <v>100</v>
      </c>
      <c r="X27" s="1568"/>
      <c r="Y27" s="3471"/>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471"/>
      <c r="Q28" s="1573"/>
      <c r="R28" s="1574"/>
      <c r="S28" s="1575"/>
      <c r="T28" s="1574"/>
      <c r="U28" s="1575"/>
      <c r="V28" s="1574"/>
      <c r="W28" s="1575"/>
      <c r="X28" s="1568"/>
      <c r="Y28" s="3471"/>
      <c r="Z28" s="1576"/>
      <c r="AA28" s="1577">
        <v>1</v>
      </c>
      <c r="AB28" s="1577">
        <v>1</v>
      </c>
      <c r="AC28" s="1577">
        <v>1</v>
      </c>
    </row>
    <row r="29" spans="1:29" s="1220" customFormat="1" ht="42.75">
      <c r="A29" s="577"/>
      <c r="B29" s="2593"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471"/>
      <c r="Q29" s="1151" t="str">
        <f t="shared" si="8"/>
        <v>公共配套设施</v>
      </c>
      <c r="R29" s="1569" t="s">
        <v>8</v>
      </c>
      <c r="S29" s="1570">
        <f>F29</f>
        <v>100</v>
      </c>
      <c r="T29" s="1569" t="s">
        <v>8</v>
      </c>
      <c r="U29" s="1570">
        <f>H29</f>
        <v>100</v>
      </c>
      <c r="V29" s="1569" t="s">
        <v>8</v>
      </c>
      <c r="W29" s="1570">
        <f>J29</f>
        <v>100</v>
      </c>
      <c r="X29" s="1571"/>
      <c r="Y29" s="3471"/>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471"/>
      <c r="Q30" s="1151"/>
      <c r="R30" s="1569"/>
      <c r="S30" s="1570"/>
      <c r="T30" s="1569"/>
      <c r="U30" s="1570"/>
      <c r="V30" s="1569"/>
      <c r="W30" s="1570"/>
      <c r="X30" s="1571"/>
      <c r="Y30" s="3471"/>
      <c r="Z30" s="1150"/>
      <c r="AA30" s="1577">
        <v>1</v>
      </c>
      <c r="AB30" s="1577">
        <v>1</v>
      </c>
      <c r="AC30" s="1577">
        <v>1</v>
      </c>
    </row>
    <row r="31" spans="1:29" s="1220" customFormat="1" ht="28.5">
      <c r="A31" s="577"/>
      <c r="B31" s="2593"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71"/>
      <c r="Q31" s="2580" t="str">
        <f t="shared" ref="Q31" si="9">B31</f>
        <v>基础设施水平</v>
      </c>
      <c r="R31" s="1569" t="s">
        <v>8</v>
      </c>
      <c r="S31" s="1570">
        <f>F31</f>
        <v>100</v>
      </c>
      <c r="T31" s="1569" t="s">
        <v>8</v>
      </c>
      <c r="U31" s="1570">
        <f>H31</f>
        <v>100</v>
      </c>
      <c r="V31" s="1569" t="s">
        <v>8</v>
      </c>
      <c r="W31" s="1570">
        <f>J31</f>
        <v>100</v>
      </c>
      <c r="X31" s="1571"/>
      <c r="Y31" s="3471"/>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471"/>
      <c r="Q32" s="2580"/>
      <c r="R32" s="1569"/>
      <c r="S32" s="1570"/>
      <c r="T32" s="1569"/>
      <c r="U32" s="1570"/>
      <c r="V32" s="1569"/>
      <c r="W32" s="1570"/>
      <c r="X32" s="1571"/>
      <c r="Y32" s="3471"/>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7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71"/>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471"/>
      <c r="Q34" s="1573" t="str">
        <f t="shared" si="8"/>
        <v>毗邻道路的类型与等级</v>
      </c>
      <c r="R34" s="1574" t="s">
        <v>8</v>
      </c>
      <c r="S34" s="1575">
        <f t="shared" si="10"/>
        <v>100</v>
      </c>
      <c r="T34" s="1574" t="s">
        <v>8</v>
      </c>
      <c r="U34" s="1575">
        <f t="shared" si="11"/>
        <v>100</v>
      </c>
      <c r="V34" s="1574" t="s">
        <v>8</v>
      </c>
      <c r="W34" s="1575">
        <f t="shared" si="12"/>
        <v>100</v>
      </c>
      <c r="X34" s="1568"/>
      <c r="Y34" s="3471"/>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71"/>
      <c r="Q35" s="1573"/>
      <c r="R35" s="1574"/>
      <c r="S35" s="1575"/>
      <c r="T35" s="1574"/>
      <c r="U35" s="1575"/>
      <c r="V35" s="1574"/>
      <c r="W35" s="1575"/>
      <c r="X35" s="1568"/>
      <c r="Y35" s="3471"/>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71"/>
      <c r="Q36" s="1573" t="str">
        <f t="shared" si="8"/>
        <v>土地级别</v>
      </c>
      <c r="R36" s="1574" t="s">
        <v>8</v>
      </c>
      <c r="S36" s="1575">
        <f t="shared" si="10"/>
        <v>100</v>
      </c>
      <c r="T36" s="1574" t="s">
        <v>8</v>
      </c>
      <c r="U36" s="1575">
        <f t="shared" si="11"/>
        <v>100</v>
      </c>
      <c r="V36" s="1574" t="s">
        <v>8</v>
      </c>
      <c r="W36" s="1575">
        <f t="shared" si="12"/>
        <v>100</v>
      </c>
      <c r="X36" s="1568"/>
      <c r="Y36" s="3471"/>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71"/>
      <c r="Q37" s="1573">
        <f t="shared" si="8"/>
        <v>111</v>
      </c>
      <c r="R37" s="1574" t="s">
        <v>8</v>
      </c>
      <c r="S37" s="1575">
        <f t="shared" si="10"/>
        <v>100</v>
      </c>
      <c r="T37" s="1574" t="s">
        <v>8</v>
      </c>
      <c r="U37" s="1575">
        <f t="shared" si="11"/>
        <v>100</v>
      </c>
      <c r="V37" s="1574" t="s">
        <v>8</v>
      </c>
      <c r="W37" s="1575">
        <f t="shared" si="12"/>
        <v>100</v>
      </c>
      <c r="X37" s="1568"/>
      <c r="Y37" s="3471"/>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72" t="s">
        <v>550</v>
      </c>
      <c r="Q38" s="1573">
        <f t="shared" si="8"/>
        <v>111</v>
      </c>
      <c r="R38" s="1574" t="s">
        <v>8</v>
      </c>
      <c r="S38" s="1575">
        <f t="shared" si="10"/>
        <v>100</v>
      </c>
      <c r="T38" s="1574" t="s">
        <v>8</v>
      </c>
      <c r="U38" s="1575">
        <f t="shared" si="11"/>
        <v>100</v>
      </c>
      <c r="V38" s="1574" t="s">
        <v>8</v>
      </c>
      <c r="W38" s="1575">
        <f t="shared" si="12"/>
        <v>100</v>
      </c>
      <c r="X38" s="1568"/>
      <c r="Y38" s="3473"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73"/>
      <c r="Q39" s="1573">
        <f t="shared" si="8"/>
        <v>111</v>
      </c>
      <c r="R39" s="1578" t="s">
        <v>8</v>
      </c>
      <c r="S39" s="1579">
        <f t="shared" si="10"/>
        <v>100</v>
      </c>
      <c r="T39" s="1578" t="s">
        <v>8</v>
      </c>
      <c r="U39" s="1579">
        <f t="shared" si="11"/>
        <v>100</v>
      </c>
      <c r="V39" s="1578" t="s">
        <v>8</v>
      </c>
      <c r="W39" s="1579">
        <f t="shared" si="12"/>
        <v>100</v>
      </c>
      <c r="X39" s="1580"/>
      <c r="Y39" s="3473"/>
      <c r="Z39" s="1581">
        <f t="shared" si="13"/>
        <v>111</v>
      </c>
      <c r="AA39" s="1577">
        <f t="shared" si="3"/>
        <v>1</v>
      </c>
      <c r="AB39" s="1577">
        <f t="shared" si="4"/>
        <v>1</v>
      </c>
      <c r="AC39" s="1577">
        <f t="shared" si="5"/>
        <v>1</v>
      </c>
    </row>
    <row r="40" spans="1:29" ht="20.25">
      <c r="A40" s="2909"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473"/>
      <c r="Q40" s="1573" t="str">
        <f>B40</f>
        <v>宗地面积</v>
      </c>
      <c r="R40" s="1574" t="s">
        <v>8</v>
      </c>
      <c r="S40" s="1575" t="e">
        <f t="shared" si="10"/>
        <v>#N/A</v>
      </c>
      <c r="T40" s="1574" t="s">
        <v>8</v>
      </c>
      <c r="U40" s="1575" t="e">
        <f t="shared" si="11"/>
        <v>#N/A</v>
      </c>
      <c r="V40" s="1574" t="s">
        <v>8</v>
      </c>
      <c r="W40" s="1575" t="e">
        <f t="shared" si="12"/>
        <v>#N/A</v>
      </c>
      <c r="X40" s="1568"/>
      <c r="Y40" s="3473"/>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73"/>
      <c r="Q41" s="1573" t="str">
        <f t="shared" ref="Q41:Q47" si="14">B41</f>
        <v>宗地形状</v>
      </c>
      <c r="R41" s="1574" t="s">
        <v>8</v>
      </c>
      <c r="S41" s="1575">
        <f t="shared" si="10"/>
        <v>100</v>
      </c>
      <c r="T41" s="1574" t="s">
        <v>8</v>
      </c>
      <c r="U41" s="1575">
        <f t="shared" si="11"/>
        <v>100</v>
      </c>
      <c r="V41" s="1574" t="s">
        <v>8</v>
      </c>
      <c r="W41" s="1575">
        <f t="shared" si="12"/>
        <v>100</v>
      </c>
      <c r="X41" s="1568"/>
      <c r="Y41" s="3473"/>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73"/>
      <c r="Q42" s="1573" t="str">
        <f t="shared" si="14"/>
        <v>临街宽度及深度</v>
      </c>
      <c r="R42" s="1574" t="s">
        <v>8</v>
      </c>
      <c r="S42" s="1575">
        <f t="shared" si="10"/>
        <v>100</v>
      </c>
      <c r="T42" s="1574" t="s">
        <v>8</v>
      </c>
      <c r="U42" s="1575">
        <f t="shared" si="11"/>
        <v>100</v>
      </c>
      <c r="V42" s="1574" t="s">
        <v>8</v>
      </c>
      <c r="W42" s="1575">
        <f t="shared" si="12"/>
        <v>100</v>
      </c>
      <c r="X42" s="1568"/>
      <c r="Y42" s="3473"/>
      <c r="Z42" s="1576" t="str">
        <f t="shared" si="13"/>
        <v>临街宽度及深度</v>
      </c>
      <c r="AA42" s="1577">
        <f t="shared" si="3"/>
        <v>1</v>
      </c>
      <c r="AB42" s="1577">
        <f t="shared" si="4"/>
        <v>1</v>
      </c>
      <c r="AC42" s="1577">
        <f t="shared" si="5"/>
        <v>1</v>
      </c>
    </row>
    <row r="43" spans="1:29" s="1220" customFormat="1" ht="20.25">
      <c r="A43" s="600"/>
      <c r="B43" s="1897"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473"/>
      <c r="Q43" s="1573" t="str">
        <f t="shared" si="14"/>
        <v>宗地开发程度</v>
      </c>
      <c r="R43" s="1569" t="s">
        <v>8</v>
      </c>
      <c r="S43" s="1570">
        <f t="shared" si="10"/>
        <v>100</v>
      </c>
      <c r="T43" s="1569" t="s">
        <v>8</v>
      </c>
      <c r="U43" s="1570">
        <f t="shared" si="11"/>
        <v>100</v>
      </c>
      <c r="V43" s="1569" t="s">
        <v>8</v>
      </c>
      <c r="W43" s="1570">
        <f t="shared" si="12"/>
        <v>100</v>
      </c>
      <c r="X43" s="1571"/>
      <c r="Y43" s="3473"/>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473" t="s">
        <v>550</v>
      </c>
      <c r="Q44" s="1573" t="str">
        <f t="shared" si="14"/>
        <v>工程地质条件</v>
      </c>
      <c r="R44" s="1574" t="s">
        <v>8</v>
      </c>
      <c r="S44" s="1575">
        <f t="shared" si="10"/>
        <v>100</v>
      </c>
      <c r="T44" s="1574" t="s">
        <v>8</v>
      </c>
      <c r="U44" s="1575">
        <f t="shared" si="11"/>
        <v>100</v>
      </c>
      <c r="V44" s="1574" t="s">
        <v>8</v>
      </c>
      <c r="W44" s="1575">
        <f t="shared" si="12"/>
        <v>100</v>
      </c>
      <c r="X44" s="1568"/>
      <c r="Y44" s="3473"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73"/>
      <c r="Q45" s="1573">
        <f t="shared" si="14"/>
        <v>111</v>
      </c>
      <c r="R45" s="1574" t="s">
        <v>8</v>
      </c>
      <c r="S45" s="1575">
        <f t="shared" si="10"/>
        <v>100</v>
      </c>
      <c r="T45" s="1574" t="s">
        <v>8</v>
      </c>
      <c r="U45" s="1575">
        <f t="shared" si="11"/>
        <v>100</v>
      </c>
      <c r="V45" s="1574" t="s">
        <v>8</v>
      </c>
      <c r="W45" s="1575">
        <f t="shared" si="12"/>
        <v>100</v>
      </c>
      <c r="X45" s="1568"/>
      <c r="Y45" s="3473"/>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73"/>
      <c r="Q46" s="1573">
        <f t="shared" si="14"/>
        <v>111</v>
      </c>
      <c r="R46" s="1574" t="s">
        <v>8</v>
      </c>
      <c r="S46" s="1575">
        <f t="shared" si="10"/>
        <v>100</v>
      </c>
      <c r="T46" s="1574" t="s">
        <v>8</v>
      </c>
      <c r="U46" s="1575">
        <f t="shared" si="11"/>
        <v>100</v>
      </c>
      <c r="V46" s="1574" t="s">
        <v>8</v>
      </c>
      <c r="W46" s="1575">
        <f t="shared" si="12"/>
        <v>100</v>
      </c>
      <c r="X46" s="1568"/>
      <c r="Y46" s="3473"/>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73"/>
      <c r="Q47" s="1573">
        <f t="shared" si="14"/>
        <v>111</v>
      </c>
      <c r="R47" s="1578" t="s">
        <v>8</v>
      </c>
      <c r="S47" s="1579">
        <f t="shared" si="10"/>
        <v>100</v>
      </c>
      <c r="T47" s="1578" t="s">
        <v>8</v>
      </c>
      <c r="U47" s="1579">
        <f t="shared" si="11"/>
        <v>100</v>
      </c>
      <c r="V47" s="1578" t="s">
        <v>8</v>
      </c>
      <c r="W47" s="1579">
        <f t="shared" si="12"/>
        <v>100</v>
      </c>
      <c r="X47" s="1580"/>
      <c r="Y47" s="3473"/>
      <c r="Z47" s="1581">
        <f t="shared" si="13"/>
        <v>111</v>
      </c>
      <c r="AA47" s="1577">
        <f t="shared" si="3"/>
        <v>1</v>
      </c>
      <c r="AB47" s="1577">
        <f t="shared" si="4"/>
        <v>1</v>
      </c>
      <c r="AC47" s="1577">
        <f t="shared" si="5"/>
        <v>1</v>
      </c>
    </row>
    <row r="48" spans="1:29" ht="20.25">
      <c r="A48" s="607" t="s">
        <v>556</v>
      </c>
      <c r="B48" s="608" t="s">
        <v>2938</v>
      </c>
      <c r="C48" s="609" t="s">
        <v>1</v>
      </c>
      <c r="D48" s="610"/>
      <c r="E48" s="611"/>
      <c r="F48" s="612"/>
      <c r="G48" s="613"/>
      <c r="H48" s="614"/>
      <c r="I48" s="611"/>
      <c r="J48" s="614"/>
      <c r="K48" s="1340"/>
      <c r="L48" s="2146"/>
      <c r="M48" s="2134"/>
      <c r="N48" s="2134"/>
      <c r="O48" s="2147"/>
      <c r="P48" s="3468" t="str">
        <f>A48</f>
        <v>成交单价</v>
      </c>
      <c r="Q48" s="3468"/>
      <c r="R48" s="3482">
        <f>E48</f>
        <v>0</v>
      </c>
      <c r="S48" s="3482"/>
      <c r="T48" s="3482">
        <f>G48</f>
        <v>0</v>
      </c>
      <c r="U48" s="3482"/>
      <c r="V48" s="3482">
        <f>I48</f>
        <v>0</v>
      </c>
      <c r="W48" s="3482"/>
      <c r="X48" s="1560"/>
      <c r="Y48" s="1582"/>
      <c r="Z48" s="1560"/>
      <c r="AA48" s="1560"/>
      <c r="AB48" s="1560"/>
      <c r="AC48" s="1560"/>
    </row>
    <row r="49" spans="1:29" ht="21" thickBot="1">
      <c r="A49" s="615" t="s">
        <v>2696</v>
      </c>
      <c r="B49" s="616"/>
      <c r="C49" s="617" t="e">
        <f>R50</f>
        <v>#DIV/0!</v>
      </c>
      <c r="D49" s="618"/>
      <c r="E49" s="617" t="e">
        <f>R49</f>
        <v>#DIV/0!</v>
      </c>
      <c r="F49" s="619"/>
      <c r="G49" s="620" t="e">
        <f>T49</f>
        <v>#DIV/0!</v>
      </c>
      <c r="H49" s="618"/>
      <c r="I49" s="617" t="e">
        <f>V49</f>
        <v>#DIV/0!</v>
      </c>
      <c r="J49" s="618"/>
      <c r="K49" s="1341"/>
      <c r="L49" s="2146"/>
      <c r="M49" s="2134"/>
      <c r="N49" s="2134"/>
      <c r="O49" s="2147"/>
      <c r="P49" s="3468" t="str">
        <f>A49</f>
        <v>比较价格（元/平方米）</v>
      </c>
      <c r="Q49" s="3468"/>
      <c r="R49" s="3492" t="e">
        <f>ROUND(PRODUCT(R48,AA9:AA47),0)</f>
        <v>#DIV/0!</v>
      </c>
      <c r="S49" s="3492"/>
      <c r="T49" s="3492" t="e">
        <f>ROUND(PRODUCT(T48,AB9:AB47),0)</f>
        <v>#DIV/0!</v>
      </c>
      <c r="U49" s="3492"/>
      <c r="V49" s="3492" t="e">
        <f>ROUND(PRODUCT(V48,AC9:AC47),0)</f>
        <v>#DIV/0!</v>
      </c>
      <c r="W49" s="3492"/>
      <c r="X49" s="1560"/>
      <c r="Y49" s="1560"/>
      <c r="Z49" s="1560"/>
      <c r="AA49" s="1560"/>
      <c r="AB49" s="1560"/>
      <c r="AC49" s="1560"/>
    </row>
    <row r="50" spans="1:29" ht="21" thickBot="1">
      <c r="A50" s="621" t="s">
        <v>2939</v>
      </c>
      <c r="B50" s="622"/>
      <c r="C50" s="623" t="e">
        <f>R50</f>
        <v>#DIV/0!</v>
      </c>
      <c r="D50" s="623"/>
      <c r="E50" s="623"/>
      <c r="F50" s="623"/>
      <c r="G50" s="623"/>
      <c r="H50" s="623"/>
      <c r="I50" s="623"/>
      <c r="J50" s="623"/>
      <c r="K50" s="1342"/>
      <c r="L50" s="2146"/>
      <c r="M50" s="2134"/>
      <c r="N50" s="2134"/>
      <c r="O50" s="2147"/>
      <c r="P50" s="3489" t="str">
        <f>A50</f>
        <v>估价对象XX用房的比较价格（楼面单价，元/平方米）</v>
      </c>
      <c r="Q50" s="3490"/>
      <c r="R50" s="3491" t="e">
        <f>ROUND(AVERAGE(R49:V49),0)</f>
        <v>#DIV/0!</v>
      </c>
      <c r="S50" s="3491"/>
      <c r="T50" s="3491"/>
      <c r="U50" s="3491"/>
      <c r="V50" s="3491"/>
      <c r="W50" s="3491"/>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452" t="s">
        <v>2284</v>
      </c>
      <c r="H57" s="3453"/>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t="e">
        <f>C50</f>
        <v>#DIV/0!</v>
      </c>
      <c r="C58" s="635">
        <v>1</v>
      </c>
      <c r="D58" s="2230">
        <v>1</v>
      </c>
      <c r="E58" s="635">
        <f>'数据-汇总表'!E8+'数据-汇总表'!E9</f>
        <v>57196.5</v>
      </c>
      <c r="F58" s="636" t="e">
        <f t="shared" ref="F58:F67" si="15">ROUND(B58*E58/10000,0)</f>
        <v>#DIV/0!</v>
      </c>
      <c r="G58" s="3454"/>
      <c r="H58" s="345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t="e">
        <f>ROUND($C$50*C59*D59,0)</f>
        <v>#DIV/0!</v>
      </c>
      <c r="C59" s="378">
        <f t="shared" ref="C59:C67" si="16">IF($C$57="北京市系数",I59,J59)</f>
        <v>0</v>
      </c>
      <c r="D59" s="2231">
        <v>0.25</v>
      </c>
      <c r="E59" s="639">
        <v>0</v>
      </c>
      <c r="F59" s="636" t="e">
        <f t="shared" si="15"/>
        <v>#DIV/0!</v>
      </c>
      <c r="G59" s="3456"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t="e">
        <f t="shared" ref="B60:B67" si="17">ROUND($C$50*C60*D60,0)</f>
        <v>#DIV/0!</v>
      </c>
      <c r="C60" s="378">
        <f t="shared" si="16"/>
        <v>0</v>
      </c>
      <c r="D60" s="2231">
        <v>0.25</v>
      </c>
      <c r="E60" s="639">
        <v>0</v>
      </c>
      <c r="F60" s="636" t="e">
        <f t="shared" si="15"/>
        <v>#DIV/0!</v>
      </c>
      <c r="G60" s="3456"/>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t="e">
        <f t="shared" si="17"/>
        <v>#DIV/0!</v>
      </c>
      <c r="C61" s="378">
        <f t="shared" si="16"/>
        <v>0</v>
      </c>
      <c r="D61" s="2231">
        <v>0.25</v>
      </c>
      <c r="E61" s="639">
        <v>0</v>
      </c>
      <c r="F61" s="636" t="e">
        <f t="shared" si="15"/>
        <v>#DIV/0!</v>
      </c>
      <c r="G61" s="3456"/>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t="e">
        <f t="shared" si="17"/>
        <v>#DIV/0!</v>
      </c>
      <c r="C62" s="378">
        <f t="shared" si="16"/>
        <v>0</v>
      </c>
      <c r="D62" s="2231">
        <v>0.25</v>
      </c>
      <c r="E62" s="639">
        <v>0</v>
      </c>
      <c r="F62" s="636" t="e">
        <f t="shared" si="15"/>
        <v>#DIV/0!</v>
      </c>
      <c r="G62" s="3456"/>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t="e">
        <f t="shared" si="17"/>
        <v>#DIV/0!</v>
      </c>
      <c r="C63" s="378">
        <f t="shared" si="16"/>
        <v>0</v>
      </c>
      <c r="D63" s="2231">
        <v>0.25</v>
      </c>
      <c r="E63" s="641">
        <f>'数据-汇总表'!E11</f>
        <v>0</v>
      </c>
      <c r="F63" s="636" t="e">
        <f t="shared" si="15"/>
        <v>#DIV/0!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t="e">
        <f t="shared" si="17"/>
        <v>#DIV/0!</v>
      </c>
      <c r="C64" s="378">
        <f t="shared" si="16"/>
        <v>0</v>
      </c>
      <c r="D64" s="2231">
        <v>0.25</v>
      </c>
      <c r="E64" s="641">
        <f>'数据-汇总表'!E12</f>
        <v>0</v>
      </c>
      <c r="F64" s="636" t="e">
        <f t="shared" si="15"/>
        <v>#DIV/0!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t="e">
        <f t="shared" si="17"/>
        <v>#DIV/0!</v>
      </c>
      <c r="C65" s="378">
        <f t="shared" si="16"/>
        <v>0</v>
      </c>
      <c r="D65" s="2231">
        <v>0.25</v>
      </c>
      <c r="E65" s="641">
        <f>'数据-汇总表'!E13</f>
        <v>0</v>
      </c>
      <c r="F65" s="636" t="e">
        <f t="shared" si="15"/>
        <v>#DIV/0!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t="e">
        <f t="shared" si="17"/>
        <v>#DIV/0!</v>
      </c>
      <c r="C66" s="378">
        <f t="shared" si="16"/>
        <v>0</v>
      </c>
      <c r="D66" s="2231">
        <v>0.25</v>
      </c>
      <c r="E66" s="641">
        <f>'数据-汇总表'!E14</f>
        <v>0</v>
      </c>
      <c r="F66" s="636" t="e">
        <f t="shared" si="15"/>
        <v>#DIV/0!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t="e">
        <f t="shared" si="17"/>
        <v>#DIV/0!</v>
      </c>
      <c r="C67" s="378">
        <f t="shared" si="16"/>
        <v>0</v>
      </c>
      <c r="D67" s="2231">
        <v>0.25</v>
      </c>
      <c r="E67" s="641">
        <f>'数据-汇总表'!E15</f>
        <v>0</v>
      </c>
      <c r="F67" s="636" t="e">
        <f t="shared" si="15"/>
        <v>#DIV/0!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130380.53</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2018-11-1</v>
      </c>
      <c r="D70" s="2801">
        <f>EDATE(C70,-3)</f>
        <v>43313</v>
      </c>
      <c r="E70" s="2801">
        <f t="shared" ref="E70:N70" si="18">EDATE(D70,-3)</f>
        <v>43221</v>
      </c>
      <c r="F70" s="2801">
        <f t="shared" si="18"/>
        <v>43132</v>
      </c>
      <c r="G70" s="2801">
        <f t="shared" si="18"/>
        <v>43040</v>
      </c>
      <c r="H70" s="2801">
        <f t="shared" si="18"/>
        <v>42948</v>
      </c>
      <c r="I70" s="2801">
        <f t="shared" si="18"/>
        <v>42856</v>
      </c>
      <c r="J70" s="2801">
        <f t="shared" si="18"/>
        <v>42767</v>
      </c>
      <c r="K70" s="2801">
        <f t="shared" si="18"/>
        <v>42675</v>
      </c>
      <c r="L70" s="2801">
        <f t="shared" si="18"/>
        <v>42583</v>
      </c>
      <c r="M70" s="2801">
        <f t="shared" si="18"/>
        <v>42491</v>
      </c>
      <c r="N70" s="2801">
        <f t="shared" si="18"/>
        <v>42401</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北京市平均增长率2.19%</v>
      </c>
      <c r="C73" s="894">
        <v>100</v>
      </c>
      <c r="D73" s="730"/>
      <c r="E73" s="730"/>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5" t="str">
        <f t="shared" si="25"/>
        <v>(含)-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29" sqref="C129:F134"/>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74" t="s">
        <v>522</v>
      </c>
      <c r="D6" s="3475"/>
      <c r="E6" s="3498" t="s">
        <v>523</v>
      </c>
      <c r="F6" s="3499"/>
      <c r="G6" s="3474" t="s">
        <v>524</v>
      </c>
      <c r="H6" s="3475"/>
      <c r="I6" s="3474" t="s">
        <v>525</v>
      </c>
      <c r="J6" s="3475"/>
      <c r="K6" s="514" t="s">
        <v>526</v>
      </c>
      <c r="L6" s="2135"/>
      <c r="M6" s="2136"/>
      <c r="N6" s="2136"/>
      <c r="O6" s="2136"/>
      <c r="P6" s="3476" t="s">
        <v>527</v>
      </c>
      <c r="Q6" s="3477"/>
      <c r="R6" s="3462" t="s">
        <v>523</v>
      </c>
      <c r="S6" s="3463"/>
      <c r="T6" s="3462" t="s">
        <v>524</v>
      </c>
      <c r="U6" s="3463"/>
      <c r="V6" s="3482" t="s">
        <v>525</v>
      </c>
      <c r="W6" s="3482"/>
      <c r="X6" s="1568"/>
      <c r="Y6" s="3462" t="s">
        <v>527</v>
      </c>
      <c r="Z6" s="3463"/>
      <c r="AA6" s="3457" t="s">
        <v>523</v>
      </c>
      <c r="AB6" s="3458" t="s">
        <v>524</v>
      </c>
      <c r="AC6" s="3457" t="s">
        <v>525</v>
      </c>
    </row>
    <row r="7" spans="1:29" ht="15">
      <c r="A7" s="515"/>
      <c r="B7" s="516"/>
      <c r="C7" s="3485" t="s">
        <v>2933</v>
      </c>
      <c r="D7" s="3486"/>
      <c r="E7" s="3500" t="s">
        <v>2934</v>
      </c>
      <c r="F7" s="3501"/>
      <c r="G7" s="3485" t="s">
        <v>2935</v>
      </c>
      <c r="H7" s="3486"/>
      <c r="I7" s="3485" t="s">
        <v>2936</v>
      </c>
      <c r="J7" s="3486"/>
      <c r="K7" s="514"/>
      <c r="L7" s="2135"/>
      <c r="M7" s="2136"/>
      <c r="N7" s="2136"/>
      <c r="O7" s="2136"/>
      <c r="P7" s="3478"/>
      <c r="Q7" s="3479"/>
      <c r="R7" s="3464"/>
      <c r="S7" s="3465"/>
      <c r="T7" s="3464"/>
      <c r="U7" s="3465"/>
      <c r="V7" s="3482"/>
      <c r="W7" s="3482"/>
      <c r="X7" s="1568"/>
      <c r="Y7" s="3464"/>
      <c r="Z7" s="3465"/>
      <c r="AA7" s="3458"/>
      <c r="AB7" s="3458"/>
      <c r="AC7" s="3458"/>
    </row>
    <row r="8" spans="1:29" ht="15.75" thickBot="1">
      <c r="A8" s="517"/>
      <c r="B8" s="518"/>
      <c r="C8" s="3483" t="s">
        <v>2937</v>
      </c>
      <c r="D8" s="3484"/>
      <c r="E8" s="3502" t="s">
        <v>2937</v>
      </c>
      <c r="F8" s="3503"/>
      <c r="G8" s="3483" t="s">
        <v>2937</v>
      </c>
      <c r="H8" s="3484"/>
      <c r="I8" s="3483" t="s">
        <v>2937</v>
      </c>
      <c r="J8" s="3484"/>
      <c r="K8" s="514" t="s">
        <v>528</v>
      </c>
      <c r="L8" s="2135"/>
      <c r="M8" s="2136"/>
      <c r="N8" s="2136"/>
      <c r="O8" s="2136"/>
      <c r="P8" s="3480"/>
      <c r="Q8" s="3481"/>
      <c r="R8" s="3464"/>
      <c r="S8" s="3465"/>
      <c r="T8" s="3466"/>
      <c r="U8" s="3467"/>
      <c r="V8" s="3482"/>
      <c r="W8" s="3482"/>
      <c r="X8" s="1568"/>
      <c r="Y8" s="3466"/>
      <c r="Z8" s="3467"/>
      <c r="AA8" s="3459"/>
      <c r="AB8" s="3459"/>
      <c r="AC8" s="3459"/>
    </row>
    <row r="9" spans="1:29" s="1220" customFormat="1" ht="15.75" thickBot="1">
      <c r="A9" s="2914"/>
      <c r="B9" s="2921" t="s">
        <v>529</v>
      </c>
      <c r="C9" s="519">
        <f>'数据-取费表'!B2</f>
        <v>43410</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60" t="s">
        <v>530</v>
      </c>
      <c r="Q9" s="3469"/>
      <c r="R9" s="1569" t="s">
        <v>8</v>
      </c>
      <c r="S9" s="1570">
        <f t="shared" ref="S9:S17" si="0">F9</f>
        <v>0</v>
      </c>
      <c r="T9" s="1569" t="s">
        <v>8</v>
      </c>
      <c r="U9" s="1570">
        <f t="shared" ref="U9:U17" si="1">H9</f>
        <v>0</v>
      </c>
      <c r="V9" s="1569" t="s">
        <v>8</v>
      </c>
      <c r="W9" s="1570">
        <f t="shared" ref="W9:W17" si="2">J9</f>
        <v>0</v>
      </c>
      <c r="X9" s="1571"/>
      <c r="Y9" s="3460" t="s">
        <v>530</v>
      </c>
      <c r="Z9" s="3461"/>
      <c r="AA9" s="1572" t="e">
        <f>D9/F9</f>
        <v>#DIV/0!</v>
      </c>
      <c r="AB9" s="1572" t="e">
        <f>D9/H9</f>
        <v>#DIV/0!</v>
      </c>
      <c r="AC9" s="1572" t="e">
        <f>D9/J9</f>
        <v>#DIV/0!</v>
      </c>
    </row>
    <row r="10" spans="1:29" s="1220" customFormat="1" ht="15.75" thickBot="1">
      <c r="A10" s="2915"/>
      <c r="B10" s="292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60" t="s">
        <v>533</v>
      </c>
      <c r="Q10" s="3461"/>
      <c r="R10" s="1569" t="s">
        <v>8</v>
      </c>
      <c r="S10" s="1570">
        <f t="shared" si="0"/>
        <v>0</v>
      </c>
      <c r="T10" s="1569" t="s">
        <v>8</v>
      </c>
      <c r="U10" s="1570">
        <f t="shared" si="1"/>
        <v>0</v>
      </c>
      <c r="V10" s="1569" t="s">
        <v>8</v>
      </c>
      <c r="W10" s="1570">
        <f t="shared" si="2"/>
        <v>0</v>
      </c>
      <c r="X10" s="1571"/>
      <c r="Y10" s="3460" t="s">
        <v>533</v>
      </c>
      <c r="Z10" s="3461"/>
      <c r="AA10" s="1572" t="e">
        <f t="shared" ref="AA10:AA42" si="3">D10/F10</f>
        <v>#DIV/0!</v>
      </c>
      <c r="AB10" s="1572" t="e">
        <f t="shared" ref="AB10:AB42" si="4">D10/H10</f>
        <v>#DIV/0!</v>
      </c>
      <c r="AC10" s="1572" t="e">
        <f t="shared" ref="AC10:AC42" si="5">D10/J10</f>
        <v>#DIV/0!</v>
      </c>
    </row>
    <row r="11" spans="1:29" s="1220" customFormat="1" ht="15">
      <c r="A11" s="2916"/>
      <c r="B11" s="2923"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68" t="s">
        <v>535</v>
      </c>
      <c r="Q11" s="1151" t="str">
        <f t="shared" ref="Q11:Q17" si="6">B11</f>
        <v>用途</v>
      </c>
      <c r="R11" s="1569" t="s">
        <v>8</v>
      </c>
      <c r="S11" s="1570">
        <f t="shared" si="0"/>
        <v>100</v>
      </c>
      <c r="T11" s="1569" t="s">
        <v>8</v>
      </c>
      <c r="U11" s="1570">
        <f t="shared" si="1"/>
        <v>100</v>
      </c>
      <c r="V11" s="1569" t="s">
        <v>8</v>
      </c>
      <c r="W11" s="1570">
        <f t="shared" si="2"/>
        <v>100</v>
      </c>
      <c r="X11" s="1571"/>
      <c r="Y11" s="3425" t="s">
        <v>536</v>
      </c>
      <c r="Z11" s="1150" t="str">
        <f t="shared" ref="Z11:Z17" si="7">Q11</f>
        <v>用途</v>
      </c>
      <c r="AA11" s="1572">
        <f t="shared" si="3"/>
        <v>1</v>
      </c>
      <c r="AB11" s="1572">
        <f t="shared" si="4"/>
        <v>1</v>
      </c>
      <c r="AC11" s="1572">
        <f t="shared" si="5"/>
        <v>1</v>
      </c>
    </row>
    <row r="12" spans="1:29" s="1338" customFormat="1" ht="27">
      <c r="A12" s="2917"/>
      <c r="B12" s="2922" t="s">
        <v>2760</v>
      </c>
      <c r="C12" s="528"/>
      <c r="D12" s="255">
        <v>100</v>
      </c>
      <c r="E12" s="528"/>
      <c r="F12" s="255">
        <f>ROUND(100/'数据-取费表'!G16,0)</f>
        <v>124</v>
      </c>
      <c r="G12" s="528"/>
      <c r="H12" s="255">
        <f>ROUND(100/'数据-取费表'!G16,0)</f>
        <v>124</v>
      </c>
      <c r="I12" s="528"/>
      <c r="J12" s="255">
        <f>ROUND(100/'数据-取费表'!G16,0)</f>
        <v>124</v>
      </c>
      <c r="K12" s="531"/>
      <c r="L12" s="2140"/>
      <c r="M12" s="2180"/>
      <c r="N12" s="2180"/>
      <c r="O12" s="2141"/>
      <c r="P12" s="3468"/>
      <c r="Q12" s="1151" t="str">
        <f t="shared" si="6"/>
        <v>土地使用年限（年）</v>
      </c>
      <c r="R12" s="1569" t="s">
        <v>8</v>
      </c>
      <c r="S12" s="1570">
        <f t="shared" si="0"/>
        <v>124</v>
      </c>
      <c r="T12" s="1569" t="s">
        <v>8</v>
      </c>
      <c r="U12" s="1570">
        <f t="shared" si="1"/>
        <v>124</v>
      </c>
      <c r="V12" s="1569" t="s">
        <v>8</v>
      </c>
      <c r="W12" s="1570">
        <f t="shared" si="2"/>
        <v>124</v>
      </c>
      <c r="X12" s="1571"/>
      <c r="Y12" s="3425"/>
      <c r="Z12" s="1150" t="str">
        <f t="shared" si="7"/>
        <v>土地使用年限（年）</v>
      </c>
      <c r="AA12" s="1572">
        <f t="shared" si="3"/>
        <v>0.80645161290322576</v>
      </c>
      <c r="AB12" s="1572">
        <f t="shared" si="4"/>
        <v>0.80645161290322576</v>
      </c>
      <c r="AC12" s="1572">
        <f t="shared" si="5"/>
        <v>0.80645161290322576</v>
      </c>
    </row>
    <row r="13" spans="1:29" ht="15">
      <c r="A13" s="2918"/>
      <c r="B13" s="2922"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68"/>
      <c r="Q13" s="1151" t="str">
        <f t="shared" si="6"/>
        <v>容积率</v>
      </c>
      <c r="R13" s="1569" t="s">
        <v>8</v>
      </c>
      <c r="S13" s="1570" t="e">
        <f t="shared" si="0"/>
        <v>#N/A</v>
      </c>
      <c r="T13" s="1569" t="s">
        <v>8</v>
      </c>
      <c r="U13" s="1570" t="e">
        <f t="shared" si="1"/>
        <v>#N/A</v>
      </c>
      <c r="V13" s="1569" t="s">
        <v>8</v>
      </c>
      <c r="W13" s="1570" t="e">
        <f t="shared" si="2"/>
        <v>#N/A</v>
      </c>
      <c r="X13" s="1571"/>
      <c r="Y13" s="3425"/>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68"/>
      <c r="Q14" s="1151">
        <f t="shared" si="6"/>
        <v>111</v>
      </c>
      <c r="R14" s="1569" t="s">
        <v>8</v>
      </c>
      <c r="S14" s="1570">
        <f t="shared" si="0"/>
        <v>100</v>
      </c>
      <c r="T14" s="1569" t="s">
        <v>8</v>
      </c>
      <c r="U14" s="1570">
        <f t="shared" si="1"/>
        <v>100</v>
      </c>
      <c r="V14" s="1569" t="s">
        <v>8</v>
      </c>
      <c r="W14" s="1570">
        <f t="shared" si="2"/>
        <v>100</v>
      </c>
      <c r="X14" s="1571"/>
      <c r="Y14" s="3425"/>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68"/>
      <c r="Q15" s="1151">
        <f t="shared" si="6"/>
        <v>111</v>
      </c>
      <c r="R15" s="1569" t="s">
        <v>8</v>
      </c>
      <c r="S15" s="1570">
        <f t="shared" si="0"/>
        <v>100</v>
      </c>
      <c r="T15" s="1569" t="s">
        <v>8</v>
      </c>
      <c r="U15" s="1570">
        <f t="shared" si="1"/>
        <v>100</v>
      </c>
      <c r="V15" s="1569" t="s">
        <v>8</v>
      </c>
      <c r="W15" s="1570">
        <f t="shared" si="2"/>
        <v>100</v>
      </c>
      <c r="X15" s="1571"/>
      <c r="Y15" s="3425"/>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68"/>
      <c r="Q16" s="1151">
        <f t="shared" si="6"/>
        <v>111</v>
      </c>
      <c r="R16" s="1569" t="s">
        <v>8</v>
      </c>
      <c r="S16" s="1570">
        <f t="shared" si="0"/>
        <v>100</v>
      </c>
      <c r="T16" s="1569" t="s">
        <v>8</v>
      </c>
      <c r="U16" s="1570">
        <f t="shared" si="1"/>
        <v>100</v>
      </c>
      <c r="V16" s="1569" t="s">
        <v>8</v>
      </c>
      <c r="W16" s="1570">
        <f t="shared" si="2"/>
        <v>100</v>
      </c>
      <c r="X16" s="1571"/>
      <c r="Y16" s="3425"/>
      <c r="Z16" s="1150">
        <f t="shared" si="7"/>
        <v>111</v>
      </c>
      <c r="AA16" s="1572">
        <f t="shared" si="3"/>
        <v>1</v>
      </c>
      <c r="AB16" s="1572">
        <f t="shared" si="4"/>
        <v>1</v>
      </c>
      <c r="AC16" s="1572">
        <f t="shared" si="5"/>
        <v>1</v>
      </c>
    </row>
    <row r="17" spans="1:29" ht="57">
      <c r="A17" s="2912"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70" t="s">
        <v>540</v>
      </c>
      <c r="Q17" s="1573" t="str">
        <f t="shared" si="6"/>
        <v>产业集聚程度</v>
      </c>
      <c r="R17" s="1574" t="s">
        <v>8</v>
      </c>
      <c r="S17" s="1575">
        <f t="shared" si="0"/>
        <v>100</v>
      </c>
      <c r="T17" s="1574" t="s">
        <v>8</v>
      </c>
      <c r="U17" s="1575">
        <f t="shared" si="1"/>
        <v>100</v>
      </c>
      <c r="V17" s="1574" t="s">
        <v>8</v>
      </c>
      <c r="W17" s="1575">
        <f t="shared" si="2"/>
        <v>100</v>
      </c>
      <c r="X17" s="1568"/>
      <c r="Y17" s="347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71"/>
      <c r="Q18" s="1573"/>
      <c r="R18" s="1574"/>
      <c r="S18" s="1575"/>
      <c r="T18" s="1574"/>
      <c r="U18" s="1575"/>
      <c r="V18" s="1574"/>
      <c r="W18" s="1575"/>
      <c r="X18" s="1568"/>
      <c r="Y18" s="3471"/>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71"/>
      <c r="Q19" s="1573" t="str">
        <f>B19</f>
        <v>交通便捷度</v>
      </c>
      <c r="R19" s="1574" t="s">
        <v>8</v>
      </c>
      <c r="S19" s="1575">
        <f>F19</f>
        <v>100</v>
      </c>
      <c r="T19" s="1574" t="s">
        <v>8</v>
      </c>
      <c r="U19" s="1575">
        <f>H19</f>
        <v>100</v>
      </c>
      <c r="V19" s="1574" t="s">
        <v>8</v>
      </c>
      <c r="W19" s="1575">
        <f>J19</f>
        <v>100</v>
      </c>
      <c r="X19" s="1568"/>
      <c r="Y19" s="347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71"/>
      <c r="Q20" s="1573"/>
      <c r="R20" s="1574"/>
      <c r="S20" s="1575"/>
      <c r="T20" s="1574"/>
      <c r="U20" s="1575"/>
      <c r="V20" s="1574"/>
      <c r="W20" s="1575"/>
      <c r="X20" s="1568"/>
      <c r="Y20" s="347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71"/>
      <c r="Q21" s="1573" t="str">
        <f t="shared" ref="Q21:Q35" si="8">B21</f>
        <v>区域土地利用方向</v>
      </c>
      <c r="R21" s="1574" t="s">
        <v>8</v>
      </c>
      <c r="S21" s="1575">
        <f>F21</f>
        <v>100</v>
      </c>
      <c r="T21" s="1574" t="s">
        <v>8</v>
      </c>
      <c r="U21" s="1575">
        <f>H21</f>
        <v>100</v>
      </c>
      <c r="V21" s="1574" t="s">
        <v>8</v>
      </c>
      <c r="W21" s="1575">
        <f>J21</f>
        <v>100</v>
      </c>
      <c r="X21" s="1568"/>
      <c r="Y21" s="347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71"/>
      <c r="Q22" s="1573"/>
      <c r="R22" s="1574"/>
      <c r="S22" s="1575"/>
      <c r="T22" s="1574"/>
      <c r="U22" s="1575"/>
      <c r="V22" s="1574"/>
      <c r="W22" s="1575"/>
      <c r="X22" s="1568"/>
      <c r="Y22" s="3471"/>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71"/>
      <c r="Q23" s="1573" t="str">
        <f t="shared" si="8"/>
        <v>环境状况</v>
      </c>
      <c r="R23" s="1574" t="s">
        <v>8</v>
      </c>
      <c r="S23" s="1575">
        <f>F23</f>
        <v>100</v>
      </c>
      <c r="T23" s="1574" t="s">
        <v>8</v>
      </c>
      <c r="U23" s="1575">
        <f>H23</f>
        <v>100</v>
      </c>
      <c r="V23" s="1574" t="s">
        <v>8</v>
      </c>
      <c r="W23" s="1575">
        <f>J23</f>
        <v>100</v>
      </c>
      <c r="X23" s="1568"/>
      <c r="Y23" s="347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71"/>
      <c r="Q24" s="1573"/>
      <c r="R24" s="1574"/>
      <c r="S24" s="1575"/>
      <c r="T24" s="1574"/>
      <c r="U24" s="1575"/>
      <c r="V24" s="1574"/>
      <c r="W24" s="1575"/>
      <c r="X24" s="1568"/>
      <c r="Y24" s="3471"/>
      <c r="Z24" s="1576"/>
      <c r="AA24" s="1577">
        <v>1</v>
      </c>
      <c r="AB24" s="1577">
        <v>1</v>
      </c>
      <c r="AC24" s="1577">
        <v>1</v>
      </c>
    </row>
    <row r="25" spans="1:29" s="1220" customFormat="1" ht="42.75">
      <c r="A25" s="577"/>
      <c r="B25" s="2595"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71"/>
      <c r="Q25" s="1151" t="str">
        <f t="shared" si="8"/>
        <v>公共配套设施</v>
      </c>
      <c r="R25" s="1569" t="s">
        <v>8</v>
      </c>
      <c r="S25" s="1570">
        <f>F25</f>
        <v>100</v>
      </c>
      <c r="T25" s="1569" t="s">
        <v>8</v>
      </c>
      <c r="U25" s="1570">
        <f>H25</f>
        <v>100</v>
      </c>
      <c r="V25" s="1569" t="s">
        <v>8</v>
      </c>
      <c r="W25" s="1570">
        <f>J25</f>
        <v>100</v>
      </c>
      <c r="X25" s="1571"/>
      <c r="Y25" s="3471"/>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71"/>
      <c r="Q26" s="1151"/>
      <c r="R26" s="1569"/>
      <c r="S26" s="1570"/>
      <c r="T26" s="1569"/>
      <c r="U26" s="1570"/>
      <c r="V26" s="1569"/>
      <c r="W26" s="1570"/>
      <c r="X26" s="1571"/>
      <c r="Y26" s="3471"/>
      <c r="Z26" s="1150"/>
      <c r="AA26" s="1572">
        <v>1</v>
      </c>
      <c r="AB26" s="1572">
        <v>1</v>
      </c>
      <c r="AC26" s="1572">
        <v>1</v>
      </c>
    </row>
    <row r="27" spans="1:29" s="1220" customFormat="1" ht="28.5">
      <c r="A27" s="577"/>
      <c r="B27" s="2595"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71"/>
      <c r="Q27" s="2580" t="str">
        <f t="shared" ref="Q27" si="9">B27</f>
        <v>基础设施水平</v>
      </c>
      <c r="R27" s="1569" t="s">
        <v>8</v>
      </c>
      <c r="S27" s="1570">
        <f>F27</f>
        <v>100</v>
      </c>
      <c r="T27" s="1569" t="s">
        <v>8</v>
      </c>
      <c r="U27" s="1570">
        <f>H27</f>
        <v>100</v>
      </c>
      <c r="V27" s="1569" t="s">
        <v>8</v>
      </c>
      <c r="W27" s="1570">
        <f>J27</f>
        <v>100</v>
      </c>
      <c r="X27" s="1571"/>
      <c r="Y27" s="3471"/>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71"/>
      <c r="Q28" s="2580"/>
      <c r="R28" s="1569"/>
      <c r="S28" s="1570"/>
      <c r="T28" s="1569"/>
      <c r="U28" s="1570"/>
      <c r="V28" s="1569"/>
      <c r="W28" s="1570"/>
      <c r="X28" s="1571"/>
      <c r="Y28" s="3471"/>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7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71"/>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71"/>
      <c r="Q30" s="1573" t="str">
        <f t="shared" si="8"/>
        <v>毗邻道路的类型与等级</v>
      </c>
      <c r="R30" s="1574" t="s">
        <v>8</v>
      </c>
      <c r="S30" s="1575">
        <f t="shared" si="10"/>
        <v>100</v>
      </c>
      <c r="T30" s="1574" t="s">
        <v>8</v>
      </c>
      <c r="U30" s="1575">
        <f t="shared" si="11"/>
        <v>100</v>
      </c>
      <c r="V30" s="1574" t="s">
        <v>8</v>
      </c>
      <c r="W30" s="1575">
        <f t="shared" si="12"/>
        <v>100</v>
      </c>
      <c r="X30" s="1568"/>
      <c r="Y30" s="347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71"/>
      <c r="Q31" s="1573"/>
      <c r="R31" s="1574"/>
      <c r="S31" s="1575"/>
      <c r="T31" s="1574"/>
      <c r="U31" s="1575"/>
      <c r="V31" s="1574"/>
      <c r="W31" s="1575"/>
      <c r="X31" s="1568"/>
      <c r="Y31" s="3471"/>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71"/>
      <c r="Q32" s="1573" t="str">
        <f t="shared" si="8"/>
        <v>土地级别</v>
      </c>
      <c r="R32" s="1574" t="s">
        <v>8</v>
      </c>
      <c r="S32" s="1575">
        <f t="shared" si="10"/>
        <v>100</v>
      </c>
      <c r="T32" s="1574" t="s">
        <v>8</v>
      </c>
      <c r="U32" s="1575">
        <f t="shared" si="11"/>
        <v>100</v>
      </c>
      <c r="V32" s="1574" t="s">
        <v>8</v>
      </c>
      <c r="W32" s="1575">
        <f t="shared" si="12"/>
        <v>100</v>
      </c>
      <c r="X32" s="1568"/>
      <c r="Y32" s="347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71"/>
      <c r="Q33" s="1573">
        <f t="shared" si="8"/>
        <v>111</v>
      </c>
      <c r="R33" s="1574" t="s">
        <v>8</v>
      </c>
      <c r="S33" s="1575">
        <f t="shared" si="10"/>
        <v>100</v>
      </c>
      <c r="T33" s="1574" t="s">
        <v>8</v>
      </c>
      <c r="U33" s="1575">
        <f t="shared" si="11"/>
        <v>100</v>
      </c>
      <c r="V33" s="1574" t="s">
        <v>8</v>
      </c>
      <c r="W33" s="1575">
        <f t="shared" si="12"/>
        <v>100</v>
      </c>
      <c r="X33" s="1568"/>
      <c r="Y33" s="347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72" t="s">
        <v>550</v>
      </c>
      <c r="Q34" s="1573">
        <f t="shared" si="8"/>
        <v>111</v>
      </c>
      <c r="R34" s="1574" t="s">
        <v>8</v>
      </c>
      <c r="S34" s="1575">
        <f t="shared" si="10"/>
        <v>100</v>
      </c>
      <c r="T34" s="1574" t="s">
        <v>8</v>
      </c>
      <c r="U34" s="1575">
        <f t="shared" si="11"/>
        <v>100</v>
      </c>
      <c r="V34" s="1574" t="s">
        <v>8</v>
      </c>
      <c r="W34" s="1575">
        <f t="shared" si="12"/>
        <v>100</v>
      </c>
      <c r="X34" s="1568"/>
      <c r="Y34" s="3473"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73"/>
      <c r="Q35" s="1573">
        <f t="shared" si="8"/>
        <v>111</v>
      </c>
      <c r="R35" s="1578" t="s">
        <v>8</v>
      </c>
      <c r="S35" s="1579">
        <f t="shared" si="10"/>
        <v>100</v>
      </c>
      <c r="T35" s="1578" t="s">
        <v>8</v>
      </c>
      <c r="U35" s="1579">
        <f t="shared" si="11"/>
        <v>100</v>
      </c>
      <c r="V35" s="1578" t="s">
        <v>8</v>
      </c>
      <c r="W35" s="1579">
        <f t="shared" si="12"/>
        <v>100</v>
      </c>
      <c r="X35" s="1580"/>
      <c r="Y35" s="3473"/>
      <c r="Z35" s="1581">
        <f t="shared" si="13"/>
        <v>111</v>
      </c>
      <c r="AA35" s="1577">
        <f t="shared" si="3"/>
        <v>1</v>
      </c>
      <c r="AB35" s="1577">
        <f t="shared" si="4"/>
        <v>1</v>
      </c>
      <c r="AC35" s="1577">
        <f t="shared" si="5"/>
        <v>1</v>
      </c>
    </row>
    <row r="36" spans="1:29" ht="15">
      <c r="A36" s="2909"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73"/>
      <c r="Q36" s="1573" t="str">
        <f>B36</f>
        <v>宗地面积</v>
      </c>
      <c r="R36" s="1574" t="s">
        <v>8</v>
      </c>
      <c r="S36" s="1575" t="e">
        <f t="shared" si="10"/>
        <v>#N/A</v>
      </c>
      <c r="T36" s="1574" t="s">
        <v>8</v>
      </c>
      <c r="U36" s="1575" t="e">
        <f t="shared" si="11"/>
        <v>#N/A</v>
      </c>
      <c r="V36" s="1574" t="s">
        <v>8</v>
      </c>
      <c r="W36" s="1575" t="e">
        <f t="shared" si="12"/>
        <v>#N/A</v>
      </c>
      <c r="X36" s="1568"/>
      <c r="Y36" s="347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73"/>
      <c r="Q37" s="1573" t="str">
        <f t="shared" ref="Q37:Q42" si="14">B37</f>
        <v>宗地形状</v>
      </c>
      <c r="R37" s="1574" t="s">
        <v>8</v>
      </c>
      <c r="S37" s="1575">
        <f t="shared" si="10"/>
        <v>100</v>
      </c>
      <c r="T37" s="1574" t="s">
        <v>8</v>
      </c>
      <c r="U37" s="1575">
        <f t="shared" si="11"/>
        <v>100</v>
      </c>
      <c r="V37" s="1574" t="s">
        <v>8</v>
      </c>
      <c r="W37" s="1575">
        <f t="shared" si="12"/>
        <v>100</v>
      </c>
      <c r="X37" s="1568"/>
      <c r="Y37" s="3473"/>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73"/>
      <c r="Q38" s="1573" t="str">
        <f t="shared" si="14"/>
        <v>宗地开发程度</v>
      </c>
      <c r="R38" s="1569" t="s">
        <v>8</v>
      </c>
      <c r="S38" s="1570">
        <f t="shared" si="10"/>
        <v>100</v>
      </c>
      <c r="T38" s="1569" t="s">
        <v>8</v>
      </c>
      <c r="U38" s="1570">
        <f t="shared" si="11"/>
        <v>100</v>
      </c>
      <c r="V38" s="1569" t="s">
        <v>8</v>
      </c>
      <c r="W38" s="1570">
        <f t="shared" si="12"/>
        <v>100</v>
      </c>
      <c r="X38" s="1571"/>
      <c r="Y38" s="347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73" t="s">
        <v>601</v>
      </c>
      <c r="Q39" s="1573" t="str">
        <f t="shared" si="14"/>
        <v>工程地质条件</v>
      </c>
      <c r="R39" s="1574" t="s">
        <v>8</v>
      </c>
      <c r="S39" s="1575">
        <f t="shared" si="10"/>
        <v>100</v>
      </c>
      <c r="T39" s="1574" t="s">
        <v>8</v>
      </c>
      <c r="U39" s="1575">
        <f t="shared" si="11"/>
        <v>100</v>
      </c>
      <c r="V39" s="1574" t="s">
        <v>8</v>
      </c>
      <c r="W39" s="1575">
        <f t="shared" si="12"/>
        <v>100</v>
      </c>
      <c r="X39" s="1568"/>
      <c r="Y39" s="347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73"/>
      <c r="Q40" s="1573">
        <f t="shared" si="14"/>
        <v>111</v>
      </c>
      <c r="R40" s="1574" t="s">
        <v>8</v>
      </c>
      <c r="S40" s="1575">
        <f t="shared" si="10"/>
        <v>100</v>
      </c>
      <c r="T40" s="1574" t="s">
        <v>8</v>
      </c>
      <c r="U40" s="1575">
        <f t="shared" si="11"/>
        <v>100</v>
      </c>
      <c r="V40" s="1574" t="s">
        <v>8</v>
      </c>
      <c r="W40" s="1575">
        <f t="shared" si="12"/>
        <v>100</v>
      </c>
      <c r="X40" s="1568"/>
      <c r="Y40" s="347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73"/>
      <c r="Q41" s="1573">
        <f t="shared" si="14"/>
        <v>111</v>
      </c>
      <c r="R41" s="1574" t="s">
        <v>8</v>
      </c>
      <c r="S41" s="1575">
        <f t="shared" si="10"/>
        <v>100</v>
      </c>
      <c r="T41" s="1574" t="s">
        <v>8</v>
      </c>
      <c r="U41" s="1575">
        <f t="shared" si="11"/>
        <v>100</v>
      </c>
      <c r="V41" s="1574" t="s">
        <v>8</v>
      </c>
      <c r="W41" s="1575">
        <f t="shared" si="12"/>
        <v>100</v>
      </c>
      <c r="X41" s="1568"/>
      <c r="Y41" s="347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73"/>
      <c r="Q42" s="1573">
        <f t="shared" si="14"/>
        <v>111</v>
      </c>
      <c r="R42" s="1578" t="s">
        <v>8</v>
      </c>
      <c r="S42" s="1579">
        <f t="shared" si="10"/>
        <v>100</v>
      </c>
      <c r="T42" s="1578" t="s">
        <v>8</v>
      </c>
      <c r="U42" s="1579">
        <f t="shared" si="11"/>
        <v>100</v>
      </c>
      <c r="V42" s="1578" t="s">
        <v>8</v>
      </c>
      <c r="W42" s="1579">
        <f t="shared" si="12"/>
        <v>100</v>
      </c>
      <c r="X42" s="1580"/>
      <c r="Y42" s="3473"/>
      <c r="Z42" s="1581">
        <f t="shared" si="13"/>
        <v>111</v>
      </c>
      <c r="AA42" s="1577">
        <f t="shared" si="3"/>
        <v>1</v>
      </c>
      <c r="AB42" s="1577">
        <f t="shared" si="4"/>
        <v>1</v>
      </c>
      <c r="AC42" s="1577">
        <f t="shared" si="5"/>
        <v>1</v>
      </c>
    </row>
    <row r="43" spans="1:29" ht="15">
      <c r="A43" s="607" t="s">
        <v>556</v>
      </c>
      <c r="B43" s="608" t="s">
        <v>2938</v>
      </c>
      <c r="C43" s="609" t="s">
        <v>1</v>
      </c>
      <c r="D43" s="610"/>
      <c r="E43" s="611"/>
      <c r="F43" s="612"/>
      <c r="G43" s="613"/>
      <c r="H43" s="614"/>
      <c r="I43" s="611"/>
      <c r="J43" s="614"/>
      <c r="K43" s="1340"/>
      <c r="L43" s="2146"/>
      <c r="M43" s="2136"/>
      <c r="N43" s="2136"/>
      <c r="O43" s="2147"/>
      <c r="P43" s="3468" t="str">
        <f>A43</f>
        <v>成交单价</v>
      </c>
      <c r="Q43" s="3468"/>
      <c r="R43" s="3482">
        <f>E43</f>
        <v>0</v>
      </c>
      <c r="S43" s="3482"/>
      <c r="T43" s="3482">
        <f>G43</f>
        <v>0</v>
      </c>
      <c r="U43" s="3482"/>
      <c r="V43" s="3482">
        <f>I43</f>
        <v>0</v>
      </c>
      <c r="W43" s="3482"/>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468" t="str">
        <f>A44</f>
        <v>比较价格（元/平方米）</v>
      </c>
      <c r="Q44" s="3468"/>
      <c r="R44" s="3492" t="e">
        <f>ROUND(PRODUCT(R43,AA9:AA42),0)</f>
        <v>#DIV/0!</v>
      </c>
      <c r="S44" s="3492"/>
      <c r="T44" s="3492" t="e">
        <f>ROUND(PRODUCT(T43,AB9:AB42),0)</f>
        <v>#DIV/0!</v>
      </c>
      <c r="U44" s="3492"/>
      <c r="V44" s="3492" t="e">
        <f>ROUND(PRODUCT(V43,AC9:AC42),0)</f>
        <v>#DIV/0!</v>
      </c>
      <c r="W44" s="3492"/>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489" t="str">
        <f>A45</f>
        <v>估价对象XX用房的比较价格（楼面单价，元/平方米）</v>
      </c>
      <c r="Q45" s="3490"/>
      <c r="R45" s="3491" t="e">
        <f>ROUND(AVERAGE(R44:V44),0)</f>
        <v>#DIV/0!</v>
      </c>
      <c r="S45" s="3491"/>
      <c r="T45" s="3491"/>
      <c r="U45" s="3491"/>
      <c r="V45" s="3491"/>
      <c r="W45" s="3491"/>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93" t="s">
        <v>2287</v>
      </c>
      <c r="H52" s="3494"/>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57196.5</v>
      </c>
      <c r="F53" s="1952" t="e">
        <f t="shared" ref="F53:F62" si="15">ROUND(B53*E53/10000,0)</f>
        <v>#DIV/0!</v>
      </c>
      <c r="G53" s="3495"/>
      <c r="H53" s="3496"/>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97"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97"/>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97"/>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97"/>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130380.53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2018-11-1</v>
      </c>
      <c r="D65" s="2801">
        <f>EDATE(C65,-3)</f>
        <v>43313</v>
      </c>
      <c r="E65" s="2801">
        <f t="shared" ref="E65:N65" si="18">EDATE(D65,-3)</f>
        <v>43221</v>
      </c>
      <c r="F65" s="2801">
        <f t="shared" si="18"/>
        <v>43132</v>
      </c>
      <c r="G65" s="2801">
        <f t="shared" si="18"/>
        <v>43040</v>
      </c>
      <c r="H65" s="2801">
        <f t="shared" si="18"/>
        <v>42948</v>
      </c>
      <c r="I65" s="2801">
        <f t="shared" si="18"/>
        <v>42856</v>
      </c>
      <c r="J65" s="2801">
        <f t="shared" si="18"/>
        <v>42767</v>
      </c>
      <c r="K65" s="2801">
        <f t="shared" si="18"/>
        <v>42675</v>
      </c>
      <c r="L65" s="2801">
        <f t="shared" si="18"/>
        <v>42583</v>
      </c>
      <c r="M65" s="2801">
        <f t="shared" si="18"/>
        <v>42491</v>
      </c>
      <c r="N65" s="2801">
        <f t="shared" si="18"/>
        <v>42401</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23" sqref="K23"/>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130380.53</v>
      </c>
      <c r="E1" s="1407" t="s">
        <v>2430</v>
      </c>
      <c r="F1" s="2454">
        <f>项目基本情况!C22</f>
        <v>130380.53</v>
      </c>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8" t="s">
        <v>2764</v>
      </c>
      <c r="S1" s="2938" t="s">
        <v>2765</v>
      </c>
      <c r="T1" s="2938" t="s">
        <v>2786</v>
      </c>
      <c r="U1" s="2938" t="s">
        <v>2787</v>
      </c>
      <c r="V1" s="2938" t="s">
        <v>2788</v>
      </c>
      <c r="W1" s="2191"/>
      <c r="X1" s="2191"/>
      <c r="Y1" s="2191"/>
      <c r="Z1" s="2191"/>
      <c r="AA1" s="2191"/>
      <c r="AB1" s="2191"/>
      <c r="AC1" s="2192"/>
    </row>
    <row r="2" spans="1:39" ht="15.75">
      <c r="A2" s="1407" t="s">
        <v>920</v>
      </c>
      <c r="B2" s="1038">
        <f ca="1">C26</f>
        <v>53912</v>
      </c>
      <c r="C2" s="1408" t="s">
        <v>921</v>
      </c>
      <c r="D2" s="1409" t="s">
        <v>922</v>
      </c>
      <c r="E2" s="1410" t="s">
        <v>982</v>
      </c>
      <c r="F2" s="1409" t="s">
        <v>924</v>
      </c>
      <c r="G2" s="1653" t="str">
        <f>IF(E2="商业",项目基本情况!B43,IF(E2="办公",项目基本情况!C43,IF(E2="住宅",项目基本情况!D43,项目基本情况!E43)))</f>
        <v>五级</v>
      </c>
      <c r="H2" s="1409" t="s">
        <v>926</v>
      </c>
      <c r="I2" s="1654" t="str">
        <f>IF(E2="商业",项目基本情况!B44,IF(E2="办公",项目基本情况!C44,IF(E2="住宅",项目基本情况!D44,项目基本情况!E44)))</f>
        <v>Ⅴ-01</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1.8629</v>
      </c>
      <c r="T2" s="2939">
        <f ca="1">ROUND($C$5*$C$18*$C$19*$C$20*S2*$C$24,0)</f>
        <v>6411</v>
      </c>
      <c r="U2" s="2928"/>
      <c r="V2" s="2939">
        <f ca="1">ROUND(T2*U2/10000,0)</f>
        <v>0</v>
      </c>
      <c r="W2" s="2191"/>
      <c r="X2" s="2191"/>
      <c r="Y2" s="2191"/>
      <c r="Z2" s="2191"/>
      <c r="AA2" s="2191"/>
      <c r="AB2" s="2191"/>
      <c r="AC2" s="2192"/>
    </row>
    <row r="3" spans="1:39" ht="15.75">
      <c r="A3" s="1412" t="s">
        <v>1688</v>
      </c>
      <c r="B3" s="1038">
        <f ca="1">ROUND(B2*10000/D1,0)</f>
        <v>4135</v>
      </c>
      <c r="C3" s="1408" t="s">
        <v>927</v>
      </c>
      <c r="D3" s="1409" t="s">
        <v>928</v>
      </c>
      <c r="E3" s="1413" t="s">
        <v>3031</v>
      </c>
      <c r="F3" s="1414" t="s">
        <v>3030</v>
      </c>
      <c r="G3" s="1039">
        <f>IF(F3="宗地容积率",'数据-汇总表'!I4,IF(F3="估价对象容积率",'数据-汇总表'!I6,'数据-汇总表'!I7))</f>
        <v>1</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1.3371999999999999</v>
      </c>
      <c r="T3" s="2939">
        <f t="shared" ref="T3:T16" ca="1" si="0">ROUND($C$5*$C$18*$C$19*$C$20*S3*$C$24,0)</f>
        <v>4602</v>
      </c>
      <c r="U3" s="2928"/>
      <c r="V3" s="2939">
        <f t="shared" ref="V3:V16" ca="1" si="1">ROUND(T3*U3/10000,0)</f>
        <v>0</v>
      </c>
      <c r="W3" s="2191"/>
      <c r="X3" s="2191"/>
      <c r="Y3" s="2191"/>
      <c r="Z3" s="2191"/>
      <c r="AA3" s="2191"/>
      <c r="AB3" s="2191"/>
      <c r="AC3" s="2192"/>
    </row>
    <row r="4" spans="1:39" ht="28.5">
      <c r="A4" s="1893" t="s">
        <v>2283</v>
      </c>
      <c r="B4" s="2455">
        <f ca="1">ROUND(B2*10000/F1,0)</f>
        <v>4135</v>
      </c>
      <c r="C4" s="1896" t="s">
        <v>2257</v>
      </c>
      <c r="D4" s="1896">
        <f ca="1">ROUND(B2/(F1/666.67),0)</f>
        <v>276</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1.0788</v>
      </c>
      <c r="T4" s="2939">
        <f t="shared" ca="1" si="0"/>
        <v>3712</v>
      </c>
      <c r="U4" s="2928"/>
      <c r="V4" s="2939">
        <f t="shared" ca="1" si="1"/>
        <v>0</v>
      </c>
      <c r="W4" s="2191"/>
      <c r="X4" s="2191"/>
      <c r="Y4" s="2191"/>
      <c r="Z4" s="2191"/>
      <c r="AA4" s="2191"/>
      <c r="AB4" s="2191"/>
      <c r="AC4" s="2192"/>
    </row>
    <row r="5" spans="1:39" s="1422" customFormat="1" ht="15.75" thickBot="1">
      <c r="A5" s="1639" t="s">
        <v>1824</v>
      </c>
      <c r="B5" s="1416" t="s">
        <v>931</v>
      </c>
      <c r="C5" s="1041">
        <f>ROUND(IF(E2="商业",IF(F16="增加",C6*C7+C16,C6*C7-C16),IF(E2="住宅",IF(F16="增加",C6*C12+C16,C6*C12-C16),IF(F16="增加",C6+C16,C6-C16))),0)</f>
        <v>2967</v>
      </c>
      <c r="D5" s="3123">
        <f>ROUND(IF(E2="商业",IF(F16="增加",C6+C16,C6-C16)),0)</f>
        <v>0</v>
      </c>
      <c r="E5" s="1417"/>
      <c r="F5" s="1417"/>
      <c r="G5" s="1418"/>
      <c r="H5" s="1418"/>
      <c r="I5" s="1418"/>
      <c r="J5" s="1419"/>
      <c r="K5" s="1595"/>
      <c r="L5" s="1887" t="s">
        <v>2245</v>
      </c>
      <c r="M5" s="1888">
        <f>SUMPRODUCT((区片价!B76:B109=I2)*(区片价!C3:F3=E2)*(区片价!C76:F109))</f>
        <v>3060</v>
      </c>
      <c r="N5" s="1889">
        <f>SUMPRODUCT((因素修正幅度!B76:B109=I2)*(因素修正幅度!C3:F3=E2)*(因素修正幅度!C76:F109))</f>
        <v>0.1</v>
      </c>
      <c r="O5" s="2191"/>
      <c r="P5" s="2191"/>
      <c r="Q5" s="2191"/>
      <c r="R5" s="2939">
        <v>4</v>
      </c>
      <c r="S5" s="2939">
        <f>ROUND(IF(G3&gt;1,IF(R5&lt;7,SUMPRODUCT((B93:B98=R5)*(C92:N92=G2)*(C93:N98)),SUMIF(C92:N92,G2,C100:N100)),IF(R5&lt;7,SUMPRODUCT((B102:B107=R5)*(C92:N92=G2)*(C102:N107)),SUMIF(C92:N92,G2,C109:N109))),4)</f>
        <v>0.86560000000000004</v>
      </c>
      <c r="T5" s="2939">
        <f t="shared" ca="1" si="0"/>
        <v>2979</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3060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0.73709999999999998</v>
      </c>
      <c r="T6" s="2939">
        <f t="shared" ca="1" si="0"/>
        <v>2537</v>
      </c>
      <c r="U6" s="2928"/>
      <c r="V6" s="2939">
        <f t="shared" ca="1" si="1"/>
        <v>0</v>
      </c>
      <c r="W6" s="2191"/>
      <c r="X6" s="2191"/>
      <c r="Y6" s="2191"/>
      <c r="Z6" s="2191"/>
      <c r="AA6" s="2191"/>
      <c r="AB6" s="2191"/>
      <c r="AC6" s="2193"/>
      <c r="AD6" s="1420"/>
      <c r="AE6" s="1420"/>
      <c r="AF6" s="1420"/>
      <c r="AG6" s="1420"/>
      <c r="AH6" s="1420"/>
      <c r="AI6" s="1420"/>
      <c r="AJ6" s="1421"/>
    </row>
    <row r="7" spans="1:39" ht="24">
      <c r="A7" s="3505"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0.6482</v>
      </c>
      <c r="T7" s="2939">
        <f t="shared" ca="1" si="0"/>
        <v>2231</v>
      </c>
      <c r="U7" s="2928"/>
      <c r="V7" s="2939">
        <f t="shared" ca="1" si="1"/>
        <v>0</v>
      </c>
      <c r="W7" s="2937" t="s">
        <v>2767</v>
      </c>
      <c r="X7" s="2929" t="str">
        <f>G2</f>
        <v>五级</v>
      </c>
      <c r="Y7" s="2929" t="s">
        <v>2768</v>
      </c>
      <c r="Z7" s="2930">
        <f>G3</f>
        <v>1</v>
      </c>
      <c r="AA7" s="2194"/>
      <c r="AB7" s="2194"/>
      <c r="AC7" s="2195"/>
      <c r="AD7" s="2931"/>
      <c r="AE7" s="2931"/>
      <c r="AF7" s="2931"/>
      <c r="AG7" s="2931"/>
      <c r="AH7" s="2931"/>
      <c r="AI7" s="2931"/>
      <c r="AJ7" s="2932"/>
    </row>
    <row r="8" spans="1:39" ht="15">
      <c r="A8" s="3506"/>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515" t="s">
        <v>2785</v>
      </c>
      <c r="X8" s="3516"/>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506"/>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9">
        <v>8</v>
      </c>
      <c r="S9" s="2928"/>
      <c r="T9" s="2939">
        <f t="shared" ca="1" si="0"/>
        <v>0</v>
      </c>
      <c r="U9" s="2928"/>
      <c r="V9" s="2939">
        <f t="shared" ca="1" si="1"/>
        <v>0</v>
      </c>
      <c r="W9" s="3514" t="s">
        <v>2781</v>
      </c>
      <c r="X9" s="2933" t="s">
        <v>2782</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506"/>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514"/>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506"/>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514" t="s">
        <v>2783</v>
      </c>
      <c r="X11" s="1048" t="s">
        <v>2768</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505"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514"/>
      <c r="X12" s="2936" t="s">
        <v>2784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07"/>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f t="shared" ca="1" si="0"/>
        <v>0</v>
      </c>
      <c r="U13" s="2928"/>
      <c r="V13" s="2939">
        <f t="shared" ca="1" si="1"/>
        <v>0</v>
      </c>
      <c r="W13" s="3514"/>
      <c r="X13" s="2936"/>
      <c r="Y13" s="2935">
        <f>(-0.163*(Y12^2)-0.59*Y12+7617)*(10^(-4))/Y11</f>
        <v>0.76170000000000004</v>
      </c>
      <c r="Z13" s="2935">
        <f t="shared" ref="Z13:AJ13" si="5">(-0.163*(Z12^2)-0.59*Z12+7617)*(10^(-4))/Z11</f>
        <v>0.76170000000000004</v>
      </c>
      <c r="AA13" s="2935">
        <f t="shared" si="5"/>
        <v>0.76170000000000004</v>
      </c>
      <c r="AB13" s="2935">
        <f t="shared" si="5"/>
        <v>0.76170000000000004</v>
      </c>
      <c r="AC13" s="2935">
        <f t="shared" si="5"/>
        <v>0.76170000000000004</v>
      </c>
      <c r="AD13" s="2935">
        <f t="shared" si="5"/>
        <v>0.76170000000000004</v>
      </c>
      <c r="AE13" s="2935">
        <f t="shared" si="5"/>
        <v>0.76170000000000004</v>
      </c>
      <c r="AF13" s="2935">
        <f t="shared" si="5"/>
        <v>0.76170000000000004</v>
      </c>
      <c r="AG13" s="2935">
        <f t="shared" si="5"/>
        <v>0.76170000000000004</v>
      </c>
      <c r="AH13" s="2935">
        <f t="shared" si="5"/>
        <v>0.76170000000000004</v>
      </c>
      <c r="AI13" s="2935">
        <f t="shared" si="5"/>
        <v>0.76170000000000004</v>
      </c>
      <c r="AJ13" s="2935">
        <f t="shared" si="5"/>
        <v>0.76170000000000004</v>
      </c>
    </row>
    <row r="14" spans="1:39" ht="12.75" customHeight="1" thickBot="1">
      <c r="A14" s="3507"/>
      <c r="B14" s="1452"/>
      <c r="C14" s="1453"/>
      <c r="D14" s="1454"/>
      <c r="E14" s="1454"/>
      <c r="F14" s="1455"/>
      <c r="G14" s="1456" t="s">
        <v>949</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08"/>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f t="shared" ca="1" si="0"/>
        <v>0</v>
      </c>
      <c r="U15" s="2928"/>
      <c r="V15" s="2939">
        <f t="shared" ca="1" si="1"/>
        <v>0</v>
      </c>
      <c r="W15" s="2191"/>
      <c r="X15" s="2191"/>
      <c r="Y15" s="2191"/>
      <c r="Z15" s="2191"/>
      <c r="AA15" s="2191"/>
      <c r="AB15" s="2191"/>
      <c r="AC15" s="2192"/>
    </row>
    <row r="16" spans="1:39" ht="24">
      <c r="A16" s="3505" t="s">
        <v>1839</v>
      </c>
      <c r="B16" s="1428" t="s">
        <v>950</v>
      </c>
      <c r="C16" s="1054">
        <f>ROUND(SUM(G17:J17)/C17,0)</f>
        <v>93</v>
      </c>
      <c r="D16" s="1461" t="s">
        <v>951</v>
      </c>
      <c r="E16" s="1462" t="s">
        <v>3032</v>
      </c>
      <c r="F16" s="1463" t="s">
        <v>3033</v>
      </c>
      <c r="G16" s="1464" t="s">
        <v>3034</v>
      </c>
      <c r="H16" s="1464" t="s">
        <v>3035</v>
      </c>
      <c r="I16" s="1464" t="s">
        <v>3036</v>
      </c>
      <c r="J16" s="1464" t="s">
        <v>3037</v>
      </c>
      <c r="K16" s="1402"/>
      <c r="L16" s="1465" t="s">
        <v>988</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506"/>
      <c r="B17" s="1466" t="s">
        <v>953</v>
      </c>
      <c r="C17" s="1055">
        <f>SUMPRODUCT((修正!A2:A5=E2)*(修正!B1:M1=G2)*(修正!B2:M5))</f>
        <v>1.5</v>
      </c>
      <c r="D17" s="1468" t="s">
        <v>954</v>
      </c>
      <c r="E17" s="1469" t="str">
        <f>IF(OR(G2="八级",G2="九级",G2="十级",G2="十一级",G2="十二级"),"五通一平","七通一平")</f>
        <v>七通一平</v>
      </c>
      <c r="F17" s="1467" t="s">
        <v>955</v>
      </c>
      <c r="G17" s="1055">
        <f>SUMPRODUCT((七通一平=G16)*(修正!B1:M1=G2)*(修正!B6:M14))</f>
        <v>35</v>
      </c>
      <c r="H17" s="1055">
        <f>SUMPRODUCT((七通一平=H16)*(修正!B1:M1=G2)*(修正!B6:M14))</f>
        <v>50</v>
      </c>
      <c r="I17" s="1055">
        <f>SUMPRODUCT((七通一平=I16)*(修正!B1:M1=G2)*(修正!B6:M14))</f>
        <v>40</v>
      </c>
      <c r="J17" s="1056">
        <f>SUMPRODUCT((七通一平=J16)*(修正!B1:M1=G2)*(修正!B6:M14))</f>
        <v>15</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ROUND(IF(H19="按公示增长率计算",SUMPRODUCT((地价!A3:A24=YEAR(G19)&amp;"-"&amp;ROUNDUP(MONTH(G19)/3,0))*(地价!X2:AB2=E2)*(地价!X3:AB24)),IF(H19="地价指数",M20/M19,(1+I19)^O19)),4)</f>
        <v>1.3265</v>
      </c>
      <c r="D19" s="1475" t="s">
        <v>958</v>
      </c>
      <c r="E19" s="1058">
        <v>41640</v>
      </c>
      <c r="F19" s="1475" t="s">
        <v>959</v>
      </c>
      <c r="G19" s="1059">
        <f>'数据-取费表'!B2</f>
        <v>43410</v>
      </c>
      <c r="H19" s="1476" t="s">
        <v>3183</v>
      </c>
      <c r="I19" s="2786" t="str">
        <f>IF(H19="季度增幅（自定义）",SUMIF(N21:N24,E2,O21:O24),"")</f>
        <v/>
      </c>
      <c r="J19" s="1472"/>
      <c r="K19" s="1482"/>
      <c r="L19" s="3042" t="s">
        <v>2843</v>
      </c>
      <c r="M19" s="3043">
        <f>ROUND(SUMIF(地价!B2:F2,E2,地价!B24:F24),0)</f>
        <v>230</v>
      </c>
      <c r="N19" s="2788" t="s">
        <v>1677</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f ca="1">ROUND(POWER(1+G20,J20-I20)*(POWER(1+G20,I20)-1)/(POWER(1+G20,J20)-1),4)</f>
        <v>0.85470000000000002</v>
      </c>
      <c r="D20" s="2783" t="s">
        <v>973</v>
      </c>
      <c r="E20" s="3098">
        <f ca="1">存贷款利率!I4/100</f>
        <v>4.3499999999999997E-2</v>
      </c>
      <c r="F20" s="2783" t="s">
        <v>974</v>
      </c>
      <c r="G20" s="2784">
        <f ca="1">SUMIF(M15:P15,E2,M17:P17)</f>
        <v>4.8000000000000001E-2</v>
      </c>
      <c r="H20" s="2783" t="s">
        <v>975</v>
      </c>
      <c r="I20" s="2773">
        <f>SUMIF('数据-取费表'!C6:C15,E2,'数据-取费表'!F6:F15)/COUNTIF('数据-取费表'!C6:C15,E2)</f>
        <v>31.6</v>
      </c>
      <c r="J20" s="2785">
        <f>IF(E2="住宅",70,IF(E2="商业",40,50))</f>
        <v>50</v>
      </c>
      <c r="K20" s="1482"/>
      <c r="L20" s="3044" t="s">
        <v>2844</v>
      </c>
      <c r="M20" s="3045">
        <f>ROUND(SUMPRODUCT((地价!A4:A24=YEAR(G19)&amp;"-"&amp;ROUNDUP(MONTH(G19)/3,0))*(地价!B2:F2=E2)*(地价!B4:F24)),0)</f>
        <v>301</v>
      </c>
      <c r="N20" s="2791" t="s">
        <v>2648</v>
      </c>
      <c r="O20" s="2789" t="s">
        <v>2647</v>
      </c>
      <c r="P20" s="2790" t="s">
        <v>2653</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3038</v>
      </c>
      <c r="C21" s="1158">
        <f>IF(B21="容积率修正",IF(G3&lt;=10,D22,J22),C23)</f>
        <v>1.2015</v>
      </c>
      <c r="D21" s="1482"/>
      <c r="E21" s="1482"/>
      <c r="F21" s="1482"/>
      <c r="G21" s="1482"/>
      <c r="H21" s="1482"/>
      <c r="I21" s="1482"/>
      <c r="J21" s="1483"/>
      <c r="K21" s="1482"/>
      <c r="L21" s="1482"/>
      <c r="M21" s="1482"/>
      <c r="N21" s="1479" t="s">
        <v>976</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1.2015</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1.2015</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1.2015</v>
      </c>
      <c r="I22" s="1060" t="s">
        <v>978</v>
      </c>
      <c r="J22" s="1060" t="str">
        <f>IF(G3&gt;10,D113,"——")</f>
        <v>——</v>
      </c>
      <c r="K22" s="1482"/>
      <c r="L22" s="1482"/>
      <c r="M22" s="1482"/>
      <c r="N22" s="1479" t="s">
        <v>979</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0.64629999999999999</v>
      </c>
      <c r="D23" s="1531"/>
      <c r="E23" s="1531"/>
      <c r="F23" s="1532"/>
      <c r="G23" s="1533"/>
      <c r="H23" s="1534"/>
      <c r="I23" s="1535"/>
      <c r="J23" s="1535"/>
      <c r="K23" s="1402"/>
      <c r="L23" s="1402"/>
      <c r="M23" s="1402"/>
      <c r="N23" s="1479" t="s">
        <v>923</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1.0229999999999999</v>
      </c>
      <c r="D24" s="1536"/>
      <c r="E24" s="1537"/>
      <c r="F24" s="1537"/>
      <c r="G24" s="1537"/>
      <c r="H24" s="1537"/>
      <c r="I24" s="1537"/>
      <c r="J24" s="1537"/>
      <c r="K24" s="1482"/>
      <c r="L24" s="1482"/>
      <c r="M24" s="1482"/>
      <c r="N24" s="1485" t="s">
        <v>982</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987</v>
      </c>
      <c r="C26" s="1063">
        <f ca="1">E29+SUM(E33:E39)</f>
        <v>53912</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f ca="1">ROUND(C5*C18*C19*C20*C21*C24,0)</f>
        <v>4135</v>
      </c>
      <c r="D29" s="1505">
        <f>'数据-汇总表'!D3</f>
        <v>130380.53</v>
      </c>
      <c r="E29" s="1851">
        <f ca="1">ROUND(C29*D29/10000,0)</f>
        <v>53912</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f ca="1">ROUND(IF(E2="工业",C29*M39,C29*M38),0)</f>
        <v>620</v>
      </c>
      <c r="D30" s="1511"/>
      <c r="E30" s="1851">
        <f ca="1">ROUND(C30*D30/10000,0)</f>
        <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11" t="s">
        <v>2965</v>
      </c>
      <c r="B33" s="1525" t="s">
        <v>1000</v>
      </c>
      <c r="C33" s="1063">
        <f ca="1">ROUND(D5*C19*C20*C24*F33,0)</f>
        <v>0</v>
      </c>
      <c r="D33" s="1538"/>
      <c r="E33" s="1048">
        <f ca="1">ROUND(C33*D33/10000,0)</f>
        <v>0</v>
      </c>
      <c r="F33" s="1048">
        <f>SUMIF(修正!A45:A56,G2,修正!B45:B56)</f>
        <v>0.7</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12"/>
      <c r="B34" s="1446" t="s">
        <v>1001</v>
      </c>
      <c r="C34" s="1063">
        <f ca="1">ROUND(D5*C19*C20*C24*F34,0)</f>
        <v>0</v>
      </c>
      <c r="D34" s="1538"/>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12"/>
      <c r="B35" s="1446" t="s">
        <v>1002</v>
      </c>
      <c r="C35" s="1063">
        <f ca="1">ROUND(D5*C19*C20*C24*F35,0)</f>
        <v>0</v>
      </c>
      <c r="D35" s="1538"/>
      <c r="E35" s="1048">
        <f t="shared" ca="1" si="7"/>
        <v>0</v>
      </c>
      <c r="F35" s="1048">
        <f>SUMIF(修正!A45:A56,G2,修正!D45:D56)</f>
        <v>0.28000000000000003</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13"/>
      <c r="B36" s="1446" t="s">
        <v>1003</v>
      </c>
      <c r="C36" s="1063">
        <f ca="1">ROUND(D5*C19*C20*C24*F36,0)</f>
        <v>0</v>
      </c>
      <c r="D36" s="1538"/>
      <c r="E36" s="1048">
        <f t="shared" ca="1" si="7"/>
        <v>0</v>
      </c>
      <c r="F36" s="1048">
        <f>SUMIF(修正!A45:A56,G2,修正!E45:E56)</f>
        <v>0.25</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f ca="1">ROUND(C5*C19*C20*C24*F37,0)</f>
        <v>860</v>
      </c>
      <c r="D37" s="1538"/>
      <c r="E37" s="1048">
        <f t="shared" ca="1" si="7"/>
        <v>0</v>
      </c>
      <c r="F37" s="1063">
        <f>SUMIF(修正!A45:A56,G2,修正!F45:F56)</f>
        <v>0.25</v>
      </c>
      <c r="G37" s="1048">
        <f ca="1">ROUND(IF(E2="工业",C37*$M$39,C37*$M$38),0)</f>
        <v>129</v>
      </c>
      <c r="H37" s="1048">
        <f t="shared" si="8"/>
        <v>0</v>
      </c>
      <c r="I37" s="1048">
        <f t="shared" ca="1" si="9"/>
        <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f ca="1">ROUND(C5*C19*C20*C24*F38,0)</f>
        <v>860</v>
      </c>
      <c r="D38" s="1538"/>
      <c r="E38" s="1048">
        <f t="shared" ca="1" si="7"/>
        <v>0</v>
      </c>
      <c r="F38" s="1063">
        <f>SUMIF(修正!A45:A56,G2,修正!G45:G56)</f>
        <v>0.25</v>
      </c>
      <c r="G38" s="1048">
        <f ca="1">ROUND(IF(E2="工业",C38*$M$39,C38*$M$38),0)</f>
        <v>129</v>
      </c>
      <c r="H38" s="1048">
        <f t="shared" si="8"/>
        <v>0</v>
      </c>
      <c r="I38" s="1048">
        <f t="shared" ca="1" si="9"/>
        <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f ca="1">ROUND(C5*C19*C20*C24*F39,0)</f>
        <v>688</v>
      </c>
      <c r="D39" s="1539"/>
      <c r="E39" s="1051">
        <f t="shared" ca="1" si="7"/>
        <v>0</v>
      </c>
      <c r="F39" s="1065">
        <f>SUMIF(修正!A45:A56,G2,修正!H45:H56)</f>
        <v>0.2</v>
      </c>
      <c r="G39" s="1051">
        <f ca="1">ROUND(IF(E2="工业",C39*$M$39,C39*$M$38),0)</f>
        <v>103</v>
      </c>
      <c r="H39" s="1051">
        <f t="shared" si="8"/>
        <v>0</v>
      </c>
      <c r="I39" s="1051">
        <f t="shared" ca="1" si="9"/>
        <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1024</v>
      </c>
      <c r="B50" s="3100" t="s">
        <v>2941</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1026</v>
      </c>
      <c r="B52" s="3099" t="s">
        <v>2940</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hidden="1">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hidden="1">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hidden="1">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hidden="1">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hidden="1">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hidden="1">
      <c r="A61" s="1067" t="s">
        <v>1024</v>
      </c>
      <c r="B61" s="3100" t="s">
        <v>2942</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hidden="1">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hidden="1">
      <c r="A63" s="1067" t="s">
        <v>1026</v>
      </c>
      <c r="B63" s="3099" t="s">
        <v>2940</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hidden="1">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hidden="1">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hidden="1"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hidden="1">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hidden="1">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hidden="1">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hidden="1">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hidden="1">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hidden="1">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hidden="1">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hidden="1">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hidden="1">
      <c r="A75" s="1067" t="s">
        <v>1026</v>
      </c>
      <c r="B75" s="3099" t="s">
        <v>2940</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hidden="1">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hidden="1"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1.0229999999999999</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t="s">
        <v>3040</v>
      </c>
      <c r="D80" s="2419">
        <f t="shared" ref="D80:D87" si="25">SUMIF($J$79:$N$79,C80,J80:N80)</f>
        <v>1.2999999999999999E-2</v>
      </c>
      <c r="E80" s="2438">
        <f>ROUND(SUM(D80:D87),4)</f>
        <v>2.3E-2</v>
      </c>
      <c r="F80" s="2439">
        <f>IF(E2="工业",SUMIF(L1:L12,G2,N1:N12),"——")</f>
        <v>0.1</v>
      </c>
      <c r="G80" s="2417">
        <v>1.2999999999999999E-2</v>
      </c>
      <c r="H80" s="2463">
        <f t="shared" ref="H80:H87" si="26">IFERROR(ROUNDDOWN($F$80*I80/2,4),"——")</f>
        <v>1.2999999999999999E-2</v>
      </c>
      <c r="I80" s="2437">
        <v>0.26</v>
      </c>
      <c r="J80" s="2440">
        <f t="shared" ref="J80:J87" si="27">K80+$G80</f>
        <v>2.5999999999999999E-2</v>
      </c>
      <c r="K80" s="2440">
        <f t="shared" ref="K80:K87" si="28">$L80+$G80</f>
        <v>1.2999999999999999E-2</v>
      </c>
      <c r="L80" s="2440">
        <v>0</v>
      </c>
      <c r="M80" s="2440">
        <f t="shared" ref="M80:N87" si="29">L80-$G80</f>
        <v>-1.2999999999999999E-2</v>
      </c>
      <c r="N80" s="2440">
        <f t="shared" si="29"/>
        <v>-2.5999999999999999E-2</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t="s">
        <v>3040</v>
      </c>
      <c r="D81" s="2419">
        <f t="shared" si="25"/>
        <v>1.6500000000000001E-2</v>
      </c>
      <c r="E81" s="2447"/>
      <c r="F81" s="2448"/>
      <c r="G81" s="2417">
        <v>1.6500000000000001E-2</v>
      </c>
      <c r="H81" s="2463">
        <f t="shared" si="26"/>
        <v>1.6500000000000001E-2</v>
      </c>
      <c r="I81" s="2437">
        <v>0.33</v>
      </c>
      <c r="J81" s="2440">
        <f t="shared" si="27"/>
        <v>3.3000000000000002E-2</v>
      </c>
      <c r="K81" s="2440">
        <f t="shared" si="28"/>
        <v>1.6500000000000001E-2</v>
      </c>
      <c r="L81" s="2440">
        <v>0</v>
      </c>
      <c r="M81" s="2440">
        <f t="shared" si="29"/>
        <v>-1.6500000000000001E-2</v>
      </c>
      <c r="N81" s="2440">
        <f t="shared" si="29"/>
        <v>-3.3000000000000002E-2</v>
      </c>
      <c r="AC81" s="1406"/>
      <c r="AD81" s="1405"/>
      <c r="AJ81" s="1404"/>
      <c r="AN81" s="1405"/>
    </row>
    <row r="82" spans="1:40" ht="24">
      <c r="A82" s="1067" t="s">
        <v>1023</v>
      </c>
      <c r="B82" s="2410">
        <f>估价对象房地状况!G17</f>
        <v>0</v>
      </c>
      <c r="C82" s="1050" t="s">
        <v>3040</v>
      </c>
      <c r="D82" s="2419">
        <f t="shared" si="25"/>
        <v>2.5000000000000001E-3</v>
      </c>
      <c r="E82" s="2447"/>
      <c r="F82" s="2448"/>
      <c r="G82" s="2417">
        <v>2.5000000000000001E-3</v>
      </c>
      <c r="H82" s="2463">
        <f t="shared" si="26"/>
        <v>2.5000000000000001E-3</v>
      </c>
      <c r="I82" s="2437">
        <v>0.05</v>
      </c>
      <c r="J82" s="2440">
        <f t="shared" si="27"/>
        <v>5.0000000000000001E-3</v>
      </c>
      <c r="K82" s="2440">
        <f t="shared" si="28"/>
        <v>2.5000000000000001E-3</v>
      </c>
      <c r="L82" s="2440">
        <v>0</v>
      </c>
      <c r="M82" s="2440">
        <f t="shared" si="29"/>
        <v>-2.5000000000000001E-3</v>
      </c>
      <c r="N82" s="2440">
        <f t="shared" si="29"/>
        <v>-5.0000000000000001E-3</v>
      </c>
      <c r="AC82" s="1406"/>
      <c r="AD82" s="1405"/>
      <c r="AJ82" s="1404"/>
      <c r="AN82" s="1405"/>
    </row>
    <row r="83" spans="1:40" ht="14.25">
      <c r="A83" s="1067" t="s">
        <v>1035</v>
      </c>
      <c r="B83" s="2410">
        <f>估价对象房地状况!G22</f>
        <v>0</v>
      </c>
      <c r="C83" s="1050" t="s">
        <v>3039</v>
      </c>
      <c r="D83" s="2419">
        <f t="shared" si="25"/>
        <v>0</v>
      </c>
      <c r="E83" s="2447"/>
      <c r="F83" s="2448"/>
      <c r="G83" s="2417">
        <v>2E-3</v>
      </c>
      <c r="H83" s="2463">
        <f t="shared" si="26"/>
        <v>2E-3</v>
      </c>
      <c r="I83" s="2437">
        <v>0.04</v>
      </c>
      <c r="J83" s="2440">
        <f t="shared" si="27"/>
        <v>4.0000000000000001E-3</v>
      </c>
      <c r="K83" s="2440">
        <f t="shared" si="28"/>
        <v>2E-3</v>
      </c>
      <c r="L83" s="2440">
        <v>0</v>
      </c>
      <c r="M83" s="2440">
        <f t="shared" si="29"/>
        <v>-2E-3</v>
      </c>
      <c r="N83" s="2440">
        <f t="shared" si="29"/>
        <v>-4.0000000000000001E-3</v>
      </c>
      <c r="AC83" s="1406"/>
      <c r="AD83" s="1405"/>
      <c r="AJ83" s="1404"/>
      <c r="AN83" s="1405"/>
    </row>
    <row r="84" spans="1:40" ht="24">
      <c r="A84" s="1067" t="s">
        <v>1027</v>
      </c>
      <c r="B84" s="2411" t="str">
        <f>估价对象房地状况!G19</f>
        <v>估价对象所在区域公共配套设施齐备情况</v>
      </c>
      <c r="C84" s="1050" t="s">
        <v>3040</v>
      </c>
      <c r="D84" s="2419">
        <f t="shared" si="25"/>
        <v>3.0000000000000001E-3</v>
      </c>
      <c r="E84" s="2447"/>
      <c r="F84" s="2448"/>
      <c r="G84" s="2417">
        <v>3.0000000000000001E-3</v>
      </c>
      <c r="H84" s="2463">
        <f t="shared" si="26"/>
        <v>3.0000000000000001E-3</v>
      </c>
      <c r="I84" s="2437">
        <v>0.06</v>
      </c>
      <c r="J84" s="2440">
        <f t="shared" si="27"/>
        <v>6.0000000000000001E-3</v>
      </c>
      <c r="K84" s="2440">
        <f t="shared" si="28"/>
        <v>3.0000000000000001E-3</v>
      </c>
      <c r="L84" s="2440">
        <v>0</v>
      </c>
      <c r="M84" s="2440">
        <f t="shared" si="29"/>
        <v>-3.0000000000000001E-3</v>
      </c>
      <c r="N84" s="2440">
        <f t="shared" si="29"/>
        <v>-6.0000000000000001E-3</v>
      </c>
      <c r="AC84" s="1406"/>
      <c r="AD84" s="1405"/>
      <c r="AJ84" s="1404"/>
      <c r="AN84" s="1405"/>
    </row>
    <row r="85" spans="1:40" ht="24">
      <c r="A85" s="1067" t="s">
        <v>1028</v>
      </c>
      <c r="B85" s="2411" t="str">
        <f>估价对象房地状况!G20</f>
        <v>估价对象所在区域基础设施水平</v>
      </c>
      <c r="C85" s="1050" t="s">
        <v>3041</v>
      </c>
      <c r="D85" s="2419">
        <f t="shared" si="25"/>
        <v>-1.4999999999999999E-2</v>
      </c>
      <c r="E85" s="2447"/>
      <c r="F85" s="2448"/>
      <c r="G85" s="2417">
        <v>7.4999999999999997E-3</v>
      </c>
      <c r="H85" s="2463">
        <f t="shared" si="26"/>
        <v>7.4999999999999997E-3</v>
      </c>
      <c r="I85" s="2437">
        <v>0.15</v>
      </c>
      <c r="J85" s="2440">
        <f t="shared" si="27"/>
        <v>1.4999999999999999E-2</v>
      </c>
      <c r="K85" s="2440">
        <f t="shared" si="28"/>
        <v>7.4999999999999997E-3</v>
      </c>
      <c r="L85" s="2440">
        <v>0</v>
      </c>
      <c r="M85" s="2440">
        <f t="shared" si="29"/>
        <v>-7.4999999999999997E-3</v>
      </c>
      <c r="N85" s="2440">
        <f t="shared" si="29"/>
        <v>-1.4999999999999999E-2</v>
      </c>
      <c r="AC85" s="1406"/>
      <c r="AD85" s="1405"/>
      <c r="AJ85" s="1404"/>
      <c r="AN85" s="1405"/>
    </row>
    <row r="86" spans="1:40" ht="24">
      <c r="A86" s="1067" t="s">
        <v>1026</v>
      </c>
      <c r="B86" s="3099" t="s">
        <v>2940</v>
      </c>
      <c r="C86" s="1050" t="s">
        <v>3039</v>
      </c>
      <c r="D86" s="2419">
        <f t="shared" si="25"/>
        <v>0</v>
      </c>
      <c r="E86" s="2447"/>
      <c r="F86" s="2448"/>
      <c r="G86" s="2417">
        <v>2.5000000000000001E-3</v>
      </c>
      <c r="H86" s="2463">
        <f t="shared" si="26"/>
        <v>2.5000000000000001E-3</v>
      </c>
      <c r="I86" s="2437">
        <v>0.05</v>
      </c>
      <c r="J86" s="2440">
        <f t="shared" si="27"/>
        <v>5.0000000000000001E-3</v>
      </c>
      <c r="K86" s="2440">
        <f t="shared" si="28"/>
        <v>2.5000000000000001E-3</v>
      </c>
      <c r="L86" s="2440">
        <v>0</v>
      </c>
      <c r="M86" s="2440">
        <f t="shared" si="29"/>
        <v>-2.5000000000000001E-3</v>
      </c>
      <c r="N86" s="2440">
        <f t="shared" si="29"/>
        <v>-5.0000000000000001E-3</v>
      </c>
      <c r="AC86" s="1406"/>
      <c r="AD86" s="1405"/>
      <c r="AJ86" s="1404"/>
      <c r="AN86" s="1405"/>
    </row>
    <row r="87" spans="1:40" ht="36.75" thickBot="1">
      <c r="A87" s="2443" t="s">
        <v>1039</v>
      </c>
      <c r="B87" s="2412" t="str">
        <f>估价对象房地状况!G18</f>
        <v>该园区内是否有污染型企业，绿化情况，卫生条件，整体环境状况判断</v>
      </c>
      <c r="C87" s="1050" t="s">
        <v>3040</v>
      </c>
      <c r="D87" s="2419">
        <f t="shared" si="25"/>
        <v>3.0000000000000001E-3</v>
      </c>
      <c r="E87" s="2449"/>
      <c r="F87" s="2448"/>
      <c r="G87" s="2417">
        <v>3.0000000000000001E-3</v>
      </c>
      <c r="H87" s="2463">
        <f t="shared" si="26"/>
        <v>3.0000000000000001E-3</v>
      </c>
      <c r="I87" s="2444">
        <v>0.06</v>
      </c>
      <c r="J87" s="2440">
        <f t="shared" si="27"/>
        <v>6.0000000000000001E-3</v>
      </c>
      <c r="K87" s="2440">
        <f t="shared" si="28"/>
        <v>3.0000000000000001E-3</v>
      </c>
      <c r="L87" s="2440">
        <v>0</v>
      </c>
      <c r="M87" s="2440">
        <f t="shared" si="29"/>
        <v>-3.0000000000000001E-3</v>
      </c>
      <c r="N87" s="2440">
        <f t="shared" si="29"/>
        <v>-6.0000000000000001E-3</v>
      </c>
      <c r="AC87" s="1406"/>
      <c r="AD87" s="1405"/>
      <c r="AJ87" s="1404"/>
      <c r="AN87" s="1405"/>
    </row>
    <row r="90" spans="1:40">
      <c r="A90" s="3509" t="s">
        <v>1634</v>
      </c>
      <c r="B90" s="3509"/>
      <c r="C90" s="3509"/>
      <c r="D90" s="3509"/>
      <c r="E90" s="3509"/>
      <c r="F90" s="3509"/>
      <c r="G90" s="3509"/>
      <c r="H90" s="3509"/>
      <c r="I90" s="3509"/>
      <c r="J90" s="3509"/>
      <c r="K90" s="2452"/>
      <c r="L90" s="2452"/>
      <c r="M90" s="2452"/>
      <c r="N90" s="2452"/>
    </row>
    <row r="91" spans="1:40">
      <c r="A91" s="3510" t="s">
        <v>1444</v>
      </c>
      <c r="B91" s="3510" t="s">
        <v>1635</v>
      </c>
      <c r="C91" s="1140" t="s">
        <v>1636</v>
      </c>
      <c r="D91" s="1141"/>
      <c r="E91" s="1141"/>
      <c r="F91" s="1141"/>
      <c r="G91" s="1141"/>
      <c r="H91" s="1141"/>
      <c r="I91" s="1141"/>
      <c r="J91" s="1142"/>
      <c r="K91" s="1134"/>
      <c r="L91" s="1134"/>
      <c r="M91" s="1134"/>
      <c r="N91" s="1134"/>
    </row>
    <row r="92" spans="1:40">
      <c r="A92" s="3510"/>
      <c r="B92" s="3510"/>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517"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1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1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1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1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1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1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1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17"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518"/>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518"/>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518"/>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518"/>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518"/>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518"/>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518"/>
      <c r="B108" s="352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19"/>
      <c r="B109" s="3521"/>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504" t="s">
        <v>1640</v>
      </c>
      <c r="B110" s="3504"/>
      <c r="C110" s="3504"/>
      <c r="D110" s="3504"/>
      <c r="E110" s="3504"/>
      <c r="F110" s="3504"/>
      <c r="G110" s="3504"/>
      <c r="H110" s="3504"/>
      <c r="I110" s="3504"/>
      <c r="J110" s="3504"/>
      <c r="K110" s="2450"/>
      <c r="L110" s="2450"/>
      <c r="M110" s="2450"/>
      <c r="N110" s="2450"/>
    </row>
    <row r="112" spans="1:14" ht="12.75" thickBot="1"/>
    <row r="113" spans="1:13" ht="25.5" thickBot="1">
      <c r="A113" s="1016" t="s">
        <v>896</v>
      </c>
      <c r="B113" s="2453">
        <f>G3</f>
        <v>1</v>
      </c>
      <c r="C113" s="1017" t="s">
        <v>897</v>
      </c>
      <c r="D113" s="1018">
        <f>SUMPRODUCT((A115:A118=F113)*(B114:M114=H113)*B115:M118)</f>
        <v>0.69230000000000003</v>
      </c>
      <c r="E113" s="1019" t="s">
        <v>898</v>
      </c>
      <c r="F113" s="1020" t="str">
        <f>E2</f>
        <v>工业</v>
      </c>
      <c r="G113" s="1019" t="s">
        <v>899</v>
      </c>
      <c r="H113" s="1020" t="str">
        <f>G2</f>
        <v>五级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510" t="s">
        <v>1008</v>
      </c>
      <c r="B18" s="1154" t="s">
        <v>1447</v>
      </c>
      <c r="C18" s="1131" t="s">
        <v>1448</v>
      </c>
      <c r="D18" s="1132"/>
      <c r="E18" s="1154">
        <v>1</v>
      </c>
      <c r="F18" s="1133" t="s">
        <v>1449</v>
      </c>
      <c r="G18" s="1134"/>
      <c r="H18" s="1105"/>
      <c r="I18" s="1105"/>
    </row>
    <row r="19" spans="1:9" s="1600" customFormat="1" ht="19.5" customHeight="1">
      <c r="A19" s="3510"/>
      <c r="B19" s="3510" t="s">
        <v>1450</v>
      </c>
      <c r="C19" s="1131" t="s">
        <v>1451</v>
      </c>
      <c r="D19" s="1132"/>
      <c r="E19" s="1154">
        <v>0.9</v>
      </c>
      <c r="F19" s="1133" t="s">
        <v>1452</v>
      </c>
      <c r="G19" s="1134"/>
      <c r="H19" s="1105"/>
      <c r="I19" s="1105"/>
    </row>
    <row r="20" spans="1:9" s="1600" customFormat="1" ht="19.5" customHeight="1">
      <c r="A20" s="3510"/>
      <c r="B20" s="3510"/>
      <c r="C20" s="1131" t="s">
        <v>1453</v>
      </c>
      <c r="D20" s="1132"/>
      <c r="E20" s="1154">
        <v>1.1000000000000001</v>
      </c>
      <c r="F20" s="1133" t="s">
        <v>1454</v>
      </c>
      <c r="G20" s="1134"/>
      <c r="H20" s="1105"/>
      <c r="I20" s="1105"/>
    </row>
    <row r="21" spans="1:9" s="1600" customFormat="1" ht="19.5" customHeight="1">
      <c r="A21" s="3510"/>
      <c r="B21" s="3510"/>
      <c r="C21" s="1131" t="s">
        <v>1455</v>
      </c>
      <c r="D21" s="1132"/>
      <c r="E21" s="1154">
        <v>0.8</v>
      </c>
      <c r="F21" s="1133" t="s">
        <v>1456</v>
      </c>
      <c r="G21" s="1134"/>
      <c r="H21" s="1105"/>
      <c r="I21" s="1105"/>
    </row>
    <row r="22" spans="1:9" s="1600" customFormat="1" ht="19.5" customHeight="1">
      <c r="A22" s="3510"/>
      <c r="B22" s="3510"/>
      <c r="C22" s="1131" t="s">
        <v>1457</v>
      </c>
      <c r="D22" s="1132"/>
      <c r="E22" s="1154">
        <v>0.5</v>
      </c>
      <c r="F22" s="1133"/>
      <c r="G22" s="1134"/>
      <c r="H22" s="1105"/>
      <c r="I22" s="1105"/>
    </row>
    <row r="23" spans="1:9" s="1600" customFormat="1" ht="19.5" customHeight="1">
      <c r="A23" s="3510" t="s">
        <v>1030</v>
      </c>
      <c r="B23" s="1154" t="s">
        <v>1447</v>
      </c>
      <c r="C23" s="1131" t="s">
        <v>1458</v>
      </c>
      <c r="D23" s="1132"/>
      <c r="E23" s="1154">
        <v>1</v>
      </c>
      <c r="F23" s="1133" t="s">
        <v>1459</v>
      </c>
      <c r="G23" s="1134"/>
      <c r="H23" s="1105"/>
      <c r="I23" s="1105"/>
    </row>
    <row r="24" spans="1:9" s="1600" customFormat="1" ht="19.5" customHeight="1">
      <c r="A24" s="3510"/>
      <c r="B24" s="3510" t="s">
        <v>1450</v>
      </c>
      <c r="C24" s="1131" t="s">
        <v>1460</v>
      </c>
      <c r="D24" s="1132"/>
      <c r="E24" s="1154">
        <v>0.5</v>
      </c>
      <c r="F24" s="1133"/>
      <c r="G24" s="1134"/>
      <c r="H24" s="1105"/>
      <c r="I24" s="1105"/>
    </row>
    <row r="25" spans="1:9" s="1600" customFormat="1" ht="19.5" customHeight="1">
      <c r="A25" s="3510"/>
      <c r="B25" s="3510"/>
      <c r="C25" s="1131" t="s">
        <v>1461</v>
      </c>
      <c r="D25" s="1132"/>
      <c r="E25" s="1154">
        <v>1.1000000000000001</v>
      </c>
      <c r="F25" s="1133"/>
      <c r="G25" s="1134"/>
      <c r="H25" s="1105"/>
      <c r="I25" s="1105"/>
    </row>
    <row r="26" spans="1:9" s="1600" customFormat="1" ht="19.5" customHeight="1">
      <c r="A26" s="3510"/>
      <c r="B26" s="3510"/>
      <c r="C26" s="1131" t="s">
        <v>1462</v>
      </c>
      <c r="D26" s="1132"/>
      <c r="E26" s="1154">
        <v>1.1000000000000001</v>
      </c>
      <c r="F26" s="1133"/>
      <c r="G26" s="1134"/>
      <c r="H26" s="1105"/>
      <c r="I26" s="1105"/>
    </row>
    <row r="27" spans="1:9" s="1600" customFormat="1" ht="19.5" customHeight="1">
      <c r="A27" s="3510"/>
      <c r="B27" s="3510"/>
      <c r="C27" s="1131" t="s">
        <v>1463</v>
      </c>
      <c r="D27" s="1132"/>
      <c r="E27" s="1154">
        <v>0.9</v>
      </c>
      <c r="F27" s="1133" t="s">
        <v>1464</v>
      </c>
      <c r="G27" s="1134"/>
      <c r="H27" s="1105"/>
      <c r="I27" s="1105"/>
    </row>
    <row r="28" spans="1:9" s="1600" customFormat="1" ht="19.5" customHeight="1">
      <c r="A28" s="3510"/>
      <c r="B28" s="3510"/>
      <c r="C28" s="1131" t="s">
        <v>1465</v>
      </c>
      <c r="D28" s="1132"/>
      <c r="E28" s="1154">
        <v>0.9</v>
      </c>
      <c r="F28" s="1133" t="s">
        <v>1466</v>
      </c>
      <c r="G28" s="1134"/>
      <c r="H28" s="1105"/>
      <c r="I28" s="1105"/>
    </row>
    <row r="29" spans="1:9" s="1600" customFormat="1" ht="19.5" customHeight="1">
      <c r="A29" s="3510"/>
      <c r="B29" s="3510"/>
      <c r="C29" s="1131" t="s">
        <v>1467</v>
      </c>
      <c r="D29" s="1132"/>
      <c r="E29" s="1154">
        <v>0.9</v>
      </c>
      <c r="F29" s="1133" t="s">
        <v>1468</v>
      </c>
      <c r="G29" s="1134"/>
      <c r="H29" s="1105"/>
      <c r="I29" s="1105"/>
    </row>
    <row r="30" spans="1:9" s="1600" customFormat="1" ht="19.5" customHeight="1">
      <c r="A30" s="3510"/>
      <c r="B30" s="3510"/>
      <c r="C30" s="1131" t="s">
        <v>1469</v>
      </c>
      <c r="D30" s="1132"/>
      <c r="E30" s="1154">
        <v>0.9</v>
      </c>
      <c r="F30" s="1133" t="s">
        <v>1470</v>
      </c>
      <c r="G30" s="1134"/>
      <c r="H30" s="1105"/>
      <c r="I30" s="1105"/>
    </row>
    <row r="31" spans="1:9" s="1600" customFormat="1" ht="19.5" customHeight="1">
      <c r="A31" s="3510"/>
      <c r="B31" s="3510"/>
      <c r="C31" s="1131" t="s">
        <v>1471</v>
      </c>
      <c r="D31" s="1132"/>
      <c r="E31" s="1154">
        <v>0.8</v>
      </c>
      <c r="F31" s="1133" t="s">
        <v>1472</v>
      </c>
      <c r="G31" s="1134"/>
      <c r="H31" s="1105"/>
      <c r="I31" s="1105"/>
    </row>
    <row r="32" spans="1:9" s="1600" customFormat="1" ht="19.5" customHeight="1">
      <c r="A32" s="3510"/>
      <c r="B32" s="3510"/>
      <c r="C32" s="1131" t="s">
        <v>1473</v>
      </c>
      <c r="D32" s="1132"/>
      <c r="E32" s="1154">
        <v>0.8</v>
      </c>
      <c r="F32" s="1133" t="s">
        <v>1474</v>
      </c>
      <c r="G32" s="1134"/>
      <c r="H32" s="1105"/>
      <c r="I32" s="1105"/>
    </row>
    <row r="33" spans="1:9" s="1600" customFormat="1" ht="19.5" customHeight="1">
      <c r="A33" s="3510" t="s">
        <v>1475</v>
      </c>
      <c r="B33" s="1154" t="s">
        <v>1447</v>
      </c>
      <c r="C33" s="1131" t="s">
        <v>1476</v>
      </c>
      <c r="D33" s="1132"/>
      <c r="E33" s="1154">
        <v>1</v>
      </c>
      <c r="F33" s="1133" t="s">
        <v>1477</v>
      </c>
      <c r="G33" s="1134"/>
      <c r="H33" s="1105"/>
      <c r="I33" s="1105"/>
    </row>
    <row r="34" spans="1:9" s="1600" customFormat="1" ht="19.5" customHeight="1">
      <c r="A34" s="3510"/>
      <c r="B34" s="1154" t="s">
        <v>1450</v>
      </c>
      <c r="C34" s="1131" t="s">
        <v>1478</v>
      </c>
      <c r="D34" s="1132"/>
      <c r="E34" s="1154">
        <v>1.5</v>
      </c>
      <c r="F34" s="1133" t="s">
        <v>1479</v>
      </c>
      <c r="G34" s="1134"/>
      <c r="H34" s="1105"/>
      <c r="I34" s="1105"/>
    </row>
    <row r="35" spans="1:9" s="1600" customFormat="1" ht="19.5" customHeight="1">
      <c r="A35" s="3510" t="s">
        <v>1433</v>
      </c>
      <c r="B35" s="1154" t="s">
        <v>1447</v>
      </c>
      <c r="C35" s="1131" t="s">
        <v>1480</v>
      </c>
      <c r="D35" s="1132"/>
      <c r="E35" s="1154">
        <v>1</v>
      </c>
      <c r="F35" s="1133" t="s">
        <v>1481</v>
      </c>
      <c r="G35" s="1134"/>
      <c r="H35" s="1105"/>
      <c r="I35" s="1105"/>
    </row>
    <row r="36" spans="1:9" s="1600" customFormat="1" ht="19.5" customHeight="1">
      <c r="A36" s="3510"/>
      <c r="B36" s="3510" t="s">
        <v>1450</v>
      </c>
      <c r="C36" s="1131" t="s">
        <v>1482</v>
      </c>
      <c r="D36" s="1132"/>
      <c r="E36" s="1154">
        <v>1</v>
      </c>
      <c r="F36" s="1133" t="s">
        <v>1483</v>
      </c>
      <c r="G36" s="1134"/>
      <c r="H36" s="1105"/>
      <c r="I36" s="1105"/>
    </row>
    <row r="37" spans="1:9" s="1600" customFormat="1" ht="19.5" customHeight="1">
      <c r="A37" s="3510"/>
      <c r="B37" s="3510"/>
      <c r="C37" s="1131" t="s">
        <v>1484</v>
      </c>
      <c r="D37" s="1132"/>
      <c r="E37" s="1154">
        <v>1.5</v>
      </c>
      <c r="F37" s="1133" t="s">
        <v>1485</v>
      </c>
      <c r="G37" s="1134"/>
      <c r="H37" s="1105"/>
      <c r="I37" s="1105"/>
    </row>
    <row r="38" spans="1:9" s="1600" customFormat="1" ht="19.5" customHeight="1">
      <c r="A38" s="3510"/>
      <c r="B38" s="3510"/>
      <c r="C38" s="1131" t="s">
        <v>1486</v>
      </c>
      <c r="D38" s="1132"/>
      <c r="E38" s="1154">
        <v>1</v>
      </c>
      <c r="F38" s="1133" t="s">
        <v>1487</v>
      </c>
      <c r="G38" s="1134"/>
      <c r="H38" s="1105"/>
      <c r="I38" s="1105"/>
    </row>
    <row r="39" spans="1:9" s="1600" customFormat="1" ht="19.5" customHeight="1">
      <c r="A39" s="3510"/>
      <c r="B39" s="3510"/>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510" t="s">
        <v>1502</v>
      </c>
      <c r="C61" s="1068" t="s">
        <v>1503</v>
      </c>
      <c r="D61" s="1068" t="s">
        <v>1504</v>
      </c>
      <c r="E61" s="1139">
        <v>0.5</v>
      </c>
      <c r="F61" s="1154">
        <v>80</v>
      </c>
      <c r="H61" s="1105">
        <f>SUMIF(C59:C119,基准地价!C8,E59:E119)</f>
        <v>0</v>
      </c>
    </row>
    <row r="62" spans="1:8" s="1105" customFormat="1" ht="24">
      <c r="A62" s="1154">
        <v>2</v>
      </c>
      <c r="B62" s="3510"/>
      <c r="C62" s="1068" t="s">
        <v>1505</v>
      </c>
      <c r="D62" s="1068" t="s">
        <v>1506</v>
      </c>
      <c r="E62" s="1139">
        <v>0.5</v>
      </c>
      <c r="F62" s="1154">
        <v>80</v>
      </c>
    </row>
    <row r="63" spans="1:8" s="1105" customFormat="1" ht="36">
      <c r="A63" s="1154">
        <v>3</v>
      </c>
      <c r="B63" s="3510"/>
      <c r="C63" s="1068" t="s">
        <v>1507</v>
      </c>
      <c r="D63" s="1068" t="s">
        <v>1508</v>
      </c>
      <c r="E63" s="1139">
        <v>0.5</v>
      </c>
      <c r="F63" s="1154">
        <v>80</v>
      </c>
    </row>
    <row r="64" spans="1:8" s="1105" customFormat="1" ht="36">
      <c r="A64" s="1154">
        <v>4</v>
      </c>
      <c r="B64" s="3510"/>
      <c r="C64" s="1068" t="s">
        <v>1509</v>
      </c>
      <c r="D64" s="1068" t="s">
        <v>1510</v>
      </c>
      <c r="E64" s="1139">
        <v>0.4</v>
      </c>
      <c r="F64" s="1154">
        <v>60</v>
      </c>
    </row>
    <row r="65" spans="1:6" s="1105" customFormat="1" ht="36">
      <c r="A65" s="1154">
        <v>5</v>
      </c>
      <c r="B65" s="3510"/>
      <c r="C65" s="1068" t="s">
        <v>1511</v>
      </c>
      <c r="D65" s="1068" t="s">
        <v>1512</v>
      </c>
      <c r="E65" s="1139">
        <v>0.2</v>
      </c>
      <c r="F65" s="1154">
        <v>30</v>
      </c>
    </row>
    <row r="66" spans="1:6" s="1105" customFormat="1" ht="36">
      <c r="A66" s="1154">
        <v>6</v>
      </c>
      <c r="B66" s="3510"/>
      <c r="C66" s="1068" t="s">
        <v>1513</v>
      </c>
      <c r="D66" s="1068" t="s">
        <v>1514</v>
      </c>
      <c r="E66" s="1139">
        <v>0.3</v>
      </c>
      <c r="F66" s="1154">
        <v>50</v>
      </c>
    </row>
    <row r="67" spans="1:6" s="1105" customFormat="1" ht="36">
      <c r="A67" s="1154">
        <v>7</v>
      </c>
      <c r="B67" s="3510"/>
      <c r="C67" s="1068" t="s">
        <v>1515</v>
      </c>
      <c r="D67" s="1068" t="s">
        <v>1516</v>
      </c>
      <c r="E67" s="1139">
        <v>0.2</v>
      </c>
      <c r="F67" s="1154">
        <v>30</v>
      </c>
    </row>
    <row r="68" spans="1:6" s="1105" customFormat="1" ht="36">
      <c r="A68" s="1154">
        <v>8</v>
      </c>
      <c r="B68" s="3510"/>
      <c r="C68" s="1068" t="s">
        <v>1517</v>
      </c>
      <c r="D68" s="1068" t="s">
        <v>1518</v>
      </c>
      <c r="E68" s="1139">
        <v>0.2</v>
      </c>
      <c r="F68" s="1154">
        <v>30</v>
      </c>
    </row>
    <row r="69" spans="1:6" s="1105" customFormat="1" ht="36">
      <c r="A69" s="1154">
        <v>9</v>
      </c>
      <c r="B69" s="3510"/>
      <c r="C69" s="1068" t="s">
        <v>1519</v>
      </c>
      <c r="D69" s="1068" t="s">
        <v>1520</v>
      </c>
      <c r="E69" s="1139">
        <v>0.2</v>
      </c>
      <c r="F69" s="1154">
        <v>30</v>
      </c>
    </row>
    <row r="70" spans="1:6" s="1105" customFormat="1" ht="48">
      <c r="A70" s="1154">
        <v>10</v>
      </c>
      <c r="B70" s="3510"/>
      <c r="C70" s="1068" t="s">
        <v>1521</v>
      </c>
      <c r="D70" s="1068" t="s">
        <v>1522</v>
      </c>
      <c r="E70" s="1139">
        <v>0.2</v>
      </c>
      <c r="F70" s="1154">
        <v>30</v>
      </c>
    </row>
    <row r="71" spans="1:6" s="1105" customFormat="1" ht="48">
      <c r="A71" s="1154">
        <v>11</v>
      </c>
      <c r="B71" s="3510"/>
      <c r="C71" s="1068" t="s">
        <v>1523</v>
      </c>
      <c r="D71" s="1068" t="s">
        <v>1524</v>
      </c>
      <c r="E71" s="1139">
        <v>0.2</v>
      </c>
      <c r="F71" s="1154">
        <v>30</v>
      </c>
    </row>
    <row r="72" spans="1:6" s="1105" customFormat="1" ht="36">
      <c r="A72" s="1154">
        <v>12</v>
      </c>
      <c r="B72" s="3510"/>
      <c r="C72" s="1068" t="s">
        <v>1525</v>
      </c>
      <c r="D72" s="1068" t="s">
        <v>1526</v>
      </c>
      <c r="E72" s="1139">
        <v>0.5</v>
      </c>
      <c r="F72" s="1154">
        <v>80</v>
      </c>
    </row>
    <row r="73" spans="1:6" s="1105" customFormat="1" ht="24">
      <c r="A73" s="1154">
        <v>13</v>
      </c>
      <c r="B73" s="3510"/>
      <c r="C73" s="1068" t="s">
        <v>1527</v>
      </c>
      <c r="D73" s="1068" t="s">
        <v>1528</v>
      </c>
      <c r="E73" s="1139">
        <v>0.4</v>
      </c>
      <c r="F73" s="1154">
        <v>60</v>
      </c>
    </row>
    <row r="74" spans="1:6" s="1105" customFormat="1" ht="24">
      <c r="A74" s="1154">
        <v>14</v>
      </c>
      <c r="B74" s="3510"/>
      <c r="C74" s="1068" t="s">
        <v>1529</v>
      </c>
      <c r="D74" s="1068" t="s">
        <v>1530</v>
      </c>
      <c r="E74" s="1139">
        <v>0.2</v>
      </c>
      <c r="F74" s="1154">
        <v>30</v>
      </c>
    </row>
    <row r="75" spans="1:6" s="1105" customFormat="1" ht="24">
      <c r="A75" s="1154">
        <v>15</v>
      </c>
      <c r="B75" s="3510"/>
      <c r="C75" s="1068" t="s">
        <v>1531</v>
      </c>
      <c r="D75" s="1068" t="s">
        <v>1532</v>
      </c>
      <c r="E75" s="1139">
        <v>0.2</v>
      </c>
      <c r="F75" s="1154">
        <v>30</v>
      </c>
    </row>
    <row r="76" spans="1:6" s="1105" customFormat="1" ht="24">
      <c r="A76" s="1154">
        <v>16</v>
      </c>
      <c r="B76" s="3510" t="s">
        <v>1533</v>
      </c>
      <c r="C76" s="1068" t="s">
        <v>1534</v>
      </c>
      <c r="D76" s="1068" t="s">
        <v>1535</v>
      </c>
      <c r="E76" s="1139">
        <v>0.5</v>
      </c>
      <c r="F76" s="1154">
        <v>80</v>
      </c>
    </row>
    <row r="77" spans="1:6" s="1105" customFormat="1" ht="24">
      <c r="A77" s="1154">
        <v>17</v>
      </c>
      <c r="B77" s="3510"/>
      <c r="C77" s="1068" t="s">
        <v>1536</v>
      </c>
      <c r="D77" s="1068" t="s">
        <v>1537</v>
      </c>
      <c r="E77" s="1139">
        <v>0.5</v>
      </c>
      <c r="F77" s="1154">
        <v>80</v>
      </c>
    </row>
    <row r="78" spans="1:6" s="1105" customFormat="1" ht="24">
      <c r="A78" s="1154">
        <v>18</v>
      </c>
      <c r="B78" s="3510"/>
      <c r="C78" s="1068" t="s">
        <v>1538</v>
      </c>
      <c r="D78" s="1068" t="s">
        <v>1539</v>
      </c>
      <c r="E78" s="1139">
        <v>0.2</v>
      </c>
      <c r="F78" s="1154">
        <v>30</v>
      </c>
    </row>
    <row r="79" spans="1:6" s="1105" customFormat="1" ht="24">
      <c r="A79" s="1154">
        <v>19</v>
      </c>
      <c r="B79" s="3510"/>
      <c r="C79" s="1068" t="s">
        <v>1540</v>
      </c>
      <c r="D79" s="1068" t="s">
        <v>1541</v>
      </c>
      <c r="E79" s="1139">
        <v>0.5</v>
      </c>
      <c r="F79" s="1154">
        <v>80</v>
      </c>
    </row>
    <row r="80" spans="1:6" s="1105" customFormat="1" ht="36">
      <c r="A80" s="1154">
        <v>20</v>
      </c>
      <c r="B80" s="3510"/>
      <c r="C80" s="1068" t="s">
        <v>1542</v>
      </c>
      <c r="D80" s="1068" t="s">
        <v>1543</v>
      </c>
      <c r="E80" s="1139">
        <v>0.2</v>
      </c>
      <c r="F80" s="1154">
        <v>30</v>
      </c>
    </row>
    <row r="81" spans="1:6" s="1105" customFormat="1" ht="36">
      <c r="A81" s="1154">
        <v>21</v>
      </c>
      <c r="B81" s="3510"/>
      <c r="C81" s="1068" t="s">
        <v>1544</v>
      </c>
      <c r="D81" s="1068" t="s">
        <v>1545</v>
      </c>
      <c r="E81" s="1139">
        <v>0.2</v>
      </c>
      <c r="F81" s="1154">
        <v>30</v>
      </c>
    </row>
    <row r="82" spans="1:6" s="1105" customFormat="1" ht="48">
      <c r="A82" s="1154">
        <v>22</v>
      </c>
      <c r="B82" s="3510"/>
      <c r="C82" s="1068" t="s">
        <v>1546</v>
      </c>
      <c r="D82" s="1068" t="s">
        <v>1547</v>
      </c>
      <c r="E82" s="1139">
        <v>0.2</v>
      </c>
      <c r="F82" s="1154">
        <v>30</v>
      </c>
    </row>
    <row r="83" spans="1:6" s="1105" customFormat="1" ht="48">
      <c r="A83" s="1154">
        <v>23</v>
      </c>
      <c r="B83" s="3510"/>
      <c r="C83" s="1068" t="s">
        <v>1548</v>
      </c>
      <c r="D83" s="1068" t="s">
        <v>1549</v>
      </c>
      <c r="E83" s="1139">
        <v>0.2</v>
      </c>
      <c r="F83" s="1154">
        <v>30</v>
      </c>
    </row>
    <row r="84" spans="1:6" s="1105" customFormat="1" ht="36">
      <c r="A84" s="1154">
        <v>24</v>
      </c>
      <c r="B84" s="3510"/>
      <c r="C84" s="1068" t="s">
        <v>1550</v>
      </c>
      <c r="D84" s="1068" t="s">
        <v>1551</v>
      </c>
      <c r="E84" s="1139">
        <v>0.2</v>
      </c>
      <c r="F84" s="1154">
        <v>30</v>
      </c>
    </row>
    <row r="85" spans="1:6" s="1105" customFormat="1" ht="36">
      <c r="A85" s="1154">
        <v>25</v>
      </c>
      <c r="B85" s="3510"/>
      <c r="C85" s="1068" t="s">
        <v>1552</v>
      </c>
      <c r="D85" s="1068" t="s">
        <v>1553</v>
      </c>
      <c r="E85" s="1139">
        <v>0.5</v>
      </c>
      <c r="F85" s="1154">
        <v>80</v>
      </c>
    </row>
    <row r="86" spans="1:6" s="1105" customFormat="1" ht="36">
      <c r="A86" s="1154">
        <v>26</v>
      </c>
      <c r="B86" s="3510"/>
      <c r="C86" s="1068" t="s">
        <v>1554</v>
      </c>
      <c r="D86" s="1068" t="s">
        <v>1555</v>
      </c>
      <c r="E86" s="1139">
        <v>0.2</v>
      </c>
      <c r="F86" s="1154">
        <v>30</v>
      </c>
    </row>
    <row r="87" spans="1:6" s="1105" customFormat="1" ht="36">
      <c r="A87" s="1154">
        <v>27</v>
      </c>
      <c r="B87" s="3510"/>
      <c r="C87" s="1068" t="s">
        <v>1556</v>
      </c>
      <c r="D87" s="1068" t="s">
        <v>1557</v>
      </c>
      <c r="E87" s="1139">
        <v>0.2</v>
      </c>
      <c r="F87" s="1154">
        <v>30</v>
      </c>
    </row>
    <row r="88" spans="1:6" s="1105" customFormat="1" ht="36">
      <c r="A88" s="1154">
        <v>28</v>
      </c>
      <c r="B88" s="3510"/>
      <c r="C88" s="1068" t="s">
        <v>1558</v>
      </c>
      <c r="D88" s="1068" t="s">
        <v>1559</v>
      </c>
      <c r="E88" s="1139">
        <v>0.2</v>
      </c>
      <c r="F88" s="1154">
        <v>30</v>
      </c>
    </row>
    <row r="89" spans="1:6" s="1105" customFormat="1" ht="24">
      <c r="A89" s="1154">
        <v>29</v>
      </c>
      <c r="B89" s="3510"/>
      <c r="C89" s="1068" t="s">
        <v>1560</v>
      </c>
      <c r="D89" s="1068" t="s">
        <v>1561</v>
      </c>
      <c r="E89" s="1139">
        <v>0.2</v>
      </c>
      <c r="F89" s="1154">
        <v>30</v>
      </c>
    </row>
    <row r="90" spans="1:6" s="1105" customFormat="1" ht="24">
      <c r="A90" s="1154">
        <v>30</v>
      </c>
      <c r="B90" s="3510"/>
      <c r="C90" s="1068" t="s">
        <v>1562</v>
      </c>
      <c r="D90" s="1068" t="s">
        <v>1563</v>
      </c>
      <c r="E90" s="1139">
        <v>0.2</v>
      </c>
      <c r="F90" s="1154">
        <v>30</v>
      </c>
    </row>
    <row r="91" spans="1:6" s="1105" customFormat="1" ht="36">
      <c r="A91" s="1154">
        <v>31</v>
      </c>
      <c r="B91" s="3510"/>
      <c r="C91" s="1068" t="s">
        <v>1564</v>
      </c>
      <c r="D91" s="1068" t="s">
        <v>1565</v>
      </c>
      <c r="E91" s="1139">
        <v>0.2</v>
      </c>
      <c r="F91" s="1154">
        <v>30</v>
      </c>
    </row>
    <row r="92" spans="1:6" s="1105" customFormat="1" ht="24">
      <c r="A92" s="1154">
        <v>32</v>
      </c>
      <c r="B92" s="3510" t="s">
        <v>1566</v>
      </c>
      <c r="C92" s="1154" t="s">
        <v>1567</v>
      </c>
      <c r="D92" s="1068" t="s">
        <v>1568</v>
      </c>
      <c r="E92" s="1139">
        <v>0.2</v>
      </c>
      <c r="F92" s="1154">
        <v>30</v>
      </c>
    </row>
    <row r="93" spans="1:6" s="1105" customFormat="1" ht="36">
      <c r="A93" s="1154">
        <v>33</v>
      </c>
      <c r="B93" s="3510"/>
      <c r="C93" s="1154" t="s">
        <v>1569</v>
      </c>
      <c r="D93" s="1068" t="s">
        <v>1570</v>
      </c>
      <c r="E93" s="1139">
        <v>0.2</v>
      </c>
      <c r="F93" s="1154">
        <v>30</v>
      </c>
    </row>
    <row r="94" spans="1:6" s="1105" customFormat="1" ht="48">
      <c r="A94" s="1154">
        <v>34</v>
      </c>
      <c r="B94" s="3510"/>
      <c r="C94" s="1154" t="s">
        <v>1571</v>
      </c>
      <c r="D94" s="1068" t="s">
        <v>1572</v>
      </c>
      <c r="E94" s="1139">
        <v>0.2</v>
      </c>
      <c r="F94" s="1154">
        <v>30</v>
      </c>
    </row>
    <row r="95" spans="1:6" s="1105" customFormat="1" ht="36">
      <c r="A95" s="1154">
        <v>35</v>
      </c>
      <c r="B95" s="3510"/>
      <c r="C95" s="1154" t="s">
        <v>1573</v>
      </c>
      <c r="D95" s="1068" t="s">
        <v>1574</v>
      </c>
      <c r="E95" s="1139">
        <v>0.2</v>
      </c>
      <c r="F95" s="1154">
        <v>30</v>
      </c>
    </row>
    <row r="96" spans="1:6" s="1105" customFormat="1" ht="48">
      <c r="A96" s="1154">
        <v>36</v>
      </c>
      <c r="B96" s="3510"/>
      <c r="C96" s="1068" t="s">
        <v>1575</v>
      </c>
      <c r="D96" s="1068" t="s">
        <v>1576</v>
      </c>
      <c r="E96" s="1139">
        <v>0.2</v>
      </c>
      <c r="F96" s="1154">
        <v>30</v>
      </c>
    </row>
    <row r="97" spans="1:6" s="1105" customFormat="1" ht="36">
      <c r="A97" s="1154">
        <v>37</v>
      </c>
      <c r="B97" s="3510"/>
      <c r="C97" s="1154" t="s">
        <v>1577</v>
      </c>
      <c r="D97" s="1068" t="s">
        <v>1578</v>
      </c>
      <c r="E97" s="1139">
        <v>0.2</v>
      </c>
      <c r="F97" s="1154">
        <v>30</v>
      </c>
    </row>
    <row r="98" spans="1:6" s="1105" customFormat="1" ht="36">
      <c r="A98" s="1154">
        <v>38</v>
      </c>
      <c r="B98" s="3510"/>
      <c r="C98" s="1154" t="s">
        <v>1579</v>
      </c>
      <c r="D98" s="1068" t="s">
        <v>1580</v>
      </c>
      <c r="E98" s="1139">
        <v>0.2</v>
      </c>
      <c r="F98" s="1154">
        <v>30</v>
      </c>
    </row>
    <row r="99" spans="1:6" s="1105" customFormat="1" ht="36">
      <c r="A99" s="1154">
        <v>39</v>
      </c>
      <c r="B99" s="3510" t="s">
        <v>1581</v>
      </c>
      <c r="C99" s="1154" t="s">
        <v>1582</v>
      </c>
      <c r="D99" s="1068" t="s">
        <v>1583</v>
      </c>
      <c r="E99" s="1139">
        <v>0.3</v>
      </c>
      <c r="F99" s="1154">
        <v>50</v>
      </c>
    </row>
    <row r="100" spans="1:6" s="1105" customFormat="1" ht="24">
      <c r="A100" s="1154">
        <v>40</v>
      </c>
      <c r="B100" s="3510"/>
      <c r="C100" s="1154" t="s">
        <v>1584</v>
      </c>
      <c r="D100" s="1068" t="s">
        <v>1585</v>
      </c>
      <c r="E100" s="1139">
        <v>0.2</v>
      </c>
      <c r="F100" s="1154">
        <v>30</v>
      </c>
    </row>
    <row r="101" spans="1:6" s="1105" customFormat="1" ht="36">
      <c r="A101" s="1154">
        <v>41</v>
      </c>
      <c r="B101" s="351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510" t="s">
        <v>1596</v>
      </c>
      <c r="C105" s="1154" t="s">
        <v>1597</v>
      </c>
      <c r="D105" s="1068" t="s">
        <v>1598</v>
      </c>
      <c r="E105" s="1139">
        <v>0.2</v>
      </c>
      <c r="F105" s="1154">
        <v>30</v>
      </c>
    </row>
    <row r="106" spans="1:6" s="1105" customFormat="1" ht="36">
      <c r="A106" s="1154">
        <v>46</v>
      </c>
      <c r="B106" s="3510"/>
      <c r="C106" s="1154" t="s">
        <v>1599</v>
      </c>
      <c r="D106" s="1068" t="s">
        <v>1600</v>
      </c>
      <c r="E106" s="1139">
        <v>0.2</v>
      </c>
      <c r="F106" s="1154">
        <v>30</v>
      </c>
    </row>
    <row r="107" spans="1:6" s="1105" customFormat="1" ht="36">
      <c r="A107" s="1154">
        <v>47</v>
      </c>
      <c r="B107" s="3510" t="s">
        <v>1601</v>
      </c>
      <c r="C107" s="1154" t="s">
        <v>1602</v>
      </c>
      <c r="D107" s="1068" t="s">
        <v>1603</v>
      </c>
      <c r="E107" s="1139">
        <v>0.3</v>
      </c>
      <c r="F107" s="1154">
        <v>50</v>
      </c>
    </row>
    <row r="108" spans="1:6" s="1105" customFormat="1" ht="36">
      <c r="A108" s="1154">
        <v>48</v>
      </c>
      <c r="B108" s="351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510" t="s">
        <v>1612</v>
      </c>
      <c r="C111" s="1154" t="s">
        <v>1613</v>
      </c>
      <c r="D111" s="1068" t="s">
        <v>1614</v>
      </c>
      <c r="E111" s="1139">
        <v>0.2</v>
      </c>
      <c r="F111" s="1154">
        <v>30</v>
      </c>
    </row>
    <row r="112" spans="1:6" s="1105" customFormat="1" ht="24">
      <c r="A112" s="1154">
        <v>52</v>
      </c>
      <c r="B112" s="3510"/>
      <c r="C112" s="1154" t="s">
        <v>1615</v>
      </c>
      <c r="D112" s="1068" t="s">
        <v>1616</v>
      </c>
      <c r="E112" s="1139">
        <v>0.2</v>
      </c>
      <c r="F112" s="1154">
        <v>30</v>
      </c>
    </row>
    <row r="113" spans="1:14" s="1105" customFormat="1" ht="24">
      <c r="A113" s="1154">
        <v>53</v>
      </c>
      <c r="B113" s="351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510" t="s">
        <v>1625</v>
      </c>
      <c r="C116" s="1154" t="s">
        <v>1626</v>
      </c>
      <c r="D116" s="1068" t="s">
        <v>1627</v>
      </c>
      <c r="E116" s="1139">
        <v>0.2</v>
      </c>
      <c r="F116" s="1154">
        <v>30</v>
      </c>
    </row>
    <row r="117" spans="1:14" ht="36">
      <c r="A117" s="1154">
        <v>57</v>
      </c>
      <c r="B117" s="351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509" t="s">
        <v>1634</v>
      </c>
      <c r="B121" s="3509"/>
      <c r="C121" s="3509"/>
      <c r="D121" s="3509"/>
      <c r="E121" s="3509"/>
      <c r="F121" s="3509"/>
      <c r="G121" s="3509"/>
      <c r="H121" s="3509"/>
      <c r="I121" s="3509"/>
      <c r="J121" s="350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22" t="s">
        <v>1040</v>
      </c>
      <c r="B1" s="3522"/>
      <c r="C1" s="3522"/>
      <c r="D1" s="3522"/>
      <c r="E1" s="3522"/>
      <c r="F1" s="352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23" t="s">
        <v>1053</v>
      </c>
      <c r="B2" s="3523"/>
      <c r="C2" s="3523"/>
      <c r="D2" s="3523"/>
      <c r="E2" s="3523"/>
      <c r="F2" s="352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2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2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3060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26" t="s">
        <v>2082</v>
      </c>
      <c r="B1" s="3526"/>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2953</v>
      </c>
      <c r="B1" s="3108"/>
      <c r="C1" s="3108"/>
      <c r="D1" s="3108"/>
      <c r="E1" s="3108"/>
      <c r="F1" s="3108"/>
    </row>
    <row r="2" spans="1:6" ht="14.25">
      <c r="A2" s="3109" t="s">
        <v>2948</v>
      </c>
      <c r="B2" s="3110">
        <f ca="1">SUMIF(B7:B14,"&lt;&gt;#ref!",B7:B14)</f>
        <v>53912</v>
      </c>
      <c r="C2" s="3109" t="s">
        <v>2949</v>
      </c>
      <c r="D2" s="3108"/>
      <c r="E2" s="3108"/>
      <c r="F2" s="3108"/>
    </row>
    <row r="3" spans="1:6" ht="14.25">
      <c r="A3" s="3109" t="s">
        <v>2982</v>
      </c>
      <c r="B3" s="3110">
        <f ca="1">ROUND(B2*10000/E3,0)</f>
        <v>4135</v>
      </c>
      <c r="C3" s="3109" t="s">
        <v>2081</v>
      </c>
      <c r="D3" s="3109" t="s">
        <v>2950</v>
      </c>
      <c r="E3" s="3110">
        <f ca="1">SUMIF(E7:E14,"&lt;&gt;#ref!",E7:E14)</f>
        <v>130380.53</v>
      </c>
      <c r="F3" s="3108"/>
    </row>
    <row r="4" spans="1:6" ht="14.25">
      <c r="A4" s="3109" t="s">
        <v>2957</v>
      </c>
      <c r="B4" s="3110">
        <f ca="1">ROUND(B2*10000/E4,0)</f>
        <v>4135</v>
      </c>
      <c r="C4" s="3109" t="s">
        <v>2081</v>
      </c>
      <c r="D4" s="3109" t="s">
        <v>2958</v>
      </c>
      <c r="E4" s="3110">
        <f ca="1">SUMIF(F7:F14,"&lt;&gt;#ref!",F7:F14)</f>
        <v>130380.53</v>
      </c>
      <c r="F4" s="3108"/>
    </row>
    <row r="5" spans="1:6" ht="14.25">
      <c r="A5" s="3111"/>
      <c r="B5" s="1883"/>
      <c r="C5" s="1883"/>
      <c r="D5" s="1883"/>
      <c r="E5" s="1883"/>
      <c r="F5" s="3108"/>
    </row>
    <row r="6" spans="1:6" ht="28.5">
      <c r="A6" s="3112" t="s">
        <v>2954</v>
      </c>
      <c r="B6" s="3109" t="s">
        <v>2951</v>
      </c>
      <c r="C6" s="3110"/>
      <c r="D6" s="1883"/>
      <c r="E6" s="3109" t="s">
        <v>2952</v>
      </c>
      <c r="F6" s="3109" t="s">
        <v>2956</v>
      </c>
    </row>
    <row r="7" spans="1:6" ht="14.25">
      <c r="A7" s="260" t="s">
        <v>2955</v>
      </c>
      <c r="B7" s="3113">
        <f ca="1">SUMIF(INDIRECT("'"&amp;A7&amp;"'"&amp;"!A:A"),"总价",INDIRECT("'"&amp;A7&amp;"'"&amp;"!B:B"))</f>
        <v>53912</v>
      </c>
      <c r="C7" s="3109" t="s">
        <v>2949</v>
      </c>
      <c r="D7" s="1883"/>
      <c r="E7" s="3114">
        <f ca="1">SUMIF(INDIRECT("'"&amp;A7&amp;"'"&amp;"!C:C"),"建筑面积",INDIRECT("'"&amp;A7&amp;"'"&amp;"!D:D"))</f>
        <v>130380.53</v>
      </c>
      <c r="F7" s="3114">
        <f ca="1">SUMIF(INDIRECT("'"&amp;A7&amp;"'"&amp;"!E:E"),"土地面积",INDIRECT("'"&amp;A7&amp;"'"&amp;"!F:F"))</f>
        <v>130380.53</v>
      </c>
    </row>
    <row r="8" spans="1:6" ht="14.25">
      <c r="A8" s="260"/>
      <c r="B8" s="3113" t="e">
        <f t="shared" ref="B8:B14" ca="1" si="0">SUMIF(INDIRECT("'"&amp;A8&amp;"'"&amp;"!A:A"),"总价",INDIRECT("'"&amp;A8&amp;"'"&amp;"!B:B"))</f>
        <v>#REF!</v>
      </c>
      <c r="C8" s="3109" t="s">
        <v>2949</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2949</v>
      </c>
      <c r="D9" s="1883"/>
      <c r="E9" s="3114" t="e">
        <f t="shared" ca="1" si="1"/>
        <v>#REF!</v>
      </c>
      <c r="F9" s="3114" t="e">
        <f t="shared" ca="1" si="2"/>
        <v>#REF!</v>
      </c>
    </row>
    <row r="10" spans="1:6" ht="14.25">
      <c r="A10" s="260"/>
      <c r="B10" s="3113" t="e">
        <f t="shared" ca="1" si="0"/>
        <v>#REF!</v>
      </c>
      <c r="C10" s="3109" t="s">
        <v>2949</v>
      </c>
      <c r="D10" s="1883"/>
      <c r="E10" s="3114" t="e">
        <f t="shared" ca="1" si="1"/>
        <v>#REF!</v>
      </c>
      <c r="F10" s="3114" t="e">
        <f t="shared" ca="1" si="2"/>
        <v>#REF!</v>
      </c>
    </row>
    <row r="11" spans="1:6" ht="14.25">
      <c r="A11" s="260"/>
      <c r="B11" s="3113" t="e">
        <f t="shared" ca="1" si="0"/>
        <v>#REF!</v>
      </c>
      <c r="C11" s="3109" t="s">
        <v>2949</v>
      </c>
      <c r="D11" s="1883"/>
      <c r="E11" s="3114" t="e">
        <f t="shared" ca="1" si="1"/>
        <v>#REF!</v>
      </c>
      <c r="F11" s="3114" t="e">
        <f t="shared" ca="1" si="2"/>
        <v>#REF!</v>
      </c>
    </row>
    <row r="12" spans="1:6" ht="14.25">
      <c r="A12" s="260"/>
      <c r="B12" s="3113" t="e">
        <f t="shared" ca="1" si="0"/>
        <v>#REF!</v>
      </c>
      <c r="C12" s="3109" t="s">
        <v>2949</v>
      </c>
      <c r="D12" s="1883"/>
      <c r="E12" s="3114" t="e">
        <f t="shared" ca="1" si="1"/>
        <v>#REF!</v>
      </c>
      <c r="F12" s="3114" t="e">
        <f t="shared" ca="1" si="2"/>
        <v>#REF!</v>
      </c>
    </row>
    <row r="13" spans="1:6" ht="14.25">
      <c r="A13" s="260"/>
      <c r="B13" s="3113" t="e">
        <f t="shared" ca="1" si="0"/>
        <v>#REF!</v>
      </c>
      <c r="C13" s="3109" t="s">
        <v>2949</v>
      </c>
      <c r="D13" s="1883"/>
      <c r="E13" s="3114" t="e">
        <f t="shared" ca="1" si="1"/>
        <v>#REF!</v>
      </c>
      <c r="F13" s="3114" t="e">
        <f t="shared" ca="1" si="2"/>
        <v>#REF!</v>
      </c>
    </row>
    <row r="14" spans="1:6" ht="14.25">
      <c r="A14" s="3107"/>
      <c r="B14" s="3113" t="e">
        <f t="shared" ca="1" si="0"/>
        <v>#REF!</v>
      </c>
      <c r="C14" s="3109" t="s">
        <v>2949</v>
      </c>
      <c r="D14" s="1883"/>
      <c r="E14" s="3114" t="e">
        <f t="shared" ca="1" si="1"/>
        <v>#REF!</v>
      </c>
      <c r="F14" s="3114"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-1</v>
      </c>
      <c r="G1" s="774">
        <f>MATCH(C1,'数据-取费表'!A6:A16,0)+5</f>
        <v>11</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528" t="s">
        <v>2466</v>
      </c>
      <c r="C8" s="1827">
        <f ca="1">ROUND(F8*F10*F9*(1-F11)/10000,0)</f>
        <v>0</v>
      </c>
      <c r="D8" s="1824" t="s">
        <v>2537</v>
      </c>
      <c r="E8" s="61" t="s">
        <v>637</v>
      </c>
      <c r="F8" s="785">
        <f ca="1">INDIRECT("'数据-取费表'!u"&amp;$G$1)</f>
        <v>0</v>
      </c>
      <c r="G8" s="1593"/>
      <c r="H8" s="2506" t="s">
        <v>1825</v>
      </c>
      <c r="I8" s="3528" t="s">
        <v>2466</v>
      </c>
      <c r="J8" s="783">
        <f ca="1">ROUND(M8*M10*M9*(1-M11)/10000,0)</f>
        <v>0</v>
      </c>
      <c r="K8" s="341" t="s">
        <v>2537</v>
      </c>
      <c r="L8" s="784" t="s">
        <v>1739</v>
      </c>
      <c r="M8" s="785">
        <f ca="1">INDIRECT("'数据-取费表'!z"&amp;$G$1)</f>
        <v>0</v>
      </c>
    </row>
    <row r="9" spans="1:25" ht="18" customHeight="1">
      <c r="A9" s="2502"/>
      <c r="B9" s="3529"/>
      <c r="C9" s="1828"/>
      <c r="D9" s="1825"/>
      <c r="E9" s="61" t="s">
        <v>638</v>
      </c>
      <c r="F9" s="785">
        <f ca="1">IF(INDIRECT("'数据-取费表'!ah"&amp;$G$1)="",INDIRECT("'数据-取费表'!k"&amp;$G$1),INDIRECT("'数据-取费表'!ah"&amp;$G$1))</f>
        <v>0</v>
      </c>
      <c r="G9" s="1593"/>
      <c r="H9" s="2491"/>
      <c r="I9" s="3529"/>
      <c r="J9" s="788"/>
      <c r="K9" s="789"/>
      <c r="L9" s="784" t="s">
        <v>1740</v>
      </c>
      <c r="M9" s="785">
        <f ca="1">F9</f>
        <v>0</v>
      </c>
    </row>
    <row r="10" spans="1:25" ht="18" customHeight="1">
      <c r="A10" s="2495"/>
      <c r="B10" s="3530"/>
      <c r="C10" s="1828"/>
      <c r="D10" s="1825"/>
      <c r="E10" s="61" t="s">
        <v>639</v>
      </c>
      <c r="F10" s="785">
        <f ca="1">INDIRECT("'数据-取费表'!ai"&amp;$G$1)</f>
        <v>0</v>
      </c>
      <c r="G10" s="1593"/>
      <c r="H10" s="2491"/>
      <c r="I10" s="3530"/>
      <c r="J10" s="788"/>
      <c r="K10" s="789"/>
      <c r="L10" s="784" t="s">
        <v>1741</v>
      </c>
      <c r="M10" s="785">
        <f ca="1">INDIRECT("'数据-取费表'!ai"&amp;$G$1)</f>
        <v>0</v>
      </c>
    </row>
    <row r="11" spans="1:25" ht="18" customHeight="1">
      <c r="A11" s="786"/>
      <c r="B11" s="3531"/>
      <c r="C11" s="1828"/>
      <c r="D11" s="1825"/>
      <c r="E11" s="61" t="s">
        <v>640</v>
      </c>
      <c r="F11" s="794">
        <f ca="1">INDIRECT("'数据-取费表'!w"&amp;$G$1)</f>
        <v>0</v>
      </c>
      <c r="G11" s="1593"/>
      <c r="H11" s="2507"/>
      <c r="I11" s="3530"/>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2978</v>
      </c>
      <c r="E12" s="2500" t="s">
        <v>2467</v>
      </c>
      <c r="F12" s="2623"/>
      <c r="G12" s="1593"/>
      <c r="H12" s="2563" t="s">
        <v>1826</v>
      </c>
      <c r="I12" s="2568" t="s">
        <v>2462</v>
      </c>
      <c r="J12" s="783">
        <f ca="1">ROUND(IF(M12="押一",J8/12*M13,IF(M12="押二",J8/12*2*M13,IF(M12="押三",J8/12*3*M13,J13*M13))),0)</f>
        <v>0</v>
      </c>
      <c r="K12" s="2503" t="s">
        <v>2978</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2827</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单利计息。建造成本、管理费用、销售费用产生的利息。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(建造成本+管理费用)×利率×(建设周期÷2)</v>
      </c>
      <c r="E25" s="784" t="s">
        <v>678</v>
      </c>
      <c r="F25" s="640">
        <f>'数据-取费表'!B20</f>
        <v>1</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5.0000000000000001E-4</v>
      </c>
      <c r="D26" s="2573" t="str">
        <f>IF(F25&lt;=1,"销售费用×利率×(建设周期÷2)","销售费用×((1+利率)^(建设周期÷2)-1)")</f>
        <v>销售费用×利率×(建设周期÷2)</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2824</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2825</v>
      </c>
      <c r="C31" s="2546">
        <f ca="1">ROUND((C21+C22+C25+C28)/(1-F23-C26-C29-C30),0)</f>
        <v>0</v>
      </c>
      <c r="D31" s="2547"/>
      <c r="E31" s="2548"/>
      <c r="F31" s="2549"/>
      <c r="G31" s="1594"/>
      <c r="H31" s="823" t="s">
        <v>1873</v>
      </c>
      <c r="I31" s="3014" t="s">
        <v>2826</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1.5</v>
      </c>
      <c r="G36" s="2064"/>
      <c r="H36" s="2067"/>
      <c r="I36" s="3527"/>
      <c r="J36" s="2081"/>
      <c r="K36" s="2082"/>
      <c r="L36" s="2081"/>
      <c r="M36" s="2081"/>
    </row>
    <row r="37" spans="1:18" ht="18" customHeight="1">
      <c r="A37" s="815"/>
      <c r="B37" s="793"/>
      <c r="C37" s="69"/>
      <c r="D37" s="816"/>
      <c r="E37" s="784" t="s">
        <v>674</v>
      </c>
      <c r="F37" s="785">
        <f ca="1">INDIRECT("'数据-取费表'!r"&amp;$G$1)</f>
        <v>0</v>
      </c>
      <c r="G37" s="2064"/>
      <c r="H37" s="2067"/>
      <c r="I37" s="3527"/>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5" t="s">
        <v>2966</v>
      </c>
      <c r="F43" s="3126">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40">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7" t="s">
        <v>2969</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3" t="str">
        <f ca="1">IF(M48="住宅",0,IF(L49&gt;J52,L61,J61))</f>
        <v>0</v>
      </c>
      <c r="O47" s="2396" t="s">
        <v>2413</v>
      </c>
      <c r="P47" s="1593"/>
      <c r="Q47" s="1605"/>
      <c r="R47" s="1593"/>
    </row>
    <row r="48" spans="1:18" s="2061" customFormat="1" ht="18" customHeight="1" thickBot="1">
      <c r="A48" s="2086"/>
      <c r="C48" s="2089"/>
      <c r="D48" s="2090"/>
      <c r="E48" s="2090"/>
      <c r="F48" s="2091"/>
      <c r="G48" s="2092"/>
      <c r="I48" s="3153" t="s">
        <v>2347</v>
      </c>
      <c r="J48" s="2383"/>
      <c r="K48" s="3160" t="s">
        <v>2352</v>
      </c>
      <c r="L48" s="3164">
        <f ca="1">INDIRECT("'数据-取费表'!d"&amp;$G$1)</f>
        <v>0</v>
      </c>
      <c r="M48" s="3124"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9" t="s">
        <v>2348</v>
      </c>
      <c r="J49" s="2384"/>
      <c r="K49" s="3161"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9" t="s">
        <v>2349</v>
      </c>
      <c r="J50" s="2385"/>
      <c r="K50" s="3162"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9" t="s">
        <v>2350</v>
      </c>
      <c r="J51" s="3157">
        <f>SUMPRODUCT((I64:I66=J48)*(J63:L63=J49)*(J64:L66))</f>
        <v>0</v>
      </c>
      <c r="K51" s="3162" t="s">
        <v>2356</v>
      </c>
      <c r="L51" s="2386"/>
      <c r="O51" s="2403" t="s">
        <v>2386</v>
      </c>
      <c r="P51" s="2401" t="s">
        <v>2410</v>
      </c>
      <c r="Q51" s="2402">
        <f ca="1">C31</f>
        <v>0</v>
      </c>
      <c r="R51" s="2401" t="s">
        <v>2383</v>
      </c>
    </row>
    <row r="52" spans="1:18" s="2061" customFormat="1" ht="18" customHeight="1" thickBot="1">
      <c r="A52" s="2098"/>
      <c r="F52" s="2087"/>
      <c r="I52" s="3154" t="s">
        <v>2351</v>
      </c>
      <c r="J52" s="3158">
        <f>IF(J50="",J51,J50+J51-YEAR('数据-取费表'!B3))</f>
        <v>0</v>
      </c>
      <c r="K52" s="3129" t="s">
        <v>2357</v>
      </c>
      <c r="L52" s="3165">
        <f ca="1">ROUND(-PV(INDIRECT("'数据-取费表'!h"&amp;$G$1),L49,(C40-C14*J36),0),0)</f>
        <v>0</v>
      </c>
      <c r="O52" s="2403" t="s">
        <v>2387</v>
      </c>
      <c r="P52" s="2401" t="s">
        <v>2388</v>
      </c>
      <c r="Q52" s="2404" t="e">
        <f ca="1">J59</f>
        <v>#VALUE!</v>
      </c>
      <c r="R52" s="2405"/>
    </row>
    <row r="53" spans="1:18" s="2061" customFormat="1" ht="18" customHeight="1" thickBot="1">
      <c r="A53" s="2098"/>
      <c r="F53" s="2087"/>
      <c r="I53" s="3155" t="s">
        <v>2424</v>
      </c>
      <c r="J53" s="2387"/>
      <c r="K53" s="3155" t="s">
        <v>2423</v>
      </c>
      <c r="L53" s="2387"/>
      <c r="O53" s="2403" t="s">
        <v>2389</v>
      </c>
      <c r="P53" s="2401" t="s">
        <v>2390</v>
      </c>
      <c r="Q53" s="2404">
        <f>J53</f>
        <v>0</v>
      </c>
      <c r="R53" s="2405"/>
    </row>
    <row r="54" spans="1:18" s="2061" customFormat="1" ht="29.25" thickBot="1">
      <c r="A54" s="2098"/>
      <c r="I54" s="3156" t="s">
        <v>2983</v>
      </c>
      <c r="J54" s="3159">
        <f ca="1">IF(M48="住宅",MAX(J52,L49-'数据-取费表'!B20),MIN(J52,L49-'数据-取费表'!B20))</f>
        <v>-1</v>
      </c>
      <c r="K54" s="3532"/>
      <c r="L54" s="3533"/>
      <c r="O54" s="2403" t="s">
        <v>2391</v>
      </c>
      <c r="P54" s="2401" t="s">
        <v>2392</v>
      </c>
      <c r="Q54" s="2402">
        <f ca="1">J54</f>
        <v>-1</v>
      </c>
      <c r="R54" s="2401" t="s">
        <v>2393</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2394</v>
      </c>
      <c r="P55" s="2401" t="s">
        <v>2411</v>
      </c>
      <c r="Q55" s="2402">
        <f ca="1">Q49+Q50</f>
        <v>0</v>
      </c>
      <c r="R55" s="2405" t="s">
        <v>2395</v>
      </c>
    </row>
    <row r="56" spans="1:18" s="2061" customFormat="1" ht="16.5" thickBot="1">
      <c r="A56" s="2098"/>
      <c r="B56" s="2099"/>
      <c r="C56" s="2099"/>
      <c r="I56" s="3168" t="s">
        <v>2358</v>
      </c>
      <c r="J56" s="3104" t="e">
        <f ca="1">ROUND(IF(J48="钢混",J58/J51,1-(1-2%)*(J51-J58)/J51),3)</f>
        <v>#VALUE!</v>
      </c>
      <c r="K56" s="3169" t="s">
        <v>2359</v>
      </c>
      <c r="L56" s="2388"/>
      <c r="O56" s="2406" t="s">
        <v>2414</v>
      </c>
      <c r="P56" s="1593"/>
      <c r="Q56" s="1605"/>
      <c r="R56" s="1593"/>
    </row>
    <row r="57" spans="1:18" s="2061" customFormat="1" ht="43.5" thickBot="1">
      <c r="A57" s="2098"/>
      <c r="B57" s="2099"/>
      <c r="C57" s="2099"/>
      <c r="I57" s="3170" t="s">
        <v>2360</v>
      </c>
      <c r="J57" s="3180" t="s">
        <v>1679</v>
      </c>
      <c r="K57" s="3129" t="s">
        <v>2365</v>
      </c>
      <c r="L57" s="1910">
        <f ca="1">IF(L49&lt;J52,"——",L49-J52)</f>
        <v>0</v>
      </c>
      <c r="O57" s="2397" t="s">
        <v>2378</v>
      </c>
      <c r="P57" s="2398" t="s">
        <v>2379</v>
      </c>
      <c r="Q57" s="2399" t="s">
        <v>2380</v>
      </c>
      <c r="R57" s="2398" t="s">
        <v>2381</v>
      </c>
    </row>
    <row r="58" spans="1:18" s="2061" customFormat="1" ht="29.25" thickBot="1">
      <c r="A58" s="2098"/>
      <c r="B58" s="2099"/>
      <c r="C58" s="2099"/>
      <c r="I58" s="3171" t="s">
        <v>2361</v>
      </c>
      <c r="J58" s="3172" t="str">
        <f ca="1">IF(OR(M48="住宅",J52&lt;L49,J57="是"),"——",J52-L49)</f>
        <v>——</v>
      </c>
      <c r="K58" s="3129"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71" t="s">
        <v>2362</v>
      </c>
      <c r="J59" s="3105" t="e">
        <f ca="1">IF(J56&lt;0.4,0.4,J56)</f>
        <v>#VALUE!</v>
      </c>
      <c r="K59" s="3129"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71" t="s">
        <v>2363</v>
      </c>
      <c r="J60" s="3172" t="str">
        <f ca="1">IF(OR(M48="住宅",J52&lt;L49,J57="是"),"——",ROUND(C30*J59,0))</f>
        <v>——</v>
      </c>
      <c r="K60" s="3129"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3" t="s">
        <v>2364</v>
      </c>
      <c r="J61" s="3174" t="str">
        <f ca="1">IF(OR(M48="住宅",J52&lt;L49,J57="是"),"0",ROUND(J60/(1+J53)^J54,0))</f>
        <v>0</v>
      </c>
      <c r="K61" s="3175" t="s">
        <v>2369</v>
      </c>
      <c r="L61" s="3174"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6" t="s">
        <v>2370</v>
      </c>
      <c r="J63" s="3177" t="s">
        <v>2371</v>
      </c>
      <c r="K63" s="3177" t="s">
        <v>2372</v>
      </c>
      <c r="L63" s="3177" t="s">
        <v>2353</v>
      </c>
      <c r="M63" s="3178" t="s">
        <v>2946</v>
      </c>
      <c r="O63" s="2403" t="s">
        <v>2391</v>
      </c>
      <c r="P63" s="2401" t="s">
        <v>2399</v>
      </c>
      <c r="Q63" s="2402">
        <f ca="1">L60</f>
        <v>0</v>
      </c>
      <c r="R63" s="2405" t="s">
        <v>2400</v>
      </c>
    </row>
    <row r="64" spans="1:18" s="2061" customFormat="1" ht="15.75" thickBot="1">
      <c r="A64" s="2098"/>
      <c r="B64" s="2099"/>
      <c r="C64" s="2099"/>
      <c r="I64" s="3176" t="s">
        <v>2373</v>
      </c>
      <c r="J64" s="3177">
        <v>70</v>
      </c>
      <c r="K64" s="3177">
        <v>50</v>
      </c>
      <c r="L64" s="3177">
        <v>80</v>
      </c>
      <c r="M64" s="3179">
        <v>0.02</v>
      </c>
      <c r="O64" s="2400" t="s">
        <v>2394</v>
      </c>
      <c r="P64" s="2401" t="s">
        <v>2411</v>
      </c>
      <c r="Q64" s="2402" t="e">
        <f ca="1">Q58+Q59</f>
        <v>#DIV/0!</v>
      </c>
      <c r="R64" s="2405" t="s">
        <v>2395</v>
      </c>
    </row>
    <row r="65" spans="1:18" s="2061" customFormat="1" ht="16.5" thickBot="1">
      <c r="A65" s="2098"/>
      <c r="B65" s="2099"/>
      <c r="C65" s="2099"/>
      <c r="I65" s="3176" t="s">
        <v>2374</v>
      </c>
      <c r="J65" s="3177">
        <v>50</v>
      </c>
      <c r="K65" s="3177">
        <v>35</v>
      </c>
      <c r="L65" s="3177">
        <v>60</v>
      </c>
      <c r="M65" s="846">
        <v>0</v>
      </c>
      <c r="O65" s="2406" t="s">
        <v>2418</v>
      </c>
      <c r="P65" s="1593"/>
      <c r="Q65" s="1605"/>
      <c r="R65" s="1593"/>
    </row>
    <row r="66" spans="1:18" s="2061" customFormat="1" ht="15.75" thickBot="1">
      <c r="A66" s="2098"/>
      <c r="B66" s="2099"/>
      <c r="C66" s="2099"/>
      <c r="I66" s="3176" t="s">
        <v>2375</v>
      </c>
      <c r="J66" s="3177">
        <v>40</v>
      </c>
      <c r="K66" s="3177">
        <v>30</v>
      </c>
      <c r="L66" s="3177">
        <v>50</v>
      </c>
      <c r="M66" s="3179">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AB6" sqref="AB6"/>
    </sheetView>
  </sheetViews>
  <sheetFormatPr defaultColWidth="9"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536" t="s">
        <v>2579</v>
      </c>
      <c r="C1" s="3536"/>
      <c r="D1" s="3536"/>
      <c r="E1" s="3536"/>
      <c r="F1" s="3536"/>
      <c r="G1" s="3535" t="s">
        <v>2580</v>
      </c>
      <c r="H1" s="3535"/>
      <c r="I1" s="3535"/>
      <c r="J1" s="3535"/>
      <c r="K1" s="3535"/>
      <c r="L1" s="3535"/>
      <c r="N1" s="3535" t="s">
        <v>2581</v>
      </c>
      <c r="O1" s="3535"/>
      <c r="P1" s="3535"/>
      <c r="Q1" s="3535"/>
      <c r="R1" s="2656"/>
      <c r="S1" s="3535" t="s">
        <v>2582</v>
      </c>
      <c r="T1" s="3535"/>
      <c r="U1" s="3535"/>
      <c r="V1" s="3535"/>
      <c r="X1" s="3534" t="s">
        <v>2642</v>
      </c>
      <c r="Y1" s="3535"/>
      <c r="Z1" s="3535"/>
      <c r="AA1" s="3535"/>
      <c r="AB1" s="3535"/>
      <c r="AD1" s="3534" t="s">
        <v>2646</v>
      </c>
      <c r="AE1" s="3535"/>
      <c r="AF1" s="3535"/>
      <c r="AG1" s="3535"/>
      <c r="AH1" s="3535"/>
    </row>
    <row r="2" spans="1:34" s="2758" customFormat="1" ht="14.25" thickBot="1">
      <c r="B2" s="2766" t="s">
        <v>2583</v>
      </c>
      <c r="C2" s="2766" t="s">
        <v>2644</v>
      </c>
      <c r="D2" s="2759" t="s">
        <v>1645</v>
      </c>
      <c r="E2" s="2759" t="s">
        <v>1952</v>
      </c>
      <c r="F2" s="2766" t="s">
        <v>2645</v>
      </c>
      <c r="G2" s="2762"/>
      <c r="H2" s="2761"/>
      <c r="I2" s="2766" t="s">
        <v>2960</v>
      </c>
      <c r="J2" s="2759" t="s">
        <v>2962</v>
      </c>
      <c r="K2" s="2759" t="s">
        <v>2963</v>
      </c>
      <c r="L2" s="2766" t="s">
        <v>2964</v>
      </c>
      <c r="N2" s="2766" t="s">
        <v>2583</v>
      </c>
      <c r="O2" s="2759" t="s">
        <v>2961</v>
      </c>
      <c r="P2" s="2759" t="s">
        <v>1952</v>
      </c>
      <c r="Q2" s="2766" t="s">
        <v>2645</v>
      </c>
      <c r="R2" s="2760"/>
      <c r="S2" s="2766" t="s">
        <v>2583</v>
      </c>
      <c r="T2" s="2759" t="s">
        <v>2961</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7" customFormat="1" ht="14.25">
      <c r="A3" s="3149" t="s">
        <v>2973</v>
      </c>
      <c r="B3" s="3138"/>
      <c r="C3" s="3138"/>
      <c r="D3" s="3139"/>
      <c r="E3" s="3139"/>
      <c r="F3" s="3138"/>
      <c r="G3" s="3140"/>
      <c r="H3" s="3141"/>
      <c r="I3" s="3148">
        <f>ROUND(AVERAGE($I4:$I24),2)</f>
        <v>2.19</v>
      </c>
      <c r="J3" s="3148">
        <f>ROUND(AVERAGE($J4:$J24),2)</f>
        <v>1.53</v>
      </c>
      <c r="K3" s="3148">
        <f>ROUND(AVERAGE($K4:$K24),2)</f>
        <v>2.41</v>
      </c>
      <c r="L3" s="3148">
        <f>ROUND(AVERAGE($L4:$L24),2)</f>
        <v>1.42</v>
      </c>
      <c r="N3" s="3140"/>
      <c r="O3" s="3142"/>
      <c r="P3" s="3142"/>
      <c r="Q3" s="3142"/>
      <c r="R3" s="3142"/>
      <c r="S3" s="3140"/>
      <c r="T3" s="3142"/>
      <c r="U3" s="3142"/>
      <c r="V3" s="3142"/>
      <c r="W3" s="3145"/>
      <c r="X3" s="3143">
        <f>ROUND(SUMPRODUCT(PRODUCT(1+N3:N$23)),4)</f>
        <v>1.4956</v>
      </c>
      <c r="Y3" s="3143">
        <f>ROUND(SUMPRODUCT(PRODUCT(1+O3:O$23)),4)</f>
        <v>1.3237000000000001</v>
      </c>
      <c r="Z3" s="3143">
        <f t="shared" ref="Z3:Z21" si="0">Y3</f>
        <v>1.3237000000000001</v>
      </c>
      <c r="AA3" s="3143">
        <f>ROUND(SUMPRODUCT(PRODUCT(1+P3:P$23)),4)</f>
        <v>1.554</v>
      </c>
      <c r="AB3" s="3143">
        <f>ROUND(SUMPRODUCT(PRODUCT(1+Q3:Q$23)),4)</f>
        <v>1.3087</v>
      </c>
      <c r="AD3" s="3144">
        <f>ROUND(AVERAGE(I3:I$24)/100,4)</f>
        <v>2.1899999999999999E-2</v>
      </c>
      <c r="AE3" s="3144">
        <f>ROUND(AVERAGE(J3:J$24)/100,4)</f>
        <v>1.5299999999999999E-2</v>
      </c>
      <c r="AF3" s="3144">
        <f t="shared" ref="AF3:AF22" si="1">AE3</f>
        <v>1.5299999999999999E-2</v>
      </c>
      <c r="AG3" s="3144">
        <f>ROUND(AVERAGE(K3:K$24)/100,4)</f>
        <v>2.41E-2</v>
      </c>
      <c r="AH3" s="3144">
        <f>ROUND(AVERAGE(L3:L$24)/100,4)</f>
        <v>1.4200000000000001E-2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W4" s="3146"/>
      <c r="X4" s="2756"/>
      <c r="Y4" s="2756"/>
      <c r="Z4" s="2756"/>
      <c r="AA4" s="2756"/>
      <c r="AB4" s="2756"/>
      <c r="AD4" s="2676"/>
      <c r="AE4" s="2676"/>
      <c r="AF4" s="2676"/>
      <c r="AG4" s="2676"/>
      <c r="AH4" s="2676"/>
    </row>
    <row r="5" spans="1:34" s="3118" customFormat="1">
      <c r="A5" s="3116" t="s">
        <v>2986</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7">
        <v>4</v>
      </c>
      <c r="I5" s="3131">
        <v>0</v>
      </c>
      <c r="J5" s="3131">
        <v>0</v>
      </c>
      <c r="K5" s="3131">
        <v>0</v>
      </c>
      <c r="L5" s="3131">
        <v>0</v>
      </c>
      <c r="N5" s="2764">
        <f t="shared" ref="N5" si="6">I5/100</f>
        <v>0</v>
      </c>
      <c r="O5" s="2764">
        <f t="shared" ref="O5" si="7">J5/100</f>
        <v>0</v>
      </c>
      <c r="P5" s="2764">
        <f t="shared" ref="P5" si="8">K5/100</f>
        <v>0</v>
      </c>
      <c r="Q5" s="2764">
        <f t="shared" ref="Q5" si="9">L5/100</f>
        <v>0</v>
      </c>
      <c r="R5" s="3119"/>
      <c r="S5" s="3120"/>
      <c r="T5" s="3119"/>
      <c r="U5" s="3119"/>
      <c r="V5" s="3119"/>
      <c r="W5" s="3147" t="s">
        <v>2974</v>
      </c>
      <c r="X5" s="3121">
        <f>ROUND(SUMPRODUCT(PRODUCT(1+N5:N$23)),4)</f>
        <v>1.4956</v>
      </c>
      <c r="Y5" s="3121">
        <f>ROUND(SUMPRODUCT(PRODUCT(1+O6:O$24)),4)</f>
        <v>1.3547</v>
      </c>
      <c r="Z5" s="3121">
        <f t="shared" ref="Z5" si="10">Y5</f>
        <v>1.3547</v>
      </c>
      <c r="AA5" s="3121">
        <f>ROUND(SUMPRODUCT(PRODUCT(1+P6:P$24)),4)</f>
        <v>1.605</v>
      </c>
      <c r="AB5" s="3121">
        <f>ROUND(SUMPRODUCT(PRODUCT(1+Q6:Q$24)),4)</f>
        <v>1.3265</v>
      </c>
      <c r="AD5" s="3122">
        <f>ROUND(AVERAGE(I5:I$24)/100,4)</f>
        <v>2.1899999999999999E-2</v>
      </c>
      <c r="AE5" s="3122">
        <f>ROUND(AVERAGE(J5:J$24)/100,4)</f>
        <v>1.5299999999999999E-2</v>
      </c>
      <c r="AF5" s="3122">
        <f t="shared" ref="AF5" si="11">AE5</f>
        <v>1.5299999999999999E-2</v>
      </c>
      <c r="AG5" s="3122">
        <f>ROUND(AVERAGE(K5:K$24)/100,4)</f>
        <v>2.41E-2</v>
      </c>
      <c r="AH5" s="3122">
        <f>ROUND(AVERAGE(L5:L$24)/100,4)</f>
        <v>1.4200000000000001E-2</v>
      </c>
    </row>
    <row r="6" spans="1:34" s="2763" customFormat="1" ht="13.5" thickBot="1">
      <c r="A6" s="2657" t="s">
        <v>2984</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6"/>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2985</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6"/>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2980</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6"/>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2971</v>
      </c>
      <c r="B9" s="3151">
        <v>439</v>
      </c>
      <c r="C9" s="3151">
        <v>327</v>
      </c>
      <c r="D9" s="3151">
        <f t="shared" si="33"/>
        <v>327</v>
      </c>
      <c r="E9" s="3151">
        <v>627</v>
      </c>
      <c r="F9" s="3152">
        <v>283</v>
      </c>
      <c r="G9" s="3134">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2975</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6"/>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2584</v>
      </c>
      <c r="B11" s="2671">
        <f t="shared" si="45"/>
        <v>419.31181600000002</v>
      </c>
      <c r="C11" s="2671">
        <f t="shared" si="45"/>
        <v>313.95436800000004</v>
      </c>
      <c r="D11" s="2671">
        <f t="shared" si="33"/>
        <v>313.95436800000004</v>
      </c>
      <c r="E11" s="2671">
        <f t="shared" si="46"/>
        <v>596.63028431999999</v>
      </c>
      <c r="F11" s="2671">
        <f t="shared" si="46"/>
        <v>274.74220703999998</v>
      </c>
      <c r="G11" s="3135"/>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2585</v>
      </c>
      <c r="B12" s="2671">
        <f t="shared" si="45"/>
        <v>405.524</v>
      </c>
      <c r="C12" s="2671">
        <f t="shared" si="45"/>
        <v>307.79840000000002</v>
      </c>
      <c r="D12" s="2671">
        <f t="shared" si="33"/>
        <v>307.79840000000002</v>
      </c>
      <c r="E12" s="2671">
        <f t="shared" si="46"/>
        <v>574.67759999999998</v>
      </c>
      <c r="F12" s="2671">
        <f t="shared" si="46"/>
        <v>270.20280000000002</v>
      </c>
      <c r="G12" s="3136"/>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971</v>
      </c>
      <c r="B13" s="2663">
        <v>392</v>
      </c>
      <c r="C13" s="2663">
        <v>302</v>
      </c>
      <c r="D13" s="2663">
        <f t="shared" si="33"/>
        <v>302</v>
      </c>
      <c r="E13" s="2663">
        <v>553</v>
      </c>
      <c r="F13" s="2664">
        <v>266</v>
      </c>
      <c r="G13" s="3543">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970</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538"/>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960</v>
      </c>
      <c r="B15" s="2671">
        <f t="shared" si="54"/>
        <v>360.06949782209392</v>
      </c>
      <c r="C15" s="2671">
        <f t="shared" si="54"/>
        <v>289.84672674747821</v>
      </c>
      <c r="D15" s="2671">
        <f t="shared" si="55"/>
        <v>289.84672674747821</v>
      </c>
      <c r="E15" s="2671">
        <f t="shared" si="56"/>
        <v>501.06543001181495</v>
      </c>
      <c r="F15" s="2671">
        <f t="shared" si="56"/>
        <v>256.82882500744967</v>
      </c>
      <c r="G15" s="3538"/>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969</v>
      </c>
      <c r="B16" s="2671">
        <f t="shared" si="54"/>
        <v>346.720748986128</v>
      </c>
      <c r="C16" s="2671">
        <f t="shared" si="54"/>
        <v>284.30282172386285</v>
      </c>
      <c r="D16" s="2671">
        <f t="shared" si="55"/>
        <v>284.30282172386285</v>
      </c>
      <c r="E16" s="2671">
        <f t="shared" si="56"/>
        <v>479.58023546306947</v>
      </c>
      <c r="F16" s="2671">
        <f t="shared" si="56"/>
        <v>253.25788877571213</v>
      </c>
      <c r="G16" s="3539"/>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968</v>
      </c>
      <c r="B17" s="2663">
        <v>333</v>
      </c>
      <c r="C17" s="2663">
        <v>277</v>
      </c>
      <c r="D17" s="2663">
        <f t="shared" si="55"/>
        <v>277</v>
      </c>
      <c r="E17" s="2663">
        <v>459</v>
      </c>
      <c r="F17" s="2664">
        <v>249</v>
      </c>
      <c r="G17" s="3537">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967</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538"/>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966</v>
      </c>
      <c r="B19" s="2671">
        <f t="shared" si="58"/>
        <v>322.34053690220776</v>
      </c>
      <c r="C19" s="2671">
        <f t="shared" si="58"/>
        <v>271.46160770422546</v>
      </c>
      <c r="D19" s="2671">
        <f t="shared" si="55"/>
        <v>271.46160770422546</v>
      </c>
      <c r="E19" s="2671">
        <f t="shared" si="59"/>
        <v>442.69434542172456</v>
      </c>
      <c r="F19" s="2671">
        <f t="shared" si="59"/>
        <v>241.34030753190925</v>
      </c>
      <c r="G19" s="3538"/>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965</v>
      </c>
      <c r="B20" s="2671">
        <f t="shared" si="58"/>
        <v>319.87748030386797</v>
      </c>
      <c r="C20" s="2671">
        <f t="shared" si="58"/>
        <v>269.60135833173649</v>
      </c>
      <c r="D20" s="2671">
        <f t="shared" si="55"/>
        <v>269.60135833173649</v>
      </c>
      <c r="E20" s="2671">
        <f t="shared" si="59"/>
        <v>439.18089823583784</v>
      </c>
      <c r="F20" s="2671">
        <f t="shared" si="59"/>
        <v>239.23503918706311</v>
      </c>
      <c r="G20" s="3539"/>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964</v>
      </c>
      <c r="B21" s="2685">
        <v>318</v>
      </c>
      <c r="C21" s="2685">
        <v>268</v>
      </c>
      <c r="D21" s="2685">
        <f t="shared" si="55"/>
        <v>268</v>
      </c>
      <c r="E21" s="2685">
        <v>437</v>
      </c>
      <c r="F21" s="2686">
        <v>237</v>
      </c>
      <c r="G21" s="3537">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963</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538"/>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962</v>
      </c>
      <c r="B23" s="2671">
        <f t="shared" si="60"/>
        <v>314.72141172386546</v>
      </c>
      <c r="C23" s="2671">
        <f t="shared" si="60"/>
        <v>263.03901319069001</v>
      </c>
      <c r="D23" s="2671">
        <f t="shared" si="55"/>
        <v>263.03901319069001</v>
      </c>
      <c r="E23" s="2671">
        <f t="shared" si="61"/>
        <v>433.65745506782821</v>
      </c>
      <c r="F23" s="2671">
        <f t="shared" si="61"/>
        <v>233.23005080045735</v>
      </c>
      <c r="G23" s="3538"/>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961</v>
      </c>
      <c r="B24" s="2690">
        <f t="shared" si="60"/>
        <v>307.34512863658733</v>
      </c>
      <c r="C24" s="2690">
        <f t="shared" si="60"/>
        <v>257.80556031626975</v>
      </c>
      <c r="D24" s="2690">
        <f t="shared" si="55"/>
        <v>257.80556031626975</v>
      </c>
      <c r="E24" s="2690">
        <f t="shared" si="61"/>
        <v>422.70928459677179</v>
      </c>
      <c r="F24" s="2690">
        <f t="shared" si="61"/>
        <v>229.73803270336617</v>
      </c>
      <c r="G24" s="3539"/>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2643</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2586</v>
      </c>
      <c r="B25" s="2663">
        <v>299</v>
      </c>
      <c r="C25" s="2663">
        <v>252</v>
      </c>
      <c r="D25" s="2663">
        <f t="shared" si="55"/>
        <v>252</v>
      </c>
      <c r="E25" s="2663">
        <v>409</v>
      </c>
      <c r="F25" s="2664">
        <v>227</v>
      </c>
      <c r="G25" s="3540">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2587</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541"/>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2588</v>
      </c>
      <c r="B27" s="2671">
        <f t="shared" si="64"/>
        <v>288.2649053828776</v>
      </c>
      <c r="C27" s="2671">
        <f t="shared" si="64"/>
        <v>243.64564425013293</v>
      </c>
      <c r="D27" s="2671">
        <f t="shared" si="55"/>
        <v>243.64564425013293</v>
      </c>
      <c r="E27" s="2671">
        <f t="shared" si="65"/>
        <v>393.31080825986544</v>
      </c>
      <c r="F27" s="2671">
        <f t="shared" si="65"/>
        <v>223.07903790551154</v>
      </c>
      <c r="G27" s="3541"/>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2589</v>
      </c>
      <c r="B28" s="2671">
        <f t="shared" si="64"/>
        <v>282.50186729015837</v>
      </c>
      <c r="C28" s="2671">
        <f t="shared" si="64"/>
        <v>238.09796174155468</v>
      </c>
      <c r="D28" s="2671">
        <f t="shared" si="55"/>
        <v>238.09796174155468</v>
      </c>
      <c r="E28" s="2671">
        <f t="shared" si="65"/>
        <v>385.33438646014054</v>
      </c>
      <c r="F28" s="2671">
        <f t="shared" si="65"/>
        <v>221.55034055567739</v>
      </c>
      <c r="G28" s="3542"/>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2590</v>
      </c>
      <c r="B29" s="2701">
        <v>278</v>
      </c>
      <c r="C29" s="2701">
        <v>234</v>
      </c>
      <c r="D29" s="2701">
        <f t="shared" si="55"/>
        <v>234</v>
      </c>
      <c r="E29" s="2701">
        <v>379</v>
      </c>
      <c r="F29" s="2702">
        <v>220</v>
      </c>
      <c r="G29" s="3537">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2591</v>
      </c>
      <c r="B30" s="2671">
        <f>B29/(1+N29)</f>
        <v>275.49301357645425</v>
      </c>
      <c r="C30" s="2671">
        <f>C29/(1+O29)</f>
        <v>232.41954707985698</v>
      </c>
      <c r="D30" s="2671">
        <f t="shared" si="55"/>
        <v>232.41954707985698</v>
      </c>
      <c r="E30" s="2671">
        <f t="shared" ref="E30:F32" si="66">E29/(1+P29)</f>
        <v>375.32184591008121</v>
      </c>
      <c r="F30" s="2671">
        <f t="shared" si="66"/>
        <v>218.03766105054513</v>
      </c>
      <c r="G30" s="3538"/>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2592</v>
      </c>
      <c r="B31" s="2671">
        <f>B30/(1+N30)</f>
        <v>275.24529281292263</v>
      </c>
      <c r="C31" s="2671">
        <f>C30/(1+O30)</f>
        <v>231.74747938962707</v>
      </c>
      <c r="D31" s="2671">
        <f t="shared" si="55"/>
        <v>231.74747938962707</v>
      </c>
      <c r="E31" s="2671">
        <f t="shared" si="66"/>
        <v>375.35938184826603</v>
      </c>
      <c r="F31" s="2671">
        <f t="shared" si="66"/>
        <v>216.78033510692495</v>
      </c>
      <c r="G31" s="3538"/>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2593</v>
      </c>
      <c r="B32" s="2671">
        <f>B31/(1+N31)</f>
        <v>275.19025476197027</v>
      </c>
      <c r="C32" s="2703">
        <v>232</v>
      </c>
      <c r="D32" s="2703">
        <f t="shared" si="55"/>
        <v>232</v>
      </c>
      <c r="E32" s="2671">
        <f t="shared" si="66"/>
        <v>375.65990977608692</v>
      </c>
      <c r="F32" s="2671">
        <f t="shared" si="66"/>
        <v>214.12518283971252</v>
      </c>
      <c r="G32" s="3539"/>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2594</v>
      </c>
      <c r="B33" s="2663">
        <v>275</v>
      </c>
      <c r="C33" s="2663">
        <v>232</v>
      </c>
      <c r="D33" s="2663">
        <f t="shared" si="55"/>
        <v>232</v>
      </c>
      <c r="E33" s="2663">
        <v>376</v>
      </c>
      <c r="F33" s="2664">
        <v>213</v>
      </c>
      <c r="G33" s="3537">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2595</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538">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2596</v>
      </c>
      <c r="B35" s="2671">
        <f t="shared" si="67"/>
        <v>275.19335084830601</v>
      </c>
      <c r="C35" s="2671">
        <f t="shared" si="67"/>
        <v>230.18088050139744</v>
      </c>
      <c r="D35" s="2671">
        <f t="shared" si="55"/>
        <v>230.18088050139744</v>
      </c>
      <c r="E35" s="2671">
        <f t="shared" si="68"/>
        <v>377.58482925212331</v>
      </c>
      <c r="F35" s="2671">
        <f t="shared" si="68"/>
        <v>210.90687997847917</v>
      </c>
      <c r="G35" s="3538">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2597</v>
      </c>
      <c r="B36" s="2671">
        <f t="shared" si="67"/>
        <v>276.29854502841971</v>
      </c>
      <c r="C36" s="2671">
        <f t="shared" si="67"/>
        <v>229.79023709833027</v>
      </c>
      <c r="D36" s="2671">
        <f t="shared" si="55"/>
        <v>229.79023709833027</v>
      </c>
      <c r="E36" s="2671">
        <f t="shared" si="68"/>
        <v>379.78759731655936</v>
      </c>
      <c r="F36" s="2671">
        <f t="shared" si="68"/>
        <v>211.32953905659235</v>
      </c>
      <c r="G36" s="3539">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2598</v>
      </c>
      <c r="B37" s="2663">
        <v>269</v>
      </c>
      <c r="C37" s="2663">
        <v>221</v>
      </c>
      <c r="D37" s="2663">
        <f t="shared" si="55"/>
        <v>221</v>
      </c>
      <c r="E37" s="2663">
        <v>373</v>
      </c>
      <c r="F37" s="2664">
        <v>196</v>
      </c>
      <c r="G37" s="3537">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2599</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538">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2600</v>
      </c>
      <c r="B39" s="2671">
        <f t="shared" si="69"/>
        <v>242.95398227588385</v>
      </c>
      <c r="C39" s="2671">
        <f t="shared" si="69"/>
        <v>199.59137053614126</v>
      </c>
      <c r="D39" s="2671">
        <f t="shared" si="55"/>
        <v>199.59137053614126</v>
      </c>
      <c r="E39" s="2671">
        <f t="shared" si="70"/>
        <v>335.92189522342125</v>
      </c>
      <c r="F39" s="2671">
        <f t="shared" si="70"/>
        <v>183.10139991109489</v>
      </c>
      <c r="G39" s="3538">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2601</v>
      </c>
      <c r="B40" s="2671">
        <f t="shared" si="69"/>
        <v>232.06990378821649</v>
      </c>
      <c r="C40" s="2671">
        <f t="shared" si="69"/>
        <v>192.74878854286936</v>
      </c>
      <c r="D40" s="2671">
        <f t="shared" si="55"/>
        <v>192.74878854286936</v>
      </c>
      <c r="E40" s="2671">
        <f t="shared" si="70"/>
        <v>319.71247284992984</v>
      </c>
      <c r="F40" s="2671">
        <f t="shared" si="70"/>
        <v>175.67053622862409</v>
      </c>
      <c r="G40" s="3539">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2602</v>
      </c>
      <c r="B41" s="2663">
        <v>220</v>
      </c>
      <c r="C41" s="2663">
        <v>187</v>
      </c>
      <c r="D41" s="2663">
        <f t="shared" si="55"/>
        <v>187</v>
      </c>
      <c r="E41" s="2663">
        <v>301</v>
      </c>
      <c r="F41" s="2664">
        <v>168</v>
      </c>
      <c r="G41" s="3537">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2603</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538">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2604</v>
      </c>
      <c r="B43" s="2671">
        <f t="shared" si="71"/>
        <v>210.630522469011</v>
      </c>
      <c r="C43" s="2671">
        <f t="shared" si="71"/>
        <v>181.69567812247232</v>
      </c>
      <c r="D43" s="2671">
        <f t="shared" si="55"/>
        <v>181.69567812247232</v>
      </c>
      <c r="E43" s="2671">
        <f t="shared" si="72"/>
        <v>286.13517466736738</v>
      </c>
      <c r="F43" s="2671">
        <f t="shared" si="72"/>
        <v>165.47535084591149</v>
      </c>
      <c r="G43" s="3538">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2605</v>
      </c>
      <c r="B44" s="2671">
        <f t="shared" si="71"/>
        <v>208.83454537875372</v>
      </c>
      <c r="C44" s="2671">
        <f t="shared" si="71"/>
        <v>183.77230517090351</v>
      </c>
      <c r="D44" s="2671">
        <f t="shared" si="55"/>
        <v>183.77230517090351</v>
      </c>
      <c r="E44" s="2671">
        <f t="shared" si="72"/>
        <v>281.10342338870947</v>
      </c>
      <c r="F44" s="2671">
        <f t="shared" si="72"/>
        <v>168.97309388942256</v>
      </c>
      <c r="G44" s="3539">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2606</v>
      </c>
      <c r="B45" s="2701">
        <v>214</v>
      </c>
      <c r="C45" s="2701">
        <v>188</v>
      </c>
      <c r="D45" s="2701">
        <f t="shared" si="55"/>
        <v>188</v>
      </c>
      <c r="E45" s="2701">
        <v>289</v>
      </c>
      <c r="F45" s="2702">
        <v>166</v>
      </c>
      <c r="G45" s="3537">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2607</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538">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2608</v>
      </c>
      <c r="B47" s="2671">
        <f t="shared" si="73"/>
        <v>206.31694671589116</v>
      </c>
      <c r="C47" s="2671">
        <f t="shared" si="73"/>
        <v>183.61041121036101</v>
      </c>
      <c r="D47" s="2671">
        <f t="shared" si="55"/>
        <v>183.61041121036101</v>
      </c>
      <c r="E47" s="2671">
        <f t="shared" si="74"/>
        <v>276.66850301795557</v>
      </c>
      <c r="F47" s="2671">
        <f t="shared" si="74"/>
        <v>165.1360938278614</v>
      </c>
      <c r="G47" s="3538">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2609</v>
      </c>
      <c r="B48" s="2704">
        <f t="shared" si="73"/>
        <v>196.62341248059772</v>
      </c>
      <c r="C48" s="2704">
        <f t="shared" si="73"/>
        <v>170.99125648199012</v>
      </c>
      <c r="D48" s="2704">
        <f t="shared" si="55"/>
        <v>170.99125648199012</v>
      </c>
      <c r="E48" s="2704">
        <f t="shared" si="74"/>
        <v>266.07857570490052</v>
      </c>
      <c r="F48" s="2704">
        <f t="shared" si="74"/>
        <v>154.53499328828505</v>
      </c>
      <c r="G48" s="3539">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2610</v>
      </c>
      <c r="B49" s="2663">
        <v>188</v>
      </c>
      <c r="C49" s="2663">
        <v>165</v>
      </c>
      <c r="D49" s="2663">
        <f t="shared" si="55"/>
        <v>165</v>
      </c>
      <c r="E49" s="2663">
        <v>254</v>
      </c>
      <c r="F49" s="2664">
        <v>148</v>
      </c>
      <c r="G49" s="3537">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2611</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538">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2612</v>
      </c>
      <c r="B51" s="2671">
        <f t="shared" si="77"/>
        <v>168.82017748715555</v>
      </c>
      <c r="C51" s="2671">
        <f t="shared" si="77"/>
        <v>148.06267029972753</v>
      </c>
      <c r="D51" s="2671">
        <f t="shared" si="55"/>
        <v>148.06267029972753</v>
      </c>
      <c r="E51" s="2671">
        <f t="shared" si="78"/>
        <v>216.46288379323747</v>
      </c>
      <c r="F51" s="2671">
        <f t="shared" si="78"/>
        <v>134.23529411764704</v>
      </c>
      <c r="G51" s="3538">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2613</v>
      </c>
      <c r="B52" s="2671">
        <f t="shared" si="77"/>
        <v>163.84913591779542</v>
      </c>
      <c r="C52" s="2671">
        <f t="shared" si="77"/>
        <v>145.0283378746594</v>
      </c>
      <c r="D52" s="2671">
        <f t="shared" si="55"/>
        <v>145.0283378746594</v>
      </c>
      <c r="E52" s="2671">
        <f t="shared" si="78"/>
        <v>204.95180722891567</v>
      </c>
      <c r="F52" s="2671">
        <f t="shared" si="78"/>
        <v>125.95920303605313</v>
      </c>
      <c r="G52" s="3539">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2614</v>
      </c>
      <c r="B53" s="2685">
        <v>159</v>
      </c>
      <c r="C53" s="2685">
        <v>141</v>
      </c>
      <c r="D53" s="2685">
        <f t="shared" si="55"/>
        <v>141</v>
      </c>
      <c r="E53" s="2685">
        <v>195</v>
      </c>
      <c r="F53" s="2686">
        <v>122</v>
      </c>
      <c r="G53" s="3537">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2615</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538">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2616</v>
      </c>
      <c r="B55" s="2671">
        <f t="shared" si="81"/>
        <v>146.57412060301507</v>
      </c>
      <c r="C55" s="2671">
        <f t="shared" si="81"/>
        <v>136.46831955922866</v>
      </c>
      <c r="D55" s="2671">
        <f t="shared" si="55"/>
        <v>136.46831955922866</v>
      </c>
      <c r="E55" s="2671">
        <f t="shared" si="82"/>
        <v>166.73864894795128</v>
      </c>
      <c r="F55" s="2671">
        <f t="shared" si="82"/>
        <v>115.05882352941177</v>
      </c>
      <c r="G55" s="3538">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2617</v>
      </c>
      <c r="B56" s="2671">
        <f t="shared" si="81"/>
        <v>144.04145728643215</v>
      </c>
      <c r="C56" s="2671">
        <f t="shared" si="81"/>
        <v>136.12396694214877</v>
      </c>
      <c r="D56" s="2671">
        <f t="shared" si="55"/>
        <v>136.12396694214877</v>
      </c>
      <c r="E56" s="2671">
        <f t="shared" si="82"/>
        <v>158.32225913621264</v>
      </c>
      <c r="F56" s="2671">
        <f t="shared" si="82"/>
        <v>114.04278074866311</v>
      </c>
      <c r="G56" s="3539">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2618</v>
      </c>
      <c r="B57" s="2685">
        <v>138</v>
      </c>
      <c r="C57" s="2685">
        <v>131</v>
      </c>
      <c r="D57" s="2685">
        <f t="shared" si="55"/>
        <v>131</v>
      </c>
      <c r="E57" s="2685">
        <v>155</v>
      </c>
      <c r="F57" s="2686">
        <v>114</v>
      </c>
      <c r="G57" s="3537">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2619</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538">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2620</v>
      </c>
      <c r="B59" s="2671">
        <f t="shared" si="85"/>
        <v>124.29032258064517</v>
      </c>
      <c r="C59" s="2671">
        <f t="shared" si="85"/>
        <v>123.8968609865471</v>
      </c>
      <c r="D59" s="2671">
        <f t="shared" si="55"/>
        <v>123.8968609865471</v>
      </c>
      <c r="E59" s="2671">
        <f t="shared" si="86"/>
        <v>138.00507614213197</v>
      </c>
      <c r="F59" s="2671">
        <f t="shared" si="86"/>
        <v>107.96106557377048</v>
      </c>
      <c r="G59" s="3538">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2621</v>
      </c>
      <c r="B60" s="2671">
        <f t="shared" si="85"/>
        <v>122.57204301075269</v>
      </c>
      <c r="C60" s="2671">
        <f t="shared" si="85"/>
        <v>123.4932735426009</v>
      </c>
      <c r="D60" s="2671">
        <f t="shared" si="55"/>
        <v>123.4932735426009</v>
      </c>
      <c r="E60" s="2671">
        <f t="shared" si="86"/>
        <v>129.82233502538071</v>
      </c>
      <c r="F60" s="2671">
        <f t="shared" si="86"/>
        <v>107.39446721311475</v>
      </c>
      <c r="G60" s="3539">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2622</v>
      </c>
      <c r="B61" s="2701">
        <v>121</v>
      </c>
      <c r="C61" s="2701">
        <v>122</v>
      </c>
      <c r="D61" s="2701">
        <f t="shared" si="55"/>
        <v>122</v>
      </c>
      <c r="E61" s="2701">
        <v>124</v>
      </c>
      <c r="F61" s="2702">
        <v>107</v>
      </c>
      <c r="G61" s="3537">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2623</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538">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2624</v>
      </c>
      <c r="B63" s="2671">
        <f t="shared" si="89"/>
        <v>116.99099099099099</v>
      </c>
      <c r="C63" s="2671">
        <f t="shared" si="89"/>
        <v>118.84848484848486</v>
      </c>
      <c r="D63" s="2671">
        <f t="shared" si="55"/>
        <v>118.84848484848486</v>
      </c>
      <c r="E63" s="2671">
        <f t="shared" si="90"/>
        <v>117.60960960960961</v>
      </c>
      <c r="F63" s="2671">
        <f t="shared" si="90"/>
        <v>104</v>
      </c>
      <c r="G63" s="3538">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2625</v>
      </c>
      <c r="B64" s="2704">
        <f t="shared" si="89"/>
        <v>112.48648648648648</v>
      </c>
      <c r="C64" s="2704">
        <f t="shared" si="89"/>
        <v>115.21212121212122</v>
      </c>
      <c r="D64" s="2704">
        <f t="shared" si="55"/>
        <v>115.21212121212122</v>
      </c>
      <c r="E64" s="2704">
        <f t="shared" si="90"/>
        <v>110.4024024024024</v>
      </c>
      <c r="F64" s="2704">
        <f t="shared" si="90"/>
        <v>104</v>
      </c>
      <c r="G64" s="3539">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2626</v>
      </c>
      <c r="B65" s="2722">
        <v>111</v>
      </c>
      <c r="C65" s="2722">
        <v>114</v>
      </c>
      <c r="D65" s="2722">
        <f t="shared" si="55"/>
        <v>114</v>
      </c>
      <c r="E65" s="2722">
        <v>108</v>
      </c>
      <c r="F65" s="2723">
        <v>104</v>
      </c>
      <c r="G65" s="3537">
        <v>2003</v>
      </c>
      <c r="H65" s="2712">
        <v>4</v>
      </c>
      <c r="I65" s="2724"/>
      <c r="J65" s="2724"/>
      <c r="K65" s="2724"/>
      <c r="L65" s="2724"/>
      <c r="N65" s="2725"/>
      <c r="O65" s="2724"/>
      <c r="P65" s="2724"/>
      <c r="Q65" s="2724"/>
      <c r="S65" s="2725"/>
      <c r="T65" s="2724"/>
      <c r="U65" s="2724"/>
      <c r="V65" s="2724"/>
      <c r="X65" s="2716"/>
      <c r="Y65" s="2716"/>
      <c r="Z65" s="2716"/>
    </row>
    <row r="66" spans="1:26">
      <c r="A66" s="2657" t="s">
        <v>2627</v>
      </c>
      <c r="B66" s="2726">
        <f t="shared" ref="B66:C68" si="91">B67+(B$65-B$69)/4</f>
        <v>109.75</v>
      </c>
      <c r="C66" s="2726">
        <f t="shared" si="91"/>
        <v>112.25</v>
      </c>
      <c r="D66" s="2726">
        <f t="shared" si="55"/>
        <v>112.25</v>
      </c>
      <c r="E66" s="2726">
        <f t="shared" ref="E66:F68" si="92">E67+(E$65-E$69)/4</f>
        <v>107.25</v>
      </c>
      <c r="F66" s="2726">
        <f t="shared" si="92"/>
        <v>103.5</v>
      </c>
      <c r="G66" s="3538">
        <v>2003</v>
      </c>
      <c r="H66" s="2682">
        <v>3</v>
      </c>
      <c r="I66" s="2724"/>
      <c r="J66" s="2724"/>
      <c r="K66" s="2724"/>
      <c r="L66" s="2724"/>
      <c r="X66" s="2716"/>
      <c r="Y66" s="2716"/>
      <c r="Z66" s="2716"/>
    </row>
    <row r="67" spans="1:26">
      <c r="A67" s="2657" t="s">
        <v>2628</v>
      </c>
      <c r="B67" s="2726">
        <f t="shared" si="91"/>
        <v>108.5</v>
      </c>
      <c r="C67" s="2726">
        <f t="shared" si="91"/>
        <v>110.5</v>
      </c>
      <c r="D67" s="2726">
        <f t="shared" si="55"/>
        <v>110.5</v>
      </c>
      <c r="E67" s="2726">
        <f t="shared" si="92"/>
        <v>106.5</v>
      </c>
      <c r="F67" s="2726">
        <f t="shared" si="92"/>
        <v>103</v>
      </c>
      <c r="G67" s="3538">
        <v>2003</v>
      </c>
      <c r="H67" s="2662">
        <v>2</v>
      </c>
      <c r="I67" s="2724"/>
      <c r="J67" s="2724"/>
      <c r="K67" s="2724"/>
      <c r="L67" s="2724"/>
      <c r="X67" s="2716"/>
      <c r="Y67" s="2716"/>
      <c r="Z67" s="2716"/>
    </row>
    <row r="68" spans="1:26" ht="13.5" thickBot="1">
      <c r="A68" s="2657" t="s">
        <v>2629</v>
      </c>
      <c r="B68" s="2726">
        <f t="shared" si="91"/>
        <v>107.25</v>
      </c>
      <c r="C68" s="2726">
        <f t="shared" si="91"/>
        <v>108.75</v>
      </c>
      <c r="D68" s="2726">
        <f t="shared" si="55"/>
        <v>108.75</v>
      </c>
      <c r="E68" s="2726">
        <f t="shared" si="92"/>
        <v>105.75</v>
      </c>
      <c r="F68" s="2726">
        <f t="shared" si="92"/>
        <v>102.5</v>
      </c>
      <c r="G68" s="3539">
        <v>2003</v>
      </c>
      <c r="H68" s="2727">
        <v>1</v>
      </c>
      <c r="I68" s="2724"/>
      <c r="J68" s="2724"/>
      <c r="K68" s="2724"/>
      <c r="L68" s="2724"/>
      <c r="S68" s="2666"/>
      <c r="T68" s="2667"/>
      <c r="U68" s="2667"/>
      <c r="X68" s="2716"/>
      <c r="Y68" s="2716"/>
      <c r="Z68" s="2716"/>
    </row>
    <row r="69" spans="1:26" ht="13.5" thickBot="1">
      <c r="A69" s="2657" t="s">
        <v>2630</v>
      </c>
      <c r="B69" s="2728">
        <v>106</v>
      </c>
      <c r="C69" s="2728">
        <v>107</v>
      </c>
      <c r="D69" s="2728">
        <f t="shared" si="55"/>
        <v>107</v>
      </c>
      <c r="E69" s="2728">
        <v>105</v>
      </c>
      <c r="F69" s="2729">
        <v>102</v>
      </c>
      <c r="G69" s="3537">
        <v>2002</v>
      </c>
      <c r="H69" s="2677">
        <v>4</v>
      </c>
      <c r="I69" s="2724"/>
      <c r="J69" s="2724"/>
      <c r="K69" s="2724"/>
      <c r="L69" s="2724"/>
      <c r="N69" s="2725"/>
      <c r="O69" s="2724"/>
      <c r="P69" s="2724"/>
      <c r="Q69" s="2724"/>
      <c r="S69" s="2725"/>
      <c r="T69" s="2724"/>
      <c r="U69" s="2724"/>
      <c r="V69" s="2724"/>
      <c r="X69" s="2716"/>
      <c r="Y69" s="2716"/>
      <c r="Z69" s="2716"/>
    </row>
    <row r="70" spans="1:26">
      <c r="A70" s="2657" t="s">
        <v>2631</v>
      </c>
      <c r="B70" s="2726">
        <f t="shared" ref="B70:C72" si="93">B71+(B$69-B$73)/4</f>
        <v>105</v>
      </c>
      <c r="C70" s="2726">
        <f t="shared" si="93"/>
        <v>106</v>
      </c>
      <c r="D70" s="2726">
        <f t="shared" si="55"/>
        <v>106</v>
      </c>
      <c r="E70" s="2726">
        <f t="shared" ref="E70:F72" si="94">E71+(E$69-E$73)/4</f>
        <v>104.5</v>
      </c>
      <c r="F70" s="2726">
        <f t="shared" si="94"/>
        <v>101.5</v>
      </c>
      <c r="G70" s="3538">
        <v>2002</v>
      </c>
      <c r="H70" s="2682">
        <v>3</v>
      </c>
      <c r="I70" s="2724"/>
      <c r="J70" s="2724"/>
      <c r="K70" s="2724"/>
      <c r="L70" s="2724"/>
      <c r="X70" s="2716"/>
      <c r="Y70" s="2716"/>
      <c r="Z70" s="2716"/>
    </row>
    <row r="71" spans="1:26">
      <c r="A71" s="2657" t="s">
        <v>2632</v>
      </c>
      <c r="B71" s="2726">
        <f t="shared" si="93"/>
        <v>104</v>
      </c>
      <c r="C71" s="2726">
        <f t="shared" si="93"/>
        <v>105</v>
      </c>
      <c r="D71" s="2726">
        <f t="shared" si="55"/>
        <v>105</v>
      </c>
      <c r="E71" s="2726">
        <f t="shared" si="94"/>
        <v>104</v>
      </c>
      <c r="F71" s="2726">
        <f t="shared" si="94"/>
        <v>101</v>
      </c>
      <c r="G71" s="3538">
        <v>2002</v>
      </c>
      <c r="H71" s="2662">
        <v>2</v>
      </c>
      <c r="I71" s="2724"/>
      <c r="J71" s="2724"/>
      <c r="K71" s="2724"/>
      <c r="L71" s="2724"/>
      <c r="X71" s="2716"/>
      <c r="Y71" s="2716"/>
      <c r="Z71" s="2716"/>
    </row>
    <row r="72" spans="1:26" s="2693" customFormat="1" ht="13.5" thickBot="1">
      <c r="A72" s="2689" t="s">
        <v>2633</v>
      </c>
      <c r="B72" s="2730">
        <f t="shared" si="93"/>
        <v>103</v>
      </c>
      <c r="C72" s="2730">
        <f t="shared" si="93"/>
        <v>104</v>
      </c>
      <c r="D72" s="2730">
        <f t="shared" si="55"/>
        <v>104</v>
      </c>
      <c r="E72" s="2730">
        <f t="shared" si="94"/>
        <v>103.5</v>
      </c>
      <c r="F72" s="2730">
        <f t="shared" si="94"/>
        <v>100.5</v>
      </c>
      <c r="G72" s="3539">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2634</v>
      </c>
      <c r="G75" s="2740"/>
      <c r="N75" s="2740"/>
      <c r="S75" s="2740"/>
    </row>
    <row r="76" spans="1:26" s="2739" customFormat="1">
      <c r="A76" s="2739" t="s">
        <v>2635</v>
      </c>
      <c r="G76" s="2740"/>
      <c r="N76" s="2740"/>
      <c r="S76" s="2740"/>
    </row>
    <row r="77" spans="1:26" s="2739" customFormat="1">
      <c r="A77" s="2739" t="s">
        <v>2636</v>
      </c>
      <c r="G77" s="2740"/>
      <c r="I77" s="2741"/>
      <c r="J77" s="2741"/>
      <c r="K77" s="2741"/>
      <c r="L77" s="2741"/>
      <c r="N77" s="2742"/>
      <c r="O77" s="2741"/>
      <c r="P77" s="2741"/>
      <c r="Q77" s="2741"/>
      <c r="S77" s="2742"/>
      <c r="T77" s="2741"/>
      <c r="U77" s="2741"/>
      <c r="V77" s="2741"/>
    </row>
    <row r="78" spans="1:26" s="2739" customFormat="1">
      <c r="A78" s="2739" t="s">
        <v>2637</v>
      </c>
      <c r="G78" s="2740"/>
      <c r="N78" s="2740"/>
      <c r="S78" s="2740"/>
    </row>
    <row r="85" spans="7:22" ht="13.5" thickBot="1"/>
    <row r="86" spans="7:22">
      <c r="G86" s="2665"/>
      <c r="S86" s="2743" t="s">
        <v>2638</v>
      </c>
      <c r="T86" s="2744" t="s">
        <v>2639</v>
      </c>
      <c r="U86" s="2744" t="s">
        <v>2640</v>
      </c>
      <c r="V86" s="2744" t="s">
        <v>2641</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password="C66D"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4"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受贵公司委托，我公司对北京市海淀区清河安宁庄东路1号出让国有建设用地使用权市场价格进行了预评估。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金隅股份有限公司使用的、位于北京市海淀区清河安宁庄东路1号出让国有建设用地使用权。根据《国有土地使用证》[]，估价对象（分摊）出让国有建设用地使用权面积为130380.53平方米。根据《建设工程规划许可证》[]、《出让合同》[]，估价对象规划建筑面积为57196.5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2018年11月6日（评估专业人员勘察现场之日）</v>
      </c>
    </row>
    <row r="12" spans="1:4" ht="18.75">
      <c r="A12" s="1799" t="s">
        <v>2028</v>
      </c>
    </row>
    <row r="13" spans="1:4" ht="18.75">
      <c r="A13" s="1793" t="s">
        <v>2945</v>
      </c>
    </row>
    <row r="14" spans="1:4" ht="18.75">
      <c r="A14" s="1793" t="str">
        <f>"根据"&amp;项目基本情况!F12&amp;"，本次评估估价对象证载（地类）用途为"&amp;项目基本情况!B12&amp;"。"</f>
        <v>根据《国有土地使用证》[]，本次评估估价对象证载（地类）用途为工交。</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根据《国有土地使用证》[]，估价对象（分摊）出让国有建设用地使用权面积为130380.53平方米。根据《建设工程规划许可证》[]、《出让合同》[]，估价对象规划建筑面积为57196.5平方米。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本次估价对象为出让国有建设用地使用权，《国有土地使用证》[]证载土地终止日期为工业2050年6月6日。截至估价期日，出让国有建设用地使用权剩余土地使用年限为。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c r="D1" s="3128" t="s">
        <v>952</v>
      </c>
      <c r="E1" s="2389" t="s">
        <v>2377</v>
      </c>
      <c r="F1" s="2390">
        <f ca="1">J53</f>
        <v>0</v>
      </c>
      <c r="G1" s="774">
        <f>MATCH(C1,'数据-取费表'!A6:A16,0)+5</f>
        <v>11</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#DIV/0!</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0</v>
      </c>
      <c r="D5" s="2498" t="s">
        <v>2464</v>
      </c>
      <c r="E5" s="2492"/>
      <c r="F5" s="2493"/>
      <c r="G5" s="1593"/>
      <c r="H5" s="781">
        <v>1</v>
      </c>
      <c r="I5" s="782" t="s">
        <v>2461</v>
      </c>
      <c r="J5" s="55">
        <f ca="1">J6+J10+J12</f>
        <v>0</v>
      </c>
      <c r="K5" s="2498" t="s">
        <v>2464</v>
      </c>
      <c r="L5" s="2492"/>
      <c r="M5" s="2493"/>
    </row>
    <row r="6" spans="1:33" ht="18" customHeight="1">
      <c r="A6" s="1832" t="s">
        <v>1825</v>
      </c>
      <c r="B6" s="3528" t="s">
        <v>2466</v>
      </c>
      <c r="C6" s="783">
        <f ca="1">ROUND(F6*F8*F7*(1-F9)/10000,0)</f>
        <v>0</v>
      </c>
      <c r="D6" s="2499" t="s">
        <v>2465</v>
      </c>
      <c r="E6" s="784" t="s">
        <v>1739</v>
      </c>
      <c r="F6" s="785">
        <f ca="1">INDIRECT("'数据-取费表'!u"&amp;$G$1)</f>
        <v>0</v>
      </c>
      <c r="G6" s="1593"/>
      <c r="H6" s="2506" t="s">
        <v>2471</v>
      </c>
      <c r="I6" s="3528" t="s">
        <v>2466</v>
      </c>
      <c r="J6" s="783">
        <f ca="1">ROUND(M6*M8*M7*(1-M9)/10000,0)</f>
        <v>0</v>
      </c>
      <c r="K6" s="341" t="s">
        <v>1738</v>
      </c>
      <c r="L6" s="784" t="s">
        <v>1739</v>
      </c>
      <c r="M6" s="785">
        <f ca="1">INDIRECT("'数据-取费表'!z"&amp;$G$1)</f>
        <v>0</v>
      </c>
    </row>
    <row r="7" spans="1:33" ht="18" customHeight="1">
      <c r="A7" s="2502"/>
      <c r="B7" s="3529"/>
      <c r="C7" s="788"/>
      <c r="D7" s="789"/>
      <c r="E7" s="784" t="s">
        <v>1740</v>
      </c>
      <c r="F7" s="785">
        <f ca="1">IF(INDIRECT("'数据-取费表'!ah"&amp;$G$1)="",INDIRECT("'数据-取费表'!k"&amp;$G$1),INDIRECT("'数据-取费表'!ah"&amp;$G$1))</f>
        <v>0</v>
      </c>
      <c r="G7" s="1593"/>
      <c r="H7" s="2491"/>
      <c r="I7" s="3529"/>
      <c r="J7" s="788"/>
      <c r="K7" s="789"/>
      <c r="L7" s="784" t="s">
        <v>1740</v>
      </c>
      <c r="M7" s="785">
        <f ca="1">F7</f>
        <v>0</v>
      </c>
    </row>
    <row r="8" spans="1:33" ht="18" customHeight="1">
      <c r="A8" s="2495"/>
      <c r="B8" s="3530"/>
      <c r="C8" s="788"/>
      <c r="D8" s="789"/>
      <c r="E8" s="784" t="s">
        <v>1741</v>
      </c>
      <c r="F8" s="785">
        <f ca="1">INDIRECT("'数据-取费表'!ai"&amp;$G$1)</f>
        <v>0</v>
      </c>
      <c r="G8" s="1593"/>
      <c r="H8" s="2491"/>
      <c r="I8" s="3530"/>
      <c r="J8" s="788"/>
      <c r="K8" s="789"/>
      <c r="L8" s="784" t="s">
        <v>1741</v>
      </c>
      <c r="M8" s="785">
        <f ca="1">INDIRECT("'数据-取费表'!ai"&amp;$G$1)</f>
        <v>0</v>
      </c>
    </row>
    <row r="9" spans="1:33" ht="18" customHeight="1">
      <c r="A9" s="786"/>
      <c r="B9" s="3531"/>
      <c r="C9" s="788"/>
      <c r="D9" s="789"/>
      <c r="E9" s="784" t="s">
        <v>1742</v>
      </c>
      <c r="F9" s="794">
        <f ca="1">INDIRECT("'数据-取费表'!w"&amp;$G$1)</f>
        <v>0</v>
      </c>
      <c r="G9" s="1593"/>
      <c r="H9" s="2507"/>
      <c r="I9" s="3530"/>
      <c r="J9" s="788"/>
      <c r="K9" s="789"/>
      <c r="L9" s="795" t="s">
        <v>1742</v>
      </c>
      <c r="M9" s="796">
        <f ca="1">INDIRECT("'数据-取费表'!ab"&amp;$G$1)</f>
        <v>0</v>
      </c>
    </row>
    <row r="10" spans="1:33" ht="18" customHeight="1">
      <c r="A10" s="1832" t="s">
        <v>2469</v>
      </c>
      <c r="B10" s="2496" t="s">
        <v>2462</v>
      </c>
      <c r="C10" s="799">
        <f ca="1">ROUND(IF(F10="押一",C6/12*F11,IF(F10="押二",C6/12*2*F11,IF(F10="押三",C6/12*3*F11,C11*F11))),0)</f>
        <v>0</v>
      </c>
      <c r="D10" s="2503" t="s">
        <v>2978</v>
      </c>
      <c r="E10" s="2500" t="s">
        <v>2467</v>
      </c>
      <c r="F10" s="2623"/>
      <c r="G10" s="1593"/>
      <c r="H10" s="2563" t="s">
        <v>2472</v>
      </c>
      <c r="I10" s="2568" t="s">
        <v>2462</v>
      </c>
      <c r="J10" s="783">
        <f ca="1">ROUND(IF(M10="押一",J6/12*M11,IF(M10="押二",J6/12*2*M11,IF(M10="押三",J6/12*3*M11,J11*M11))),0)</f>
        <v>0</v>
      </c>
      <c r="K10" s="2503" t="s">
        <v>2978</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f ca="1">ROUND(C29*F13,0)</f>
        <v>0</v>
      </c>
      <c r="D13" s="1836" t="s">
        <v>2300</v>
      </c>
      <c r="E13" s="1836" t="s">
        <v>1745</v>
      </c>
      <c r="F13" s="2538">
        <f ca="1">INDIRECT("'数据-取费表'!y"&amp;$G$1)</f>
        <v>0</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0</v>
      </c>
      <c r="D14" s="1981" t="s">
        <v>1746</v>
      </c>
      <c r="E14" s="1982"/>
      <c r="F14" s="805"/>
      <c r="G14" s="1593"/>
      <c r="H14" s="1650" t="s">
        <v>1831</v>
      </c>
      <c r="I14" s="2233" t="s">
        <v>2828</v>
      </c>
      <c r="J14" s="53">
        <f ca="1">C29</f>
        <v>0</v>
      </c>
      <c r="K14" s="26"/>
      <c r="L14" s="801"/>
      <c r="M14" s="802"/>
    </row>
    <row r="15" spans="1:33" s="2066" customFormat="1" ht="18" customHeight="1" thickBot="1">
      <c r="A15" s="1649" t="s">
        <v>1886</v>
      </c>
      <c r="B15" s="784" t="s">
        <v>647</v>
      </c>
      <c r="C15" s="53">
        <f ca="1">ROUND(C14*F15,0)</f>
        <v>0</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0</v>
      </c>
      <c r="K16" s="1823" t="s">
        <v>1751</v>
      </c>
      <c r="L16" s="2488"/>
      <c r="M16" s="2493"/>
    </row>
    <row r="17" spans="1:33" s="2066"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0</v>
      </c>
      <c r="D19" s="261" t="s">
        <v>1758</v>
      </c>
      <c r="E19" s="1984"/>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6"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单利计息。建造成本、管理费用、销售费用产生的利息。</v>
      </c>
      <c r="E22" s="1984"/>
      <c r="F22" s="56"/>
      <c r="G22" s="1593"/>
      <c r="H22" s="1650" t="s">
        <v>1890</v>
      </c>
      <c r="I22" s="784" t="s">
        <v>1769</v>
      </c>
      <c r="J22" s="53">
        <f ca="1">ROUND(J14*M22,0)</f>
        <v>0</v>
      </c>
      <c r="K22" s="2486" t="s">
        <v>1770</v>
      </c>
      <c r="L22" s="784" t="s">
        <v>1748</v>
      </c>
      <c r="M22" s="817">
        <f ca="1">INDIRECT("'数据-取费表'!Ak"&amp;$G$1)</f>
        <v>0</v>
      </c>
    </row>
    <row r="23" spans="1:33" s="2066" customFormat="1" ht="18" customHeight="1">
      <c r="A23" s="1649" t="s">
        <v>1832</v>
      </c>
      <c r="B23" s="784" t="s">
        <v>2538</v>
      </c>
      <c r="C23" s="53">
        <f ca="1">ROUND(IF('数据-取费表'!B22&lt;=1,(C19+C20)*F24*F23/2,(C19+C20)*(POWER((1+F24),F23/2)-1)),0)</f>
        <v>0</v>
      </c>
      <c r="D23" s="2573" t="str">
        <f>IF(F23&lt;=1,"(建造成本+管理费用)×利率×(建设周期÷2)","(建造成本+管理费用)×((1+利率)^(建设周期÷2)-1)")</f>
        <v>(建造成本+管理费用)×利率×(建设周期÷2)</v>
      </c>
      <c r="E23" s="784" t="s">
        <v>1771</v>
      </c>
      <c r="F23" s="640">
        <f>'数据-取费表'!B20</f>
        <v>1</v>
      </c>
      <c r="G23" s="1594"/>
      <c r="H23" s="1650" t="s">
        <v>1891</v>
      </c>
      <c r="I23" s="784" t="s">
        <v>679</v>
      </c>
      <c r="J23" s="53">
        <f ca="1">ROUND(J13*M23,0)</f>
        <v>0</v>
      </c>
      <c r="K23" s="2486" t="s">
        <v>1772</v>
      </c>
      <c r="L23" s="784" t="s">
        <v>1748</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5.0000000000000001E-4</v>
      </c>
      <c r="D24" s="2573" t="str">
        <f>IF(F23&lt;=1,"销售费用×利率×(建设周期÷2)","销售费用×((1+利率)^(建设周期÷2)-1)")</f>
        <v>销售费用×利率×(建设周期÷2)</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2824</v>
      </c>
      <c r="J25" s="792">
        <f ca="1">J5-J16</f>
        <v>0</v>
      </c>
      <c r="K25" s="2550" t="s">
        <v>1778</v>
      </c>
      <c r="L25" s="2551"/>
      <c r="M25" s="2552"/>
    </row>
    <row r="26" spans="1:33" ht="18" customHeight="1">
      <c r="A26" s="1649" t="s">
        <v>1832</v>
      </c>
      <c r="B26" s="784" t="s">
        <v>2441</v>
      </c>
      <c r="C26" s="53">
        <f ca="1">ROUND((C19+C20)*F26,0)</f>
        <v>0</v>
      </c>
      <c r="D26" s="812" t="s">
        <v>1779</v>
      </c>
      <c r="E26" s="795" t="s">
        <v>1780</v>
      </c>
      <c r="F26" s="794">
        <f ca="1">INDIRECT("'数据-取费表'!q"&amp;$G$1)</f>
        <v>0</v>
      </c>
      <c r="G26" s="1593"/>
      <c r="H26" s="2504" t="s">
        <v>1781</v>
      </c>
      <c r="I26" s="2234" t="s">
        <v>2829</v>
      </c>
      <c r="J26" s="783">
        <f ca="1">IF(J5&lt;&gt;0,ROUND(J25*(1-((1+M28)/(1+M26))^M27)/(M26-M28),0),0)</f>
        <v>0</v>
      </c>
      <c r="K26" s="814" t="s">
        <v>1782</v>
      </c>
      <c r="L26" s="784" t="s">
        <v>2422</v>
      </c>
      <c r="M26" s="794">
        <f ca="1">INDIRECT("'数据-取费表'!I"&amp;$G$1)</f>
        <v>0</v>
      </c>
    </row>
    <row r="27" spans="1:33" ht="18" customHeight="1">
      <c r="A27" s="1649" t="s">
        <v>1833</v>
      </c>
      <c r="B27" s="784" t="s">
        <v>686</v>
      </c>
      <c r="C27" s="53">
        <f ca="1">ROUND(F21*F26,4)</f>
        <v>0</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0</v>
      </c>
      <c r="D29" s="2547"/>
      <c r="E29" s="2548"/>
      <c r="F29" s="2549"/>
      <c r="G29" s="1594"/>
      <c r="H29" s="823" t="s">
        <v>1788</v>
      </c>
      <c r="I29" s="824" t="s">
        <v>1789</v>
      </c>
      <c r="J29" s="825">
        <f ca="1">ROUND(J26/(1+F40)^F41,0)</f>
        <v>0</v>
      </c>
      <c r="K29" s="826" t="s">
        <v>1790</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0</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0</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0</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1.5</v>
      </c>
      <c r="G34" s="2064"/>
      <c r="H34" s="2067"/>
      <c r="I34" s="835" t="s">
        <v>1814</v>
      </c>
      <c r="J34" s="836"/>
      <c r="K34" s="2082"/>
      <c r="L34" s="2081"/>
      <c r="M34" s="2081"/>
    </row>
    <row r="35" spans="1:18" ht="18" customHeight="1">
      <c r="A35" s="815"/>
      <c r="B35" s="793"/>
      <c r="C35" s="69"/>
      <c r="D35" s="816"/>
      <c r="E35" s="784" t="s">
        <v>1802</v>
      </c>
      <c r="F35" s="785">
        <f ca="1">INDIRECT("'数据-取费表'!r"&amp;$G$1)</f>
        <v>0</v>
      </c>
      <c r="G35" s="2064"/>
      <c r="H35" s="2067"/>
      <c r="I35" s="837" t="s">
        <v>1815</v>
      </c>
      <c r="J35" s="838">
        <f ca="1">ROUND(C13*J36,0)</f>
        <v>0</v>
      </c>
      <c r="K35" s="2080"/>
      <c r="L35" s="2079"/>
      <c r="M35" s="2079"/>
    </row>
    <row r="36" spans="1:18" ht="18" customHeight="1">
      <c r="A36" s="1650" t="s">
        <v>1890</v>
      </c>
      <c r="B36" s="784" t="s">
        <v>1803</v>
      </c>
      <c r="C36" s="53">
        <f ca="1">ROUND(C29*F36,1)</f>
        <v>0</v>
      </c>
      <c r="D36" s="1979" t="s">
        <v>1804</v>
      </c>
      <c r="E36" s="784" t="s">
        <v>1797</v>
      </c>
      <c r="F36" s="817">
        <f ca="1">INDIRECT("'数据-取费表'!Ak"&amp;$G$1)</f>
        <v>0</v>
      </c>
      <c r="G36" s="2064"/>
      <c r="H36" s="2079"/>
      <c r="I36" s="839" t="s">
        <v>1816</v>
      </c>
      <c r="J36" s="840">
        <f ca="1">INDIRECT("'数据-取费表'!j"&amp;$G$1)</f>
        <v>0</v>
      </c>
      <c r="K36" s="2084"/>
      <c r="L36" s="2079"/>
      <c r="M36" s="2079"/>
    </row>
    <row r="37" spans="1:18" ht="18" customHeight="1">
      <c r="A37" s="1650" t="s">
        <v>1891</v>
      </c>
      <c r="B37" s="784" t="s">
        <v>679</v>
      </c>
      <c r="C37" s="53">
        <f ca="1">ROUND(C13*F37,1)</f>
        <v>0</v>
      </c>
      <c r="D37" s="1979" t="s">
        <v>1805</v>
      </c>
      <c r="E37" s="784" t="s">
        <v>1797</v>
      </c>
      <c r="F37" s="818">
        <f ca="1">INDIRECT("'数据-取费表'!Al"&amp;$G$1)</f>
        <v>0</v>
      </c>
      <c r="G37" s="2064"/>
      <c r="H37" s="2079"/>
      <c r="I37" s="841" t="s">
        <v>1817</v>
      </c>
      <c r="J37" s="842"/>
      <c r="K37" s="2084"/>
      <c r="L37" s="2079"/>
      <c r="M37" s="2079"/>
    </row>
    <row r="38" spans="1:18" ht="18" customHeight="1" thickBot="1">
      <c r="A38" s="2553" t="s">
        <v>1892</v>
      </c>
      <c r="B38" s="2548" t="s">
        <v>666</v>
      </c>
      <c r="C38" s="2546">
        <f ca="1">ROUND(C5*F38,1)</f>
        <v>0</v>
      </c>
      <c r="D38" s="2547" t="s">
        <v>1806</v>
      </c>
      <c r="E38" s="2548" t="s">
        <v>1797</v>
      </c>
      <c r="F38" s="2544">
        <f ca="1">INDIRECT("'数据-取费表'!Am"&amp;$G$1)</f>
        <v>0</v>
      </c>
      <c r="G38" s="2064"/>
      <c r="H38" s="2079"/>
      <c r="I38" s="843" t="s">
        <v>1818</v>
      </c>
      <c r="J38" s="844"/>
      <c r="K38" s="2085"/>
      <c r="L38" s="2079"/>
      <c r="M38" s="2079"/>
    </row>
    <row r="39" spans="1:18" ht="24.6" customHeight="1" thickTop="1">
      <c r="A39" s="1831" t="s">
        <v>1895</v>
      </c>
      <c r="B39" s="3012" t="s">
        <v>2824</v>
      </c>
      <c r="C39" s="792">
        <f ca="1">C5-C30</f>
        <v>0</v>
      </c>
      <c r="D39" s="2550" t="s">
        <v>1807</v>
      </c>
      <c r="E39" s="2551"/>
      <c r="F39" s="2552"/>
      <c r="G39" s="2064"/>
      <c r="H39" s="2079"/>
      <c r="I39" s="837" t="s">
        <v>1819</v>
      </c>
      <c r="J39" s="845" t="e">
        <f ca="1">ROUND(J35/C39,3)</f>
        <v>#DIV/0!</v>
      </c>
      <c r="K39" s="2085"/>
      <c r="L39" s="2079"/>
      <c r="M39" s="2079"/>
    </row>
    <row r="40" spans="1:18" ht="18" customHeight="1">
      <c r="A40" s="781" t="s">
        <v>1896</v>
      </c>
      <c r="B40" s="2234" t="s">
        <v>2304</v>
      </c>
      <c r="C40" s="783" t="e">
        <f ca="1">ROUND(C39*(1-((1+F42)/(1+F40))^F41)/(F40-F42),0)</f>
        <v>#DIV/0!</v>
      </c>
      <c r="D40" s="814" t="s">
        <v>1808</v>
      </c>
      <c r="E40" s="784" t="s">
        <v>2422</v>
      </c>
      <c r="F40" s="794">
        <f ca="1">INDIRECT("'数据-取费表'!I"&amp;$G$1)</f>
        <v>0</v>
      </c>
      <c r="G40" s="2064"/>
      <c r="H40" s="2064"/>
      <c r="I40" s="837" t="s">
        <v>1820</v>
      </c>
      <c r="J40" s="845" t="e">
        <f ca="1">1-J39</f>
        <v>#DIV/0!</v>
      </c>
      <c r="K40" s="2085"/>
      <c r="L40" s="2064"/>
      <c r="M40" s="2064"/>
    </row>
    <row r="41" spans="1:18" ht="18" customHeight="1">
      <c r="A41" s="786"/>
      <c r="B41" s="787"/>
      <c r="C41" s="788"/>
      <c r="D41" s="821" t="s">
        <v>1809</v>
      </c>
      <c r="E41" s="784" t="s">
        <v>2968</v>
      </c>
      <c r="F41" s="822">
        <f ca="1">IF(INDIRECT("'数据-取费表'!af"&amp;$G$1)=0,INDIRECT("'数据-取费表'!ae"&amp;$G$1),INDIRECT("'数据-取费表'!af"&amp;$G$1))</f>
        <v>0</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t="e">
        <f ca="1">ROUND(C13/C40,3)</f>
        <v>#DIV/0!</v>
      </c>
      <c r="K42" s="2084"/>
      <c r="L42" s="1990"/>
      <c r="M42" s="1990"/>
    </row>
    <row r="43" spans="1:18" ht="18" customHeight="1" thickBot="1">
      <c r="A43" s="823" t="s">
        <v>1788</v>
      </c>
      <c r="B43" s="824" t="s">
        <v>1811</v>
      </c>
      <c r="C43" s="825" t="e">
        <f ca="1">ROUND(C40*10000/F43,0)</f>
        <v>#DIV/0!</v>
      </c>
      <c r="D43" s="826" t="s">
        <v>1812</v>
      </c>
      <c r="E43" s="827" t="s">
        <v>1813</v>
      </c>
      <c r="F43" s="828">
        <f ca="1">INDIRECT("'数据-取费表'!k"&amp;$G$1)</f>
        <v>0</v>
      </c>
      <c r="G43" s="2064"/>
      <c r="H43" s="1990"/>
      <c r="I43" s="847" t="s">
        <v>1823</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t="e">
        <f ca="1">C67-C40</f>
        <v>#DIV/0!</v>
      </c>
      <c r="D46" s="2087"/>
      <c r="E46" s="2087"/>
      <c r="F46" s="2087"/>
      <c r="I46" s="2380" t="s">
        <v>2346</v>
      </c>
      <c r="J46" s="2381"/>
      <c r="K46" s="2382"/>
      <c r="L46" s="3163" t="e">
        <f ca="1">IF(OR(M47="住宅",D1="土地（套用方法）"),0,IF(L48&gt;J51,L60,J60))</f>
        <v>#DIV/0!</v>
      </c>
      <c r="O46" s="2396" t="s">
        <v>2413</v>
      </c>
      <c r="P46" s="1593"/>
      <c r="Q46" s="1605"/>
      <c r="R46" s="1593"/>
    </row>
    <row r="47" spans="1:18" s="2061" customFormat="1" ht="18" customHeight="1" thickBot="1">
      <c r="A47" s="2374">
        <v>1</v>
      </c>
      <c r="B47" s="2375" t="s">
        <v>635</v>
      </c>
      <c r="C47" s="2576">
        <f ca="1">C48+C52+C54</f>
        <v>0</v>
      </c>
      <c r="D47" s="2087"/>
      <c r="E47" s="2087"/>
      <c r="F47" s="2087"/>
      <c r="I47" s="3153" t="s">
        <v>2347</v>
      </c>
      <c r="J47" s="2383"/>
      <c r="K47" s="3160" t="s">
        <v>2352</v>
      </c>
      <c r="L47" s="3164">
        <f ca="1">INDIRECT("'数据-取费表'!d"&amp;$G$1)</f>
        <v>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9" t="s">
        <v>2348</v>
      </c>
      <c r="J48" s="2384"/>
      <c r="K48" s="3161" t="s">
        <v>2354</v>
      </c>
      <c r="L48" s="1910">
        <f ca="1">INDIRECT("'数据-取费表'!f"&amp;$G$1)</f>
        <v>0</v>
      </c>
      <c r="O48" s="2400" t="s">
        <v>2382</v>
      </c>
      <c r="P48" s="2401" t="s">
        <v>2408</v>
      </c>
      <c r="Q48" s="2402" t="e">
        <f ca="1">C40+J29</f>
        <v>#DIV/0!</v>
      </c>
      <c r="R48" s="2401" t="s">
        <v>2383</v>
      </c>
    </row>
    <row r="49" spans="1:18" s="2061" customFormat="1" ht="18" customHeight="1" thickBot="1">
      <c r="A49" s="786"/>
      <c r="B49" s="787"/>
      <c r="C49" s="788"/>
      <c r="D49" s="789"/>
      <c r="E49" s="784" t="s">
        <v>1740</v>
      </c>
      <c r="F49" s="785">
        <f ca="1">F7</f>
        <v>0</v>
      </c>
      <c r="G49" s="2092"/>
      <c r="H49" s="2095"/>
      <c r="I49" s="3129" t="s">
        <v>2349</v>
      </c>
      <c r="J49" s="2385"/>
      <c r="K49" s="3162" t="s">
        <v>2355</v>
      </c>
      <c r="L49" s="2386"/>
      <c r="O49" s="2400" t="s">
        <v>2384</v>
      </c>
      <c r="P49" s="2401" t="s">
        <v>2409</v>
      </c>
      <c r="Q49" s="2402" t="e">
        <f ca="1">J60</f>
        <v>#DIV/0!</v>
      </c>
      <c r="R49" s="2401" t="s">
        <v>2385</v>
      </c>
    </row>
    <row r="50" spans="1:18" s="2061" customFormat="1" ht="18" customHeight="1" thickBot="1">
      <c r="A50" s="786"/>
      <c r="B50" s="787"/>
      <c r="C50" s="788"/>
      <c r="D50" s="789"/>
      <c r="E50" s="784" t="s">
        <v>1741</v>
      </c>
      <c r="F50" s="785">
        <f ca="1">F8</f>
        <v>0</v>
      </c>
      <c r="G50" s="2097"/>
      <c r="H50" s="2095"/>
      <c r="I50" s="3129" t="s">
        <v>2350</v>
      </c>
      <c r="J50" s="3157">
        <f>SUMPRODUCT((I63:I65=J47)*(J62:L62=J48)*(J63:L65))</f>
        <v>0</v>
      </c>
      <c r="K50" s="3162" t="s">
        <v>2356</v>
      </c>
      <c r="L50" s="2386"/>
      <c r="O50" s="2403" t="s">
        <v>2386</v>
      </c>
      <c r="P50" s="2401" t="s">
        <v>2410</v>
      </c>
      <c r="Q50" s="2402">
        <f ca="1">C29</f>
        <v>0</v>
      </c>
      <c r="R50" s="2401" t="s">
        <v>2383</v>
      </c>
    </row>
    <row r="51" spans="1:18" s="2061" customFormat="1" ht="18" customHeight="1" thickBot="1">
      <c r="A51" s="786"/>
      <c r="B51" s="787"/>
      <c r="C51" s="788"/>
      <c r="D51" s="789"/>
      <c r="E51" s="784" t="s">
        <v>640</v>
      </c>
      <c r="F51" s="2373"/>
      <c r="H51" s="2095"/>
      <c r="I51" s="3154" t="s">
        <v>2351</v>
      </c>
      <c r="J51" s="3158">
        <f>IF(J49="",J50,J49+J50-YEAR('数据-取费表'!B2))</f>
        <v>0</v>
      </c>
      <c r="K51" s="3129" t="s">
        <v>2357</v>
      </c>
      <c r="L51" s="3165">
        <f ca="1">ROUND(-PV(INDIRECT("'数据-取费表'!h"&amp;$G$1),L48,(C39-C13*J36),0),0)</f>
        <v>0</v>
      </c>
      <c r="O51" s="2403" t="s">
        <v>2387</v>
      </c>
      <c r="P51" s="2401" t="s">
        <v>2388</v>
      </c>
      <c r="Q51" s="2404" t="e">
        <f ca="1">J58</f>
        <v>#DIV/0!</v>
      </c>
      <c r="R51" s="2405"/>
    </row>
    <row r="52" spans="1:18" s="2061" customFormat="1" ht="18" customHeight="1" thickBot="1">
      <c r="A52" s="781" t="s">
        <v>2539</v>
      </c>
      <c r="B52" s="2496" t="s">
        <v>2462</v>
      </c>
      <c r="C52" s="799">
        <f ca="1">ROUND(IF(F52="押一",C48/12*F11,IF(F52="押二",C48/12*2*F11,IF(F52="押三",C48/12*3*F11,C53*F11))),0)</f>
        <v>0</v>
      </c>
      <c r="D52" s="2503" t="s">
        <v>2979</v>
      </c>
      <c r="E52" s="2500" t="s">
        <v>2467</v>
      </c>
      <c r="F52" s="2623"/>
      <c r="I52" s="3155" t="s">
        <v>2424</v>
      </c>
      <c r="J52" s="2387"/>
      <c r="K52" s="3155"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6" t="s">
        <v>2983</v>
      </c>
      <c r="J53" s="3159">
        <f ca="1">IF(M47="住宅",IF(D1="——",MAX(J51,L48),MAX(J51,L48-'数据-取费表'!B20)),IF(D1="——",MIN(J51,L48),MIN(J51,L48-'数据-取费表'!B20)))</f>
        <v>0</v>
      </c>
      <c r="K53" s="3544" t="s">
        <v>2970</v>
      </c>
      <c r="L53" s="3545"/>
      <c r="O53" s="2403" t="s">
        <v>2391</v>
      </c>
      <c r="P53" s="2401" t="s">
        <v>2392</v>
      </c>
      <c r="Q53" s="2402">
        <f ca="1">J53</f>
        <v>0</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2394</v>
      </c>
      <c r="P54" s="2401" t="s">
        <v>2411</v>
      </c>
      <c r="Q54" s="2402" t="e">
        <f ca="1">Q48+Q49</f>
        <v>#DIV/0!</v>
      </c>
      <c r="R54" s="2405" t="s">
        <v>2395</v>
      </c>
    </row>
    <row r="55" spans="1:18" s="2061" customFormat="1" ht="18" customHeight="1" thickTop="1" thickBot="1">
      <c r="A55" s="797">
        <v>2</v>
      </c>
      <c r="B55" s="798" t="s">
        <v>644</v>
      </c>
      <c r="C55" s="799">
        <f ca="1">C13</f>
        <v>0</v>
      </c>
      <c r="D55" s="795"/>
      <c r="E55" s="795"/>
      <c r="F55" s="800"/>
      <c r="I55" s="3168" t="s">
        <v>2358</v>
      </c>
      <c r="J55" s="3104" t="e">
        <f ca="1">ROUND(IF(J47="钢混",J57/J50,1-(1-2%)*(J50-J57)/J50),3)</f>
        <v>#DIV/0!</v>
      </c>
      <c r="K55" s="3169" t="s">
        <v>2359</v>
      </c>
      <c r="L55" s="2388"/>
      <c r="O55" s="2406" t="s">
        <v>2414</v>
      </c>
      <c r="P55" s="1593"/>
      <c r="Q55" s="1605"/>
      <c r="R55" s="1593"/>
    </row>
    <row r="56" spans="1:18" s="2061" customFormat="1" ht="42.75" customHeight="1" thickBot="1">
      <c r="A56" s="1651"/>
      <c r="B56" s="2233" t="s">
        <v>2305</v>
      </c>
      <c r="C56" s="53">
        <f ca="1">C29</f>
        <v>0</v>
      </c>
      <c r="D56" s="2641"/>
      <c r="E56" s="784"/>
      <c r="F56" s="809"/>
      <c r="I56" s="3170" t="s">
        <v>2360</v>
      </c>
      <c r="J56" s="3180"/>
      <c r="K56" s="3129" t="s">
        <v>2365</v>
      </c>
      <c r="L56" s="1910">
        <f ca="1">IF(L48&lt;J51,"——",L48-J51)</f>
        <v>0</v>
      </c>
      <c r="O56" s="2397" t="s">
        <v>2378</v>
      </c>
      <c r="P56" s="2398" t="s">
        <v>2379</v>
      </c>
      <c r="Q56" s="2399" t="s">
        <v>2380</v>
      </c>
      <c r="R56" s="2398" t="s">
        <v>2381</v>
      </c>
    </row>
    <row r="57" spans="1:18" s="2061" customFormat="1" ht="28.5" customHeight="1" thickBot="1">
      <c r="A57" s="797" t="s">
        <v>1749</v>
      </c>
      <c r="B57" s="798" t="s">
        <v>651</v>
      </c>
      <c r="C57" s="799">
        <f ca="1">ROUND(C58+C63+C64+C65,0)</f>
        <v>0</v>
      </c>
      <c r="D57" s="26" t="s">
        <v>1751</v>
      </c>
      <c r="E57" s="2642"/>
      <c r="F57" s="56"/>
      <c r="I57" s="3171" t="s">
        <v>2361</v>
      </c>
      <c r="J57" s="3172">
        <f ca="1">IF(OR(M47="住宅",J51&lt;L48,J56="是"),"——",J51-L48)</f>
        <v>0</v>
      </c>
      <c r="K57" s="3129" t="s">
        <v>2366</v>
      </c>
      <c r="L57" s="1910">
        <f ca="1">IF(L48&lt;J51,"——",IF(L55="比较法",L49,IF(L55="基准地价",L50,L51)))</f>
        <v>0</v>
      </c>
      <c r="O57" s="2400" t="s">
        <v>2382</v>
      </c>
      <c r="P57" s="2401" t="s">
        <v>2412</v>
      </c>
      <c r="Q57" s="2402" t="e">
        <f ca="1">C40+J29</f>
        <v>#DIV/0!</v>
      </c>
      <c r="R57" s="2401" t="s">
        <v>2383</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71" t="s">
        <v>2362</v>
      </c>
      <c r="J58" s="3105" t="e">
        <f ca="1">IF(J55&lt;0.4,0.4,J55)</f>
        <v>#DIV/0!</v>
      </c>
      <c r="K58" s="3129" t="s">
        <v>2367</v>
      </c>
      <c r="L58" s="1910" t="e">
        <f ca="1">ROUND(POWER(1+L52,L47-L48)*(POWER(1+L52,L48)-1)/(POWER(1+L52,L47)-1),4)</f>
        <v>#DIV/0!</v>
      </c>
      <c r="O58" s="2400" t="s">
        <v>2384</v>
      </c>
      <c r="P58" s="2401" t="s">
        <v>2415</v>
      </c>
      <c r="Q58" s="2402" t="e">
        <f ca="1">L60</f>
        <v>#DIV/0!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5.6000000000000001E-2</v>
      </c>
      <c r="I59" s="3171" t="s">
        <v>2363</v>
      </c>
      <c r="J59" s="3172" t="e">
        <f ca="1">IF(OR(M47="住宅",J51&lt;L48,J56="是"),"——",ROUND(C29*J58,0))</f>
        <v>#DIV/0!</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按房产原值计税</v>
      </c>
      <c r="E60" s="784" t="s">
        <v>1748</v>
      </c>
      <c r="F60" s="809">
        <f t="shared" si="0"/>
        <v>1.2E-2</v>
      </c>
      <c r="I60" s="3173" t="s">
        <v>2364</v>
      </c>
      <c r="J60" s="3174" t="e">
        <f ca="1">IF(OR(M47="住宅",J51&lt;L48,J56="是"),"0",ROUND(J59/(1+J52)^J53,0))</f>
        <v>#DIV/0!</v>
      </c>
      <c r="K60" s="3175" t="s">
        <v>2369</v>
      </c>
      <c r="L60" s="3174" t="e">
        <f ca="1">IF(OR(M47="住宅",L48&lt;J51),0,ROUND(L57*(L58/L59-1),0))</f>
        <v>#DIV/0!</v>
      </c>
      <c r="O60" s="2403" t="s">
        <v>2387</v>
      </c>
      <c r="P60" s="2401" t="s">
        <v>2396</v>
      </c>
      <c r="Q60" s="2404">
        <f>L52</f>
        <v>0</v>
      </c>
      <c r="R60" s="2405"/>
    </row>
    <row r="61" spans="1:18" s="2061" customFormat="1" ht="18" customHeight="1" thickBot="1">
      <c r="A61" s="1652" t="s">
        <v>1834</v>
      </c>
      <c r="B61" s="341" t="s">
        <v>668</v>
      </c>
      <c r="C61" s="54">
        <f ca="1">ROUND(F61*F62/10000,1)</f>
        <v>0</v>
      </c>
      <c r="D61" s="814" t="s">
        <v>669</v>
      </c>
      <c r="E61" s="784" t="s">
        <v>670</v>
      </c>
      <c r="F61" s="640">
        <f t="shared" si="0"/>
        <v>1.5</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0</v>
      </c>
      <c r="I62" s="3176" t="s">
        <v>2370</v>
      </c>
      <c r="J62" s="3177" t="s">
        <v>2371</v>
      </c>
      <c r="K62" s="3177" t="s">
        <v>2372</v>
      </c>
      <c r="L62" s="3177" t="s">
        <v>2353</v>
      </c>
      <c r="M62" s="3178" t="s">
        <v>2946</v>
      </c>
      <c r="O62" s="2403" t="s">
        <v>2391</v>
      </c>
      <c r="P62" s="2401" t="str">
        <f>K59</f>
        <v>建筑物剩余耐用年限下的土地年期修正系数Kn</v>
      </c>
      <c r="Q62" s="2402" t="e">
        <f ca="1">L59</f>
        <v>#DIV/0!</v>
      </c>
      <c r="R62" s="2405" t="s">
        <v>2400</v>
      </c>
    </row>
    <row r="63" spans="1:18" s="2061" customFormat="1" ht="15.75" thickBot="1">
      <c r="A63" s="1650" t="s">
        <v>1890</v>
      </c>
      <c r="B63" s="784" t="s">
        <v>676</v>
      </c>
      <c r="C63" s="53">
        <f ca="1">ROUND(C56*F63,1)</f>
        <v>0</v>
      </c>
      <c r="D63" s="2641" t="s">
        <v>1804</v>
      </c>
      <c r="E63" s="784" t="s">
        <v>1748</v>
      </c>
      <c r="F63" s="817">
        <f t="shared" ca="1" si="0"/>
        <v>0</v>
      </c>
      <c r="I63" s="3176" t="s">
        <v>2373</v>
      </c>
      <c r="J63" s="3177">
        <v>70</v>
      </c>
      <c r="K63" s="3177">
        <v>50</v>
      </c>
      <c r="L63" s="3177">
        <v>80</v>
      </c>
      <c r="M63" s="3179">
        <v>0.02</v>
      </c>
      <c r="O63" s="2400" t="s">
        <v>2394</v>
      </c>
      <c r="P63" s="2401" t="s">
        <v>2411</v>
      </c>
      <c r="Q63" s="2402" t="e">
        <f ca="1">Q57+Q58</f>
        <v>#DIV/0!</v>
      </c>
      <c r="R63" s="2405" t="s">
        <v>2395</v>
      </c>
    </row>
    <row r="64" spans="1:18" s="2061" customFormat="1" ht="16.5" thickBot="1">
      <c r="A64" s="1650" t="s">
        <v>1891</v>
      </c>
      <c r="B64" s="784" t="s">
        <v>679</v>
      </c>
      <c r="C64" s="53">
        <f ca="1">ROUND(C55*F64,1)</f>
        <v>0</v>
      </c>
      <c r="D64" s="2641" t="s">
        <v>680</v>
      </c>
      <c r="E64" s="784" t="s">
        <v>1748</v>
      </c>
      <c r="F64" s="818">
        <f t="shared" ca="1" si="0"/>
        <v>0</v>
      </c>
      <c r="I64" s="3176" t="s">
        <v>2374</v>
      </c>
      <c r="J64" s="3177">
        <v>50</v>
      </c>
      <c r="K64" s="3177">
        <v>35</v>
      </c>
      <c r="L64" s="3177">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v>
      </c>
      <c r="I65" s="3176" t="s">
        <v>2375</v>
      </c>
      <c r="J65" s="3177">
        <v>40</v>
      </c>
      <c r="K65" s="3177">
        <v>30</v>
      </c>
      <c r="L65" s="3177">
        <v>50</v>
      </c>
      <c r="M65" s="3179">
        <v>0.02</v>
      </c>
      <c r="O65" s="2397" t="s">
        <v>2378</v>
      </c>
      <c r="P65" s="2398" t="s">
        <v>2379</v>
      </c>
      <c r="Q65" s="2399" t="s">
        <v>2380</v>
      </c>
      <c r="R65" s="2398" t="s">
        <v>2381</v>
      </c>
    </row>
    <row r="66" spans="1:18" s="2061" customFormat="1" ht="24.75" thickBot="1">
      <c r="A66" s="797" t="s">
        <v>1777</v>
      </c>
      <c r="B66" s="3013" t="s">
        <v>2824</v>
      </c>
      <c r="C66" s="799">
        <f ca="1">C47-C57</f>
        <v>0</v>
      </c>
      <c r="D66" s="2640" t="s">
        <v>700</v>
      </c>
      <c r="E66" s="2639"/>
      <c r="F66" s="820"/>
      <c r="K66" s="2088"/>
      <c r="O66" s="2400" t="s">
        <v>2382</v>
      </c>
      <c r="P66" s="2401" t="s">
        <v>2412</v>
      </c>
      <c r="Q66" s="2402" t="e">
        <f ca="1">C40+J29</f>
        <v>#DIV/0!</v>
      </c>
      <c r="R66" s="2401" t="s">
        <v>2383</v>
      </c>
    </row>
    <row r="67" spans="1:18" s="2061" customFormat="1" ht="20.25" thickBot="1">
      <c r="A67" s="781" t="s">
        <v>1781</v>
      </c>
      <c r="B67" s="2234" t="s">
        <v>2304</v>
      </c>
      <c r="C67" s="783" t="e">
        <f ca="1">ROUND(C66*(1-((1+F69)/(1+F67))^F68)/(F67-F69),0)</f>
        <v>#DIV/0!</v>
      </c>
      <c r="D67" s="814" t="s">
        <v>704</v>
      </c>
      <c r="E67" s="784" t="s">
        <v>705</v>
      </c>
      <c r="F67" s="794">
        <f ca="1">F40</f>
        <v>0</v>
      </c>
      <c r="K67" s="2088"/>
      <c r="O67" s="2400" t="s">
        <v>2384</v>
      </c>
      <c r="P67" s="2401" t="s">
        <v>2415</v>
      </c>
      <c r="Q67" s="2402" t="e">
        <f ca="1">L60</f>
        <v>#DIV/0!</v>
      </c>
      <c r="R67" s="2405" t="s">
        <v>2417</v>
      </c>
    </row>
    <row r="68" spans="1:18" ht="21.75" thickBot="1">
      <c r="A68" s="786"/>
      <c r="B68" s="787"/>
      <c r="C68" s="788"/>
      <c r="D68" s="821" t="s">
        <v>1809</v>
      </c>
      <c r="E68" s="784" t="s">
        <v>1785</v>
      </c>
      <c r="F68" s="822">
        <f ca="1">F41</f>
        <v>0</v>
      </c>
      <c r="O68" s="2403" t="s">
        <v>2386</v>
      </c>
      <c r="P68" s="2401" t="s">
        <v>2416</v>
      </c>
      <c r="Q68" s="2407">
        <f ca="1">L51</f>
        <v>0</v>
      </c>
      <c r="R68" s="2408" t="s">
        <v>2419</v>
      </c>
    </row>
    <row r="69" spans="1:18" ht="20.25" thickBot="1">
      <c r="A69" s="790"/>
      <c r="B69" s="791"/>
      <c r="C69" s="792"/>
      <c r="D69" s="816"/>
      <c r="E69" s="784" t="s">
        <v>710</v>
      </c>
      <c r="F69" s="2373"/>
      <c r="O69" s="2403" t="s">
        <v>2387</v>
      </c>
      <c r="P69" s="2409" t="s">
        <v>2401</v>
      </c>
      <c r="Q69" s="2402">
        <f ca="1">ROUND(Q70-Q71*Q72,0)</f>
        <v>0</v>
      </c>
      <c r="R69" s="2405"/>
    </row>
    <row r="70" spans="1:18" ht="15.75" thickBot="1">
      <c r="A70" s="823" t="s">
        <v>1788</v>
      </c>
      <c r="B70" s="824" t="s">
        <v>1811</v>
      </c>
      <c r="C70" s="825" t="e">
        <f ca="1">ROUND(C67*10000/F70,0)</f>
        <v>#DIV/0!</v>
      </c>
      <c r="D70" s="826" t="s">
        <v>1812</v>
      </c>
      <c r="E70" s="827" t="s">
        <v>1813</v>
      </c>
      <c r="F70" s="828">
        <f ca="1">F43</f>
        <v>0</v>
      </c>
      <c r="O70" s="2403" t="s">
        <v>2402</v>
      </c>
      <c r="P70" s="2409" t="s">
        <v>2403</v>
      </c>
      <c r="Q70" s="2402">
        <f ca="1">C39</f>
        <v>0</v>
      </c>
      <c r="R70" s="2401" t="s">
        <v>2383</v>
      </c>
    </row>
    <row r="71" spans="1:18" ht="15.75" thickBot="1">
      <c r="O71" s="2403" t="s">
        <v>2404</v>
      </c>
      <c r="P71" s="2409" t="s">
        <v>2405</v>
      </c>
      <c r="Q71" s="2402">
        <f ca="1">C13</f>
        <v>0</v>
      </c>
      <c r="R71" s="2401" t="s">
        <v>2383</v>
      </c>
    </row>
    <row r="72" spans="1:18" ht="15.75" thickBot="1">
      <c r="O72" s="2403" t="s">
        <v>2406</v>
      </c>
      <c r="P72" s="2409" t="s">
        <v>2407</v>
      </c>
      <c r="Q72" s="2404">
        <f ca="1">J36</f>
        <v>0</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建筑物剩余耐用年限下的土地年期修正系数Kn</v>
      </c>
      <c r="Q75" s="2402" t="e">
        <f ca="1">L59</f>
        <v>#DIV/0!</v>
      </c>
      <c r="R75" s="2405" t="s">
        <v>2400</v>
      </c>
    </row>
    <row r="76" spans="1:18" ht="15.75" thickBot="1">
      <c r="O76" s="2400" t="s">
        <v>2394</v>
      </c>
      <c r="P76" s="2401" t="s">
        <v>2411</v>
      </c>
      <c r="Q76" s="2402" t="e">
        <f ca="1">Q66+Q67</f>
        <v>#DIV/0!</v>
      </c>
      <c r="R76" s="2405" t="s">
        <v>2395</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RowHeight="13.5"/>
  <cols>
    <col min="1" max="1" width="10.5" customWidth="1"/>
    <col min="2" max="2" width="12.875" customWidth="1"/>
    <col min="3" max="3" width="8.75" customWidth="1"/>
  </cols>
  <sheetData>
    <row r="1" spans="1:9" ht="14.25">
      <c r="A1" s="3562" t="s">
        <v>2474</v>
      </c>
      <c r="B1" s="3563"/>
      <c r="C1" s="3564"/>
      <c r="D1" s="3565">
        <f>SUM(I10,I15,I20,I21,I23)</f>
        <v>0</v>
      </c>
      <c r="E1" s="3565"/>
      <c r="F1" s="3565"/>
      <c r="G1" s="3565"/>
      <c r="H1" s="3565"/>
      <c r="I1" s="3566"/>
    </row>
    <row r="2" spans="1:9">
      <c r="A2" s="3552" t="s">
        <v>2475</v>
      </c>
      <c r="B2" s="3553" t="s">
        <v>2476</v>
      </c>
      <c r="C2" s="3553"/>
      <c r="D2" s="2509" t="s">
        <v>2477</v>
      </c>
      <c r="E2" s="2509" t="s">
        <v>2478</v>
      </c>
      <c r="F2" s="2509" t="s">
        <v>2479</v>
      </c>
      <c r="G2" s="2509" t="s">
        <v>2480</v>
      </c>
      <c r="H2" s="2509" t="s">
        <v>2481</v>
      </c>
      <c r="I2" s="2510" t="s">
        <v>2482</v>
      </c>
    </row>
    <row r="3" spans="1:9">
      <c r="A3" s="3552"/>
      <c r="B3" s="3553" t="s">
        <v>2483</v>
      </c>
      <c r="C3" s="3553"/>
      <c r="D3" s="2511"/>
      <c r="E3" s="2509"/>
      <c r="F3" s="2512"/>
      <c r="G3" s="2512"/>
      <c r="H3" s="2513"/>
      <c r="I3" s="2514">
        <f>ROUND(D3*E3*F3*G3*H3/10000,0)</f>
        <v>0</v>
      </c>
    </row>
    <row r="4" spans="1:9">
      <c r="A4" s="3552"/>
      <c r="B4" s="3553" t="s">
        <v>2484</v>
      </c>
      <c r="C4" s="3553"/>
      <c r="D4" s="2511"/>
      <c r="E4" s="2509"/>
      <c r="F4" s="2512"/>
      <c r="G4" s="2512"/>
      <c r="H4" s="2513"/>
      <c r="I4" s="2514">
        <f t="shared" ref="I4:I9" si="0">ROUND(D4*E4*F4*G4*H4/10000,0)</f>
        <v>0</v>
      </c>
    </row>
    <row r="5" spans="1:9">
      <c r="A5" s="3552"/>
      <c r="B5" s="3553" t="s">
        <v>2485</v>
      </c>
      <c r="C5" s="3553"/>
      <c r="D5" s="2511"/>
      <c r="E5" s="2509"/>
      <c r="F5" s="2512"/>
      <c r="G5" s="2512"/>
      <c r="H5" s="2513"/>
      <c r="I5" s="2514">
        <f t="shared" si="0"/>
        <v>0</v>
      </c>
    </row>
    <row r="6" spans="1:9">
      <c r="A6" s="3552"/>
      <c r="B6" s="3553" t="s">
        <v>2486</v>
      </c>
      <c r="C6" s="3553"/>
      <c r="D6" s="2511"/>
      <c r="E6" s="2509"/>
      <c r="F6" s="2512"/>
      <c r="G6" s="2512"/>
      <c r="H6" s="2513"/>
      <c r="I6" s="2514">
        <f t="shared" si="0"/>
        <v>0</v>
      </c>
    </row>
    <row r="7" spans="1:9">
      <c r="A7" s="3552"/>
      <c r="B7" s="3553" t="s">
        <v>2487</v>
      </c>
      <c r="C7" s="3553"/>
      <c r="D7" s="2511"/>
      <c r="E7" s="2509"/>
      <c r="F7" s="2512"/>
      <c r="G7" s="2512"/>
      <c r="H7" s="2513"/>
      <c r="I7" s="2514">
        <f t="shared" si="0"/>
        <v>0</v>
      </c>
    </row>
    <row r="8" spans="1:9">
      <c r="A8" s="3552"/>
      <c r="B8" s="3553" t="s">
        <v>2488</v>
      </c>
      <c r="C8" s="3553"/>
      <c r="D8" s="2511"/>
      <c r="E8" s="2509"/>
      <c r="F8" s="2512"/>
      <c r="G8" s="2512"/>
      <c r="H8" s="2513"/>
      <c r="I8" s="2514">
        <f t="shared" si="0"/>
        <v>0</v>
      </c>
    </row>
    <row r="9" spans="1:9">
      <c r="A9" s="3552"/>
      <c r="B9" s="3553" t="s">
        <v>2489</v>
      </c>
      <c r="C9" s="3553"/>
      <c r="D9" s="2511"/>
      <c r="E9" s="2509"/>
      <c r="F9" s="2512"/>
      <c r="G9" s="2512"/>
      <c r="H9" s="2513"/>
      <c r="I9" s="2514">
        <f t="shared" si="0"/>
        <v>0</v>
      </c>
    </row>
    <row r="10" spans="1:9">
      <c r="A10" s="3552"/>
      <c r="B10" s="3554" t="s">
        <v>2490</v>
      </c>
      <c r="C10" s="3554"/>
      <c r="D10" s="2515">
        <v>527</v>
      </c>
      <c r="E10" s="2515" t="e">
        <f>ROUND(D1*10000/D10/H9,0)</f>
        <v>#DIV/0!</v>
      </c>
      <c r="F10" s="2516"/>
      <c r="G10" s="2516"/>
      <c r="H10" s="2517"/>
      <c r="I10" s="2518">
        <f>SUM(I3:I9)</f>
        <v>0</v>
      </c>
    </row>
    <row r="11" spans="1:9" ht="14.25">
      <c r="A11" s="3552" t="s">
        <v>2491</v>
      </c>
      <c r="B11" s="3553" t="s">
        <v>2492</v>
      </c>
      <c r="C11" s="3553"/>
      <c r="D11" s="2511" t="s">
        <v>2493</v>
      </c>
      <c r="E11" s="2511" t="s">
        <v>2494</v>
      </c>
      <c r="F11" s="2512" t="s">
        <v>2495</v>
      </c>
      <c r="G11" s="2512" t="s">
        <v>2496</v>
      </c>
      <c r="H11" s="2519" t="s">
        <v>2497</v>
      </c>
      <c r="I11" s="2510" t="s">
        <v>2498</v>
      </c>
    </row>
    <row r="12" spans="1:9">
      <c r="A12" s="3552"/>
      <c r="B12" s="3553" t="s">
        <v>2499</v>
      </c>
      <c r="C12" s="3553"/>
      <c r="D12" s="2511"/>
      <c r="E12" s="2511"/>
      <c r="F12" s="2512"/>
      <c r="G12" s="2513"/>
      <c r="H12" s="2520"/>
      <c r="I12" s="2510">
        <f>ROUND(D12*E12*F12*G12/10000,0)</f>
        <v>0</v>
      </c>
    </row>
    <row r="13" spans="1:9">
      <c r="A13" s="3552"/>
      <c r="B13" s="3553" t="s">
        <v>2500</v>
      </c>
      <c r="C13" s="3553"/>
      <c r="D13" s="2511"/>
      <c r="E13" s="2511"/>
      <c r="F13" s="2512"/>
      <c r="G13" s="2513"/>
      <c r="H13" s="2520"/>
      <c r="I13" s="2510">
        <f>ROUND(D13*E13*F13*G13/10000,0)</f>
        <v>0</v>
      </c>
    </row>
    <row r="14" spans="1:9">
      <c r="A14" s="3552"/>
      <c r="B14" s="3553" t="s">
        <v>2501</v>
      </c>
      <c r="C14" s="3553"/>
      <c r="D14" s="2511"/>
      <c r="E14" s="2511"/>
      <c r="F14" s="2512"/>
      <c r="G14" s="2513"/>
      <c r="H14" s="2520"/>
      <c r="I14" s="2510">
        <f>ROUND(D14*E14*F14*G14/10000,0)</f>
        <v>0</v>
      </c>
    </row>
    <row r="15" spans="1:9">
      <c r="A15" s="3552"/>
      <c r="B15" s="3554" t="s">
        <v>2490</v>
      </c>
      <c r="C15" s="3554"/>
      <c r="D15" s="2515"/>
      <c r="E15" s="2515">
        <f>SUM(E12:E14)</f>
        <v>0</v>
      </c>
      <c r="F15" s="2516"/>
      <c r="G15" s="2513"/>
      <c r="H15" s="2520"/>
      <c r="I15" s="2521">
        <f>SUM(I12:I14)</f>
        <v>0</v>
      </c>
    </row>
    <row r="16" spans="1:9" ht="24">
      <c r="A16" s="3552" t="s">
        <v>2502</v>
      </c>
      <c r="B16" s="3553" t="s">
        <v>2503</v>
      </c>
      <c r="C16" s="3553"/>
      <c r="D16" s="2511" t="s">
        <v>2504</v>
      </c>
      <c r="E16" s="2522" t="s">
        <v>2505</v>
      </c>
      <c r="F16" s="2512" t="s">
        <v>2506</v>
      </c>
      <c r="G16" s="2513" t="s">
        <v>2496</v>
      </c>
      <c r="H16" s="2519" t="s">
        <v>2497</v>
      </c>
      <c r="I16" s="2510" t="s">
        <v>2498</v>
      </c>
    </row>
    <row r="17" spans="1:9" ht="14.25">
      <c r="A17" s="3552"/>
      <c r="B17" s="3553" t="s">
        <v>2507</v>
      </c>
      <c r="C17" s="3553"/>
      <c r="D17" s="2511"/>
      <c r="E17" s="2511"/>
      <c r="F17" s="2512"/>
      <c r="G17" s="2513"/>
      <c r="H17" s="2523"/>
      <c r="I17" s="2524">
        <f>ROUND(D17*E17*F17*G17/10000,0)</f>
        <v>0</v>
      </c>
    </row>
    <row r="18" spans="1:9" ht="14.25">
      <c r="A18" s="3552"/>
      <c r="B18" s="3553" t="s">
        <v>2508</v>
      </c>
      <c r="C18" s="3553"/>
      <c r="D18" s="2511"/>
      <c r="E18" s="2511"/>
      <c r="F18" s="2512"/>
      <c r="G18" s="2513"/>
      <c r="H18" s="2523"/>
      <c r="I18" s="2524">
        <f>ROUND(D18*E18*F18*G18/10000,0)</f>
        <v>0</v>
      </c>
    </row>
    <row r="19" spans="1:9" ht="14.25">
      <c r="A19" s="3552"/>
      <c r="B19" s="3553" t="s">
        <v>2509</v>
      </c>
      <c r="C19" s="3553"/>
      <c r="D19" s="2511"/>
      <c r="E19" s="2511"/>
      <c r="F19" s="2512"/>
      <c r="G19" s="2513"/>
      <c r="H19" s="2523"/>
      <c r="I19" s="2524">
        <f>ROUND(D19*E19*F19*G19/10000,0)</f>
        <v>0</v>
      </c>
    </row>
    <row r="20" spans="1:9">
      <c r="A20" s="3552"/>
      <c r="B20" s="3554" t="s">
        <v>2490</v>
      </c>
      <c r="C20" s="3554"/>
      <c r="D20" s="2515">
        <f>SUM(D17:D19)</f>
        <v>0</v>
      </c>
      <c r="E20" s="2515"/>
      <c r="F20" s="2516"/>
      <c r="G20" s="2513"/>
      <c r="H20" s="2520"/>
      <c r="I20" s="2521">
        <f>SUM(I17:I19)</f>
        <v>0</v>
      </c>
    </row>
    <row r="21" spans="1:9">
      <c r="A21" s="3552" t="s">
        <v>2510</v>
      </c>
      <c r="B21" s="3555"/>
      <c r="C21" s="3555"/>
      <c r="D21" s="3555"/>
      <c r="E21" s="3555"/>
      <c r="F21" s="3555"/>
      <c r="G21" s="3555"/>
      <c r="H21" s="2525">
        <v>0.1</v>
      </c>
      <c r="I21" s="2518">
        <f>ROUND(I10*H21,0)</f>
        <v>0</v>
      </c>
    </row>
    <row r="22" spans="1:9" ht="14.25">
      <c r="A22" s="3556" t="s">
        <v>2511</v>
      </c>
      <c r="B22" s="3557"/>
      <c r="C22" s="3558"/>
      <c r="D22" s="2526" t="s">
        <v>2512</v>
      </c>
      <c r="E22" s="2526" t="s">
        <v>2513</v>
      </c>
      <c r="F22" s="2527" t="s">
        <v>2514</v>
      </c>
      <c r="G22" s="2527" t="s">
        <v>2515</v>
      </c>
      <c r="H22" s="2519" t="s">
        <v>2516</v>
      </c>
      <c r="I22" s="2510" t="s">
        <v>2517</v>
      </c>
    </row>
    <row r="23" spans="1:9" ht="14.25" thickBot="1">
      <c r="A23" s="3559"/>
      <c r="B23" s="3560"/>
      <c r="C23" s="3561"/>
      <c r="D23" s="2528"/>
      <c r="E23" s="2528"/>
      <c r="F23" s="2528"/>
      <c r="G23" s="2529"/>
      <c r="H23" s="2530"/>
      <c r="I23" s="2531">
        <f>ROUND(E23*D23*F23*(1-G23)/10000,0)</f>
        <v>0</v>
      </c>
    </row>
    <row r="26" spans="1:9">
      <c r="A26" s="2532" t="s">
        <v>2518</v>
      </c>
      <c r="B26" s="2532"/>
      <c r="C26" s="2532"/>
      <c r="D26" s="2532"/>
      <c r="E26" s="3549">
        <f>C27-C30-C31-C32</f>
        <v>0</v>
      </c>
      <c r="F26" s="3549"/>
      <c r="G26" s="3549"/>
      <c r="H26" s="3046" t="s">
        <v>2845</v>
      </c>
    </row>
    <row r="27" spans="1:9">
      <c r="A27" s="2533">
        <v>1</v>
      </c>
      <c r="B27" s="2534" t="s">
        <v>2519</v>
      </c>
      <c r="C27" s="2534"/>
      <c r="D27" s="2534"/>
      <c r="E27" s="3550"/>
      <c r="F27" s="3550"/>
      <c r="G27" s="3550"/>
    </row>
    <row r="28" spans="1:9">
      <c r="A28" s="2535" t="s">
        <v>2520</v>
      </c>
      <c r="B28" s="2534" t="s">
        <v>2521</v>
      </c>
      <c r="C28" s="2534"/>
      <c r="D28" s="2534"/>
      <c r="E28" s="3550"/>
      <c r="F28" s="3550"/>
      <c r="G28" s="3550"/>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551"/>
      <c r="F32" s="3551"/>
      <c r="G32" s="3551"/>
    </row>
    <row r="33" spans="1:7" hidden="1">
      <c r="A33" s="3546" t="s">
        <v>2529</v>
      </c>
      <c r="B33" s="3547"/>
      <c r="C33" s="3547"/>
      <c r="D33" s="3548"/>
      <c r="E33" s="3549"/>
      <c r="F33" s="3549"/>
      <c r="G33" s="3549"/>
    </row>
    <row r="34" spans="1:7" hidden="1">
      <c r="A34" s="2537">
        <v>1</v>
      </c>
      <c r="B34" s="2534" t="s">
        <v>2530</v>
      </c>
      <c r="C34" s="2534"/>
      <c r="D34" s="2534"/>
      <c r="E34" s="3550"/>
      <c r="F34" s="3550"/>
      <c r="G34" s="3550"/>
    </row>
    <row r="35" spans="1:7" hidden="1">
      <c r="A35" s="2537">
        <v>2</v>
      </c>
      <c r="B35" s="2534" t="s">
        <v>2531</v>
      </c>
      <c r="C35" s="2534"/>
      <c r="D35" s="2534"/>
      <c r="E35" s="3550"/>
      <c r="F35" s="3550"/>
      <c r="G35" s="3550"/>
    </row>
    <row r="36" spans="1:7" hidden="1">
      <c r="A36" s="2537">
        <v>3</v>
      </c>
      <c r="B36" s="2534" t="s">
        <v>2532</v>
      </c>
      <c r="C36" s="2534"/>
      <c r="D36" s="2534"/>
      <c r="E36" s="3550"/>
      <c r="F36" s="3550"/>
      <c r="G36" s="3550"/>
    </row>
    <row r="37" spans="1:7" hidden="1">
      <c r="A37" s="2537">
        <v>4</v>
      </c>
      <c r="B37" s="2534" t="s">
        <v>2533</v>
      </c>
      <c r="C37" s="2534"/>
      <c r="D37" s="2534"/>
      <c r="E37" s="3550"/>
      <c r="F37" s="3550"/>
      <c r="G37" s="3550"/>
    </row>
    <row r="38" spans="1:7" hidden="1">
      <c r="A38" s="3546" t="s">
        <v>2534</v>
      </c>
      <c r="B38" s="3547"/>
      <c r="C38" s="3547"/>
      <c r="D38" s="3548"/>
      <c r="E38" s="3549"/>
      <c r="F38" s="3549"/>
      <c r="G38" s="35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9" sqref="C19:C20"/>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113026</v>
      </c>
      <c r="C2" s="2110"/>
      <c r="D2" s="2110"/>
      <c r="E2" s="2110"/>
      <c r="F2" s="2110"/>
      <c r="G2" s="2110"/>
    </row>
    <row r="3" spans="1:25" s="2061" customFormat="1" ht="18" customHeight="1">
      <c r="A3" s="1380" t="s">
        <v>1686</v>
      </c>
      <c r="B3" s="425">
        <f ca="1">ROUND(B2*10000/'数据-汇总表'!E3,0)</f>
        <v>19761</v>
      </c>
      <c r="C3" s="2110"/>
      <c r="D3" s="2110"/>
      <c r="E3" s="2110"/>
      <c r="F3" s="2110"/>
      <c r="G3" s="2110"/>
    </row>
    <row r="4" spans="1:25" s="2061" customFormat="1" ht="18" customHeight="1">
      <c r="A4" s="426" t="s">
        <v>468</v>
      </c>
      <c r="B4" s="427">
        <f ca="1">ROUND(B2*10000/'数据-汇总表'!D3,0)</f>
        <v>8669</v>
      </c>
      <c r="C4" s="2063"/>
      <c r="D4" s="2110"/>
      <c r="E4" s="2110"/>
      <c r="F4" s="2110"/>
      <c r="G4" s="2110"/>
    </row>
    <row r="5" spans="1:25" s="2061" customFormat="1" ht="18" customHeight="1" thickBot="1">
      <c r="A5" s="429"/>
      <c r="B5" s="430">
        <f ca="1">ROUND(B2/('数据-汇总表'!D3/666.67),0)</f>
        <v>578</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117812</v>
      </c>
      <c r="D7" s="749"/>
      <c r="E7" s="750"/>
      <c r="F7" s="750"/>
      <c r="G7" s="2481" t="s">
        <v>3026</v>
      </c>
    </row>
    <row r="8" spans="1:25" s="2185" customFormat="1" ht="13.5" customHeight="1">
      <c r="A8" s="2471" t="s">
        <v>2443</v>
      </c>
      <c r="B8" s="2474" t="s">
        <v>2445</v>
      </c>
      <c r="C8" s="2475">
        <f>ROUND(9036*'数据-基础表'!A3/10000,0)</f>
        <v>117812</v>
      </c>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2086</v>
      </c>
      <c r="D10" s="760">
        <f>'数据-汇总表'!E3</f>
        <v>57196.500000000007</v>
      </c>
      <c r="E10" s="749">
        <f>'数据-取费表'!B31</f>
        <v>160</v>
      </c>
      <c r="F10" s="761"/>
      <c r="G10" s="759" t="s">
        <v>614</v>
      </c>
    </row>
    <row r="11" spans="1:25" s="2185" customFormat="1" ht="13.5" customHeight="1">
      <c r="A11" s="2471" t="s">
        <v>2443</v>
      </c>
      <c r="B11" s="752" t="s">
        <v>610</v>
      </c>
      <c r="C11" s="753">
        <f>'数据-取费表'!B29</f>
        <v>0</v>
      </c>
      <c r="D11" s="754"/>
      <c r="E11" s="753"/>
      <c r="F11" s="755"/>
      <c r="G11" s="2480" t="s">
        <v>2454</v>
      </c>
    </row>
    <row r="12" spans="1:25" s="2185" customFormat="1" ht="13.5" customHeight="1">
      <c r="A12" s="2478" t="s">
        <v>2451</v>
      </c>
      <c r="B12" s="756" t="s">
        <v>611</v>
      </c>
      <c r="C12" s="757">
        <f>ROUND(D12*E12/10000,0)</f>
        <v>0</v>
      </c>
      <c r="D12" s="758">
        <f>'数据-汇总表'!E5</f>
        <v>0</v>
      </c>
      <c r="E12" s="757">
        <f>'数据-取费表'!B27</f>
        <v>160</v>
      </c>
      <c r="F12" s="755"/>
      <c r="G12" s="759"/>
    </row>
    <row r="13" spans="1:25" s="2185" customFormat="1" ht="13.5" customHeight="1">
      <c r="A13" s="2478" t="s">
        <v>2450</v>
      </c>
      <c r="B13" s="756" t="s">
        <v>612</v>
      </c>
      <c r="C13" s="757">
        <f>ROUND(D13*E13/10000,0)</f>
        <v>1144</v>
      </c>
      <c r="D13" s="758">
        <f>'数据-汇总表'!E6</f>
        <v>57196.500000000007</v>
      </c>
      <c r="E13" s="757">
        <f>'数据-取费表'!B28</f>
        <v>200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f>ROUND('数据-汇总表'!D3*成本逼近法!E10/10000,0)</f>
        <v>2086</v>
      </c>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11557</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16786</v>
      </c>
      <c r="D18" s="762"/>
      <c r="E18" s="763"/>
      <c r="F18" s="761">
        <f>'数据-取费表'!Q16</f>
        <v>0.14000000000000001</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148241</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22236</v>
      </c>
      <c r="D20" s="760"/>
      <c r="E20" s="749"/>
      <c r="F20" s="1349">
        <v>0.15</v>
      </c>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170477</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113026</v>
      </c>
      <c r="D22" s="760"/>
      <c r="E22" s="749"/>
      <c r="F22" s="766">
        <f>'数据-取费表'!AP16</f>
        <v>0.66300000000000003</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113026</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E5"/>
  <sheetViews>
    <sheetView workbookViewId="0">
      <selection activeCell="D4" sqref="D4:E4"/>
    </sheetView>
  </sheetViews>
  <sheetFormatPr defaultColWidth="9" defaultRowHeight="13.5"/>
  <cols>
    <col min="1" max="2" width="9" style="3189"/>
    <col min="3" max="3" width="13.375" style="3189" customWidth="1"/>
    <col min="4" max="16384" width="9" style="3189"/>
  </cols>
  <sheetData>
    <row r="2" spans="2:5" ht="27" customHeight="1">
      <c r="B2" s="3570" t="s">
        <v>3043</v>
      </c>
      <c r="C2" s="3570"/>
      <c r="D2" s="3570"/>
      <c r="E2" s="3570"/>
    </row>
    <row r="3" spans="2:5">
      <c r="B3" s="3571" t="s">
        <v>3044</v>
      </c>
      <c r="C3" s="3571"/>
      <c r="D3" s="3572">
        <f>项目基本情况!C21</f>
        <v>57196.500000000007</v>
      </c>
      <c r="E3" s="3572"/>
    </row>
    <row r="4" spans="2:5">
      <c r="B4" s="3571" t="s">
        <v>3045</v>
      </c>
      <c r="C4" s="3571"/>
      <c r="D4" s="3572">
        <v>50</v>
      </c>
      <c r="E4" s="3572"/>
    </row>
    <row r="5" spans="2:5">
      <c r="B5" s="3567" t="s">
        <v>3046</v>
      </c>
      <c r="C5" s="3568"/>
      <c r="D5" s="3569">
        <f>ROUND(D3*D4/10000,2)</f>
        <v>285.98</v>
      </c>
      <c r="E5" s="3569"/>
    </row>
  </sheetData>
  <mergeCells count="7">
    <mergeCell ref="B5:C5"/>
    <mergeCell ref="D5:E5"/>
    <mergeCell ref="B2:E2"/>
    <mergeCell ref="B3:C3"/>
    <mergeCell ref="D3:E3"/>
    <mergeCell ref="B4:C4"/>
    <mergeCell ref="D4:E4"/>
  </mergeCells>
  <phoneticPr fontId="2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39"/>
  <sheetViews>
    <sheetView topLeftCell="C1" zoomScale="110" zoomScaleNormal="110" workbookViewId="0">
      <selection activeCell="H7" sqref="H7"/>
    </sheetView>
  </sheetViews>
  <sheetFormatPr defaultColWidth="9" defaultRowHeight="22.5" customHeight="1"/>
  <cols>
    <col min="1" max="1" width="14.875" style="3190" customWidth="1"/>
    <col min="2" max="3" width="9" style="3190"/>
    <col min="4" max="4" width="9" style="3219"/>
    <col min="5" max="5" width="9" style="3190"/>
    <col min="6" max="6" width="9.5" style="3190" bestFit="1" customWidth="1"/>
    <col min="7" max="16384" width="9" style="3190"/>
  </cols>
  <sheetData>
    <row r="1" spans="1:19" ht="22.5" customHeight="1">
      <c r="A1" s="3573" t="s">
        <v>3047</v>
      </c>
      <c r="B1" s="3573" t="s">
        <v>3048</v>
      </c>
      <c r="C1" s="3573" t="s">
        <v>3049</v>
      </c>
      <c r="D1" s="3575" t="s">
        <v>3050</v>
      </c>
      <c r="E1" s="3573" t="s">
        <v>3051</v>
      </c>
      <c r="F1" s="3573" t="s">
        <v>3052</v>
      </c>
      <c r="G1" s="3573" t="s">
        <v>3053</v>
      </c>
      <c r="H1" s="3573" t="s">
        <v>3054</v>
      </c>
      <c r="I1" s="3573" t="s">
        <v>3055</v>
      </c>
      <c r="J1" s="3573" t="s">
        <v>3300</v>
      </c>
      <c r="K1" s="3573" t="s">
        <v>3056</v>
      </c>
      <c r="L1" s="3573" t="s">
        <v>3057</v>
      </c>
      <c r="M1" s="3573" t="s">
        <v>3058</v>
      </c>
      <c r="N1" s="3573" t="s">
        <v>3059</v>
      </c>
      <c r="O1" s="3573" t="s">
        <v>3060</v>
      </c>
      <c r="P1" s="3577" t="s">
        <v>3061</v>
      </c>
      <c r="Q1" s="3573" t="s">
        <v>3062</v>
      </c>
    </row>
    <row r="2" spans="1:19" ht="22.5" customHeight="1" thickBot="1">
      <c r="A2" s="3574"/>
      <c r="B2" s="3574"/>
      <c r="C2" s="3574"/>
      <c r="D2" s="3576"/>
      <c r="E2" s="3574"/>
      <c r="F2" s="3574"/>
      <c r="G2" s="3574"/>
      <c r="H2" s="3574"/>
      <c r="I2" s="3574"/>
      <c r="J2" s="3574"/>
      <c r="K2" s="3574"/>
      <c r="L2" s="3574"/>
      <c r="M2" s="3574"/>
      <c r="N2" s="3574"/>
      <c r="O2" s="3574"/>
      <c r="P2" s="3574"/>
      <c r="Q2" s="3574"/>
      <c r="S2" s="3191" t="s">
        <v>3063</v>
      </c>
    </row>
    <row r="3" spans="1:19" ht="22.5" customHeight="1" thickTop="1">
      <c r="A3" s="3192"/>
      <c r="B3" s="3193">
        <f>'数据-基础表'!C13</f>
        <v>12</v>
      </c>
      <c r="C3" s="3193" t="s">
        <v>3064</v>
      </c>
      <c r="D3" s="3194" t="s">
        <v>3086</v>
      </c>
      <c r="E3" s="3232"/>
      <c r="F3" s="3195">
        <f>'数据-基础表'!G13</f>
        <v>2557.8000000000002</v>
      </c>
      <c r="G3" s="3196">
        <v>1500</v>
      </c>
      <c r="H3" s="3195">
        <f>G3*15/100</f>
        <v>225</v>
      </c>
      <c r="I3" s="3195">
        <f>G3+H3</f>
        <v>1725</v>
      </c>
      <c r="J3" s="3195">
        <f>I3*3/100</f>
        <v>51.75</v>
      </c>
      <c r="K3" s="3195">
        <f>ROUND((I3+J3)*2/100,2)</f>
        <v>35.54</v>
      </c>
      <c r="L3" s="3195">
        <f>ROUND((I3+J3+K3)*((1+0.0435)^(1/2)-1),2)</f>
        <v>39</v>
      </c>
      <c r="M3" s="3195">
        <f>ROUND((S3*15/100),2)</f>
        <v>271.83999999999997</v>
      </c>
      <c r="N3" s="3195">
        <f>I3+J3+K3+L3+M3</f>
        <v>2123.13</v>
      </c>
      <c r="O3" s="3197">
        <v>0.65</v>
      </c>
      <c r="P3" s="3195">
        <f>ROUND(N3*O3,2)</f>
        <v>1380.03</v>
      </c>
      <c r="Q3" s="3198">
        <f>ROUND(P3*F3/10000,2)</f>
        <v>352.98</v>
      </c>
      <c r="S3" s="3189">
        <f>I3+J3+K3</f>
        <v>1812.29</v>
      </c>
    </row>
    <row r="4" spans="1:19" ht="22.5" customHeight="1">
      <c r="A4" s="3199"/>
      <c r="B4" s="3193">
        <f>'数据-基础表'!C14</f>
        <v>16</v>
      </c>
      <c r="C4" s="3200" t="s">
        <v>3064</v>
      </c>
      <c r="D4" s="3201" t="s">
        <v>3086</v>
      </c>
      <c r="E4" s="3233"/>
      <c r="F4" s="3195">
        <f>'数据-基础表'!G14</f>
        <v>614</v>
      </c>
      <c r="G4" s="3230">
        <f>G3</f>
        <v>1500</v>
      </c>
      <c r="H4" s="3202">
        <f t="shared" ref="H4:H38" si="0">G4*15/100</f>
        <v>225</v>
      </c>
      <c r="I4" s="3202">
        <f t="shared" ref="I4:I38" si="1">G4+H4</f>
        <v>1725</v>
      </c>
      <c r="J4" s="3202">
        <f t="shared" ref="J4:J38" si="2">I4*3/100</f>
        <v>51.75</v>
      </c>
      <c r="K4" s="3202">
        <f t="shared" ref="K4:K38" si="3">ROUND((I4+J4)*2/100,2)</f>
        <v>35.54</v>
      </c>
      <c r="L4" s="3202">
        <f t="shared" ref="L4:L38" si="4">ROUND((I4+J4+K4)*((1+0.0435)^(1/2)-1),2)</f>
        <v>39</v>
      </c>
      <c r="M4" s="3202">
        <f t="shared" ref="M4:M38" si="5">ROUND((S4*15/100),2)</f>
        <v>271.83999999999997</v>
      </c>
      <c r="N4" s="3202">
        <f t="shared" ref="N4:N38" si="6">I4+J4+K4+L4+M4</f>
        <v>2123.13</v>
      </c>
      <c r="O4" s="3203">
        <v>0.65</v>
      </c>
      <c r="P4" s="3202">
        <f t="shared" ref="P4:P38" si="7">ROUND(N4*O4,2)</f>
        <v>1380.03</v>
      </c>
      <c r="Q4" s="3204">
        <f t="shared" ref="Q4:Q38" si="8">ROUND(P4*F4/10000,2)</f>
        <v>84.73</v>
      </c>
      <c r="S4" s="3189">
        <f t="shared" ref="S4:S38" si="9">I4+J4+K4</f>
        <v>1812.29</v>
      </c>
    </row>
    <row r="5" spans="1:19" ht="22.5" hidden="1" customHeight="1">
      <c r="A5" s="3205"/>
      <c r="B5" s="3193">
        <f>'数据-基础表'!C15</f>
        <v>0</v>
      </c>
      <c r="C5" s="3193" t="s">
        <v>3064</v>
      </c>
      <c r="D5" s="3207" t="s">
        <v>3087</v>
      </c>
      <c r="E5" s="3232"/>
      <c r="F5" s="3195">
        <f>'数据-基础表'!G15</f>
        <v>0</v>
      </c>
      <c r="G5" s="3206">
        <v>1350</v>
      </c>
      <c r="H5" s="3208">
        <f t="shared" si="0"/>
        <v>202.5</v>
      </c>
      <c r="I5" s="3208">
        <f t="shared" si="1"/>
        <v>1552.5</v>
      </c>
      <c r="J5" s="3208">
        <f t="shared" si="2"/>
        <v>46.575000000000003</v>
      </c>
      <c r="K5" s="3208">
        <f t="shared" si="3"/>
        <v>31.98</v>
      </c>
      <c r="L5" s="3208">
        <f t="shared" si="4"/>
        <v>35.1</v>
      </c>
      <c r="M5" s="3208">
        <f t="shared" si="5"/>
        <v>244.66</v>
      </c>
      <c r="N5" s="3208">
        <f t="shared" si="6"/>
        <v>1910.8150000000001</v>
      </c>
      <c r="O5" s="3209">
        <v>0.65</v>
      </c>
      <c r="P5" s="3208">
        <f t="shared" si="7"/>
        <v>1242.03</v>
      </c>
      <c r="Q5" s="3210">
        <f t="shared" si="8"/>
        <v>0</v>
      </c>
      <c r="S5" s="3189">
        <f t="shared" si="9"/>
        <v>1631.0550000000001</v>
      </c>
    </row>
    <row r="6" spans="1:19" ht="22.5" hidden="1" customHeight="1">
      <c r="A6" s="3199"/>
      <c r="B6" s="3193">
        <f>'数据-基础表'!C16</f>
        <v>0</v>
      </c>
      <c r="C6" s="3200" t="s">
        <v>3064</v>
      </c>
      <c r="D6" s="3201" t="s">
        <v>3087</v>
      </c>
      <c r="E6" s="3233"/>
      <c r="F6" s="3195">
        <f>'数据-基础表'!G16</f>
        <v>0</v>
      </c>
      <c r="G6" s="3206">
        <f>G5</f>
        <v>1350</v>
      </c>
      <c r="H6" s="3202">
        <f t="shared" si="0"/>
        <v>202.5</v>
      </c>
      <c r="I6" s="3202">
        <f t="shared" si="1"/>
        <v>1552.5</v>
      </c>
      <c r="J6" s="3202">
        <f t="shared" si="2"/>
        <v>46.575000000000003</v>
      </c>
      <c r="K6" s="3202">
        <f t="shared" si="3"/>
        <v>31.98</v>
      </c>
      <c r="L6" s="3202">
        <f t="shared" si="4"/>
        <v>35.1</v>
      </c>
      <c r="M6" s="3202">
        <f t="shared" si="5"/>
        <v>244.66</v>
      </c>
      <c r="N6" s="3202">
        <f t="shared" si="6"/>
        <v>1910.8150000000001</v>
      </c>
      <c r="O6" s="3203">
        <v>0.6</v>
      </c>
      <c r="P6" s="3202">
        <f t="shared" si="7"/>
        <v>1146.49</v>
      </c>
      <c r="Q6" s="3204">
        <f t="shared" si="8"/>
        <v>0</v>
      </c>
      <c r="S6" s="3189">
        <f t="shared" si="9"/>
        <v>1631.0550000000001</v>
      </c>
    </row>
    <row r="7" spans="1:19" ht="22.5" customHeight="1">
      <c r="A7" s="3205"/>
      <c r="B7" s="3193">
        <f>'数据-基础表'!C17</f>
        <v>24</v>
      </c>
      <c r="C7" s="3193" t="s">
        <v>3064</v>
      </c>
      <c r="D7" s="3227" t="s">
        <v>3087</v>
      </c>
      <c r="E7" s="3232"/>
      <c r="F7" s="3195">
        <f>'数据-基础表'!G17</f>
        <v>154.6</v>
      </c>
      <c r="G7" s="3206">
        <f>G5</f>
        <v>1350</v>
      </c>
      <c r="H7" s="3208">
        <f t="shared" si="0"/>
        <v>202.5</v>
      </c>
      <c r="I7" s="3208">
        <f t="shared" si="1"/>
        <v>1552.5</v>
      </c>
      <c r="J7" s="3208">
        <f t="shared" si="2"/>
        <v>46.575000000000003</v>
      </c>
      <c r="K7" s="3208">
        <f t="shared" si="3"/>
        <v>31.98</v>
      </c>
      <c r="L7" s="3208">
        <f t="shared" si="4"/>
        <v>35.1</v>
      </c>
      <c r="M7" s="3208">
        <f t="shared" si="5"/>
        <v>244.66</v>
      </c>
      <c r="N7" s="3208">
        <f t="shared" si="6"/>
        <v>1910.8150000000001</v>
      </c>
      <c r="O7" s="3209">
        <v>0.6</v>
      </c>
      <c r="P7" s="3208">
        <f t="shared" si="7"/>
        <v>1146.49</v>
      </c>
      <c r="Q7" s="3210">
        <f t="shared" si="8"/>
        <v>17.72</v>
      </c>
      <c r="S7" s="3189">
        <f t="shared" si="9"/>
        <v>1631.0550000000001</v>
      </c>
    </row>
    <row r="8" spans="1:19" ht="22.5" customHeight="1">
      <c r="A8" s="3226"/>
      <c r="B8" s="3193">
        <f>'数据-基础表'!C18</f>
        <v>25</v>
      </c>
      <c r="C8" s="3200" t="s">
        <v>3064</v>
      </c>
      <c r="D8" s="3228" t="s">
        <v>3087</v>
      </c>
      <c r="E8" s="3233"/>
      <c r="F8" s="3195">
        <f>'数据-基础表'!G18</f>
        <v>726.7</v>
      </c>
      <c r="G8" s="3206">
        <f>G5</f>
        <v>1350</v>
      </c>
      <c r="H8" s="3202">
        <f t="shared" si="0"/>
        <v>202.5</v>
      </c>
      <c r="I8" s="3202">
        <f t="shared" si="1"/>
        <v>1552.5</v>
      </c>
      <c r="J8" s="3202">
        <f t="shared" si="2"/>
        <v>46.575000000000003</v>
      </c>
      <c r="K8" s="3202">
        <f t="shared" si="3"/>
        <v>31.98</v>
      </c>
      <c r="L8" s="3202">
        <f t="shared" si="4"/>
        <v>35.1</v>
      </c>
      <c r="M8" s="3202">
        <f t="shared" si="5"/>
        <v>244.66</v>
      </c>
      <c r="N8" s="3202">
        <f t="shared" si="6"/>
        <v>1910.8150000000001</v>
      </c>
      <c r="O8" s="3203">
        <f>O7</f>
        <v>0.6</v>
      </c>
      <c r="P8" s="3202">
        <f t="shared" si="7"/>
        <v>1146.49</v>
      </c>
      <c r="Q8" s="3204">
        <f t="shared" si="8"/>
        <v>83.32</v>
      </c>
      <c r="S8" s="3189">
        <f t="shared" si="9"/>
        <v>1631.0550000000001</v>
      </c>
    </row>
    <row r="9" spans="1:19" ht="22.5" customHeight="1">
      <c r="A9" s="3226"/>
      <c r="B9" s="3193">
        <f>'数据-基础表'!C19</f>
        <v>26</v>
      </c>
      <c r="C9" s="3193" t="s">
        <v>3064</v>
      </c>
      <c r="D9" s="3227" t="s">
        <v>3087</v>
      </c>
      <c r="E9" s="3232"/>
      <c r="F9" s="3195">
        <f>'数据-基础表'!G19</f>
        <v>51.6</v>
      </c>
      <c r="G9" s="3206">
        <f>G5</f>
        <v>1350</v>
      </c>
      <c r="H9" s="3208">
        <f t="shared" si="0"/>
        <v>202.5</v>
      </c>
      <c r="I9" s="3208">
        <f t="shared" si="1"/>
        <v>1552.5</v>
      </c>
      <c r="J9" s="3208">
        <f t="shared" si="2"/>
        <v>46.575000000000003</v>
      </c>
      <c r="K9" s="3208">
        <f t="shared" si="3"/>
        <v>31.98</v>
      </c>
      <c r="L9" s="3208">
        <f t="shared" si="4"/>
        <v>35.1</v>
      </c>
      <c r="M9" s="3208">
        <f t="shared" si="5"/>
        <v>244.66</v>
      </c>
      <c r="N9" s="3208">
        <f t="shared" si="6"/>
        <v>1910.8150000000001</v>
      </c>
      <c r="O9" s="3209">
        <f>O7</f>
        <v>0.6</v>
      </c>
      <c r="P9" s="3208">
        <f t="shared" si="7"/>
        <v>1146.49</v>
      </c>
      <c r="Q9" s="3210">
        <f t="shared" si="8"/>
        <v>5.92</v>
      </c>
      <c r="S9" s="3189">
        <f t="shared" si="9"/>
        <v>1631.0550000000001</v>
      </c>
    </row>
    <row r="10" spans="1:19" ht="22.5" customHeight="1">
      <c r="A10" s="3226"/>
      <c r="B10" s="3193">
        <f>'数据-基础表'!C20</f>
        <v>27</v>
      </c>
      <c r="C10" s="3200" t="s">
        <v>3064</v>
      </c>
      <c r="D10" s="3228" t="s">
        <v>3087</v>
      </c>
      <c r="E10" s="3233"/>
      <c r="F10" s="3195">
        <f>'数据-基础表'!G20</f>
        <v>184.9</v>
      </c>
      <c r="G10" s="3206">
        <f>G5</f>
        <v>1350</v>
      </c>
      <c r="H10" s="3202">
        <f t="shared" si="0"/>
        <v>202.5</v>
      </c>
      <c r="I10" s="3202">
        <f t="shared" si="1"/>
        <v>1552.5</v>
      </c>
      <c r="J10" s="3202">
        <f t="shared" si="2"/>
        <v>46.575000000000003</v>
      </c>
      <c r="K10" s="3202">
        <f t="shared" si="3"/>
        <v>31.98</v>
      </c>
      <c r="L10" s="3202">
        <f t="shared" si="4"/>
        <v>35.1</v>
      </c>
      <c r="M10" s="3202">
        <f t="shared" si="5"/>
        <v>244.66</v>
      </c>
      <c r="N10" s="3202">
        <f t="shared" si="6"/>
        <v>1910.8150000000001</v>
      </c>
      <c r="O10" s="3203">
        <f>O7</f>
        <v>0.6</v>
      </c>
      <c r="P10" s="3202">
        <f t="shared" si="7"/>
        <v>1146.49</v>
      </c>
      <c r="Q10" s="3204">
        <f t="shared" si="8"/>
        <v>21.2</v>
      </c>
      <c r="S10" s="3189">
        <f t="shared" si="9"/>
        <v>1631.0550000000001</v>
      </c>
    </row>
    <row r="11" spans="1:19" ht="22.5" customHeight="1">
      <c r="A11" s="3226"/>
      <c r="B11" s="3193">
        <f>'数据-基础表'!C21</f>
        <v>35</v>
      </c>
      <c r="C11" s="3193" t="s">
        <v>3064</v>
      </c>
      <c r="D11" s="3227" t="s">
        <v>3087</v>
      </c>
      <c r="E11" s="3232"/>
      <c r="F11" s="3195">
        <f>'数据-基础表'!G21</f>
        <v>64.5</v>
      </c>
      <c r="G11" s="3206">
        <f>G5</f>
        <v>1350</v>
      </c>
      <c r="H11" s="3208">
        <f t="shared" si="0"/>
        <v>202.5</v>
      </c>
      <c r="I11" s="3208">
        <f t="shared" si="1"/>
        <v>1552.5</v>
      </c>
      <c r="J11" s="3208">
        <f t="shared" si="2"/>
        <v>46.575000000000003</v>
      </c>
      <c r="K11" s="3208">
        <f t="shared" si="3"/>
        <v>31.98</v>
      </c>
      <c r="L11" s="3208">
        <f t="shared" si="4"/>
        <v>35.1</v>
      </c>
      <c r="M11" s="3208">
        <f t="shared" si="5"/>
        <v>244.66</v>
      </c>
      <c r="N11" s="3208">
        <f t="shared" si="6"/>
        <v>1910.8150000000001</v>
      </c>
      <c r="O11" s="3209">
        <f>O7</f>
        <v>0.6</v>
      </c>
      <c r="P11" s="3208">
        <f t="shared" si="7"/>
        <v>1146.49</v>
      </c>
      <c r="Q11" s="3210">
        <f t="shared" si="8"/>
        <v>7.39</v>
      </c>
      <c r="S11" s="3189">
        <f t="shared" si="9"/>
        <v>1631.0550000000001</v>
      </c>
    </row>
    <row r="12" spans="1:19" ht="22.5" customHeight="1">
      <c r="A12" s="3199"/>
      <c r="B12" s="3193">
        <f>'数据-基础表'!C22</f>
        <v>45</v>
      </c>
      <c r="C12" s="3218" t="s">
        <v>3088</v>
      </c>
      <c r="D12" s="3228" t="s">
        <v>3089</v>
      </c>
      <c r="E12" s="3233"/>
      <c r="F12" s="3195">
        <f>'数据-基础表'!G22</f>
        <v>16930.150000000001</v>
      </c>
      <c r="G12" s="3200">
        <v>2500</v>
      </c>
      <c r="H12" s="3202">
        <f t="shared" si="0"/>
        <v>375</v>
      </c>
      <c r="I12" s="3202">
        <f t="shared" si="1"/>
        <v>2875</v>
      </c>
      <c r="J12" s="3202">
        <f t="shared" si="2"/>
        <v>86.25</v>
      </c>
      <c r="K12" s="3202">
        <f t="shared" si="3"/>
        <v>59.23</v>
      </c>
      <c r="L12" s="3202">
        <f t="shared" si="4"/>
        <v>65</v>
      </c>
      <c r="M12" s="3202">
        <f t="shared" si="5"/>
        <v>453.07</v>
      </c>
      <c r="N12" s="3202">
        <f t="shared" si="6"/>
        <v>3538.55</v>
      </c>
      <c r="O12" s="3203">
        <v>0.75</v>
      </c>
      <c r="P12" s="3202">
        <f t="shared" si="7"/>
        <v>2653.91</v>
      </c>
      <c r="Q12" s="3204">
        <f t="shared" si="8"/>
        <v>4493.1099999999997</v>
      </c>
      <c r="S12" s="3189">
        <f t="shared" si="9"/>
        <v>3020.48</v>
      </c>
    </row>
    <row r="13" spans="1:19" ht="23.25" customHeight="1">
      <c r="A13" s="3211"/>
      <c r="B13" s="3193">
        <f>'数据-基础表'!C23</f>
        <v>2</v>
      </c>
      <c r="C13" s="3193" t="s">
        <v>3064</v>
      </c>
      <c r="D13" s="3207" t="s">
        <v>3087</v>
      </c>
      <c r="E13" s="3232"/>
      <c r="F13" s="3195">
        <f>'数据-基础表'!G23</f>
        <v>3035.1</v>
      </c>
      <c r="G13" s="3206">
        <f>G5</f>
        <v>1350</v>
      </c>
      <c r="H13" s="3208">
        <f t="shared" si="0"/>
        <v>202.5</v>
      </c>
      <c r="I13" s="3208">
        <f t="shared" si="1"/>
        <v>1552.5</v>
      </c>
      <c r="J13" s="3208">
        <f t="shared" si="2"/>
        <v>46.575000000000003</v>
      </c>
      <c r="K13" s="3208">
        <f t="shared" si="3"/>
        <v>31.98</v>
      </c>
      <c r="L13" s="3208">
        <f t="shared" si="4"/>
        <v>35.1</v>
      </c>
      <c r="M13" s="3208">
        <f t="shared" si="5"/>
        <v>244.66</v>
      </c>
      <c r="N13" s="3208">
        <f t="shared" si="6"/>
        <v>1910.8150000000001</v>
      </c>
      <c r="O13" s="3209">
        <v>0.6</v>
      </c>
      <c r="P13" s="3208">
        <f t="shared" si="7"/>
        <v>1146.49</v>
      </c>
      <c r="Q13" s="3210">
        <f t="shared" si="8"/>
        <v>347.97</v>
      </c>
      <c r="S13" s="3189">
        <f t="shared" si="9"/>
        <v>1631.0550000000001</v>
      </c>
    </row>
    <row r="14" spans="1:19" ht="22.5" customHeight="1">
      <c r="A14" s="3205"/>
      <c r="B14" s="3193">
        <f>'数据-基础表'!C24</f>
        <v>3</v>
      </c>
      <c r="C14" s="3200" t="s">
        <v>3064</v>
      </c>
      <c r="D14" s="3227" t="s">
        <v>3086</v>
      </c>
      <c r="E14" s="3233"/>
      <c r="F14" s="3195">
        <f>'数据-基础表'!G24</f>
        <v>936.4</v>
      </c>
      <c r="G14" s="3231">
        <f>G4</f>
        <v>1500</v>
      </c>
      <c r="H14" s="3208">
        <f t="shared" si="0"/>
        <v>225</v>
      </c>
      <c r="I14" s="3208">
        <f t="shared" si="1"/>
        <v>1725</v>
      </c>
      <c r="J14" s="3208">
        <f t="shared" si="2"/>
        <v>51.75</v>
      </c>
      <c r="K14" s="3208">
        <f t="shared" si="3"/>
        <v>35.54</v>
      </c>
      <c r="L14" s="3208">
        <f t="shared" si="4"/>
        <v>39</v>
      </c>
      <c r="M14" s="3208">
        <f t="shared" si="5"/>
        <v>271.83999999999997</v>
      </c>
      <c r="N14" s="3208">
        <f t="shared" si="6"/>
        <v>2123.13</v>
      </c>
      <c r="O14" s="3209">
        <v>0.6</v>
      </c>
      <c r="P14" s="3208">
        <f t="shared" si="7"/>
        <v>1273.8800000000001</v>
      </c>
      <c r="Q14" s="3210">
        <f t="shared" si="8"/>
        <v>119.29</v>
      </c>
      <c r="S14" s="3189">
        <f t="shared" si="9"/>
        <v>1812.29</v>
      </c>
    </row>
    <row r="15" spans="1:19" ht="22.5" customHeight="1">
      <c r="A15" s="3212"/>
      <c r="B15" s="3193">
        <f>'数据-基础表'!C25</f>
        <v>6</v>
      </c>
      <c r="C15" s="3193" t="s">
        <v>3064</v>
      </c>
      <c r="D15" s="3228" t="s">
        <v>3087</v>
      </c>
      <c r="E15" s="3232"/>
      <c r="F15" s="3195">
        <f>'数据-基础表'!G25</f>
        <v>2337.85</v>
      </c>
      <c r="G15" s="3200">
        <f>G5</f>
        <v>1350</v>
      </c>
      <c r="H15" s="3202">
        <f t="shared" si="0"/>
        <v>202.5</v>
      </c>
      <c r="I15" s="3202">
        <f t="shared" si="1"/>
        <v>1552.5</v>
      </c>
      <c r="J15" s="3202">
        <f t="shared" si="2"/>
        <v>46.575000000000003</v>
      </c>
      <c r="K15" s="3202">
        <f t="shared" si="3"/>
        <v>31.98</v>
      </c>
      <c r="L15" s="3202">
        <f t="shared" si="4"/>
        <v>35.1</v>
      </c>
      <c r="M15" s="3202">
        <f t="shared" si="5"/>
        <v>244.66</v>
      </c>
      <c r="N15" s="3202">
        <f t="shared" si="6"/>
        <v>1910.8150000000001</v>
      </c>
      <c r="O15" s="3209">
        <v>0.6</v>
      </c>
      <c r="P15" s="3202">
        <f t="shared" si="7"/>
        <v>1146.49</v>
      </c>
      <c r="Q15" s="3204">
        <f t="shared" si="8"/>
        <v>268.02999999999997</v>
      </c>
      <c r="S15" s="3189">
        <f t="shared" si="9"/>
        <v>1631.0550000000001</v>
      </c>
    </row>
    <row r="16" spans="1:19" ht="22.5" customHeight="1">
      <c r="A16" s="3199"/>
      <c r="B16" s="3193">
        <f>'数据-基础表'!C26</f>
        <v>8</v>
      </c>
      <c r="C16" s="3218" t="s">
        <v>3064</v>
      </c>
      <c r="D16" s="3228" t="s">
        <v>3087</v>
      </c>
      <c r="E16" s="3233"/>
      <c r="F16" s="3195">
        <f>'数据-基础表'!G26</f>
        <v>4914.7</v>
      </c>
      <c r="G16" s="3200">
        <f>G5</f>
        <v>1350</v>
      </c>
      <c r="H16" s="3202">
        <f t="shared" si="0"/>
        <v>202.5</v>
      </c>
      <c r="I16" s="3202">
        <f t="shared" si="1"/>
        <v>1552.5</v>
      </c>
      <c r="J16" s="3202">
        <f t="shared" si="2"/>
        <v>46.575000000000003</v>
      </c>
      <c r="K16" s="3202">
        <f t="shared" si="3"/>
        <v>31.98</v>
      </c>
      <c r="L16" s="3202">
        <f t="shared" si="4"/>
        <v>35.1</v>
      </c>
      <c r="M16" s="3202">
        <f t="shared" si="5"/>
        <v>244.66</v>
      </c>
      <c r="N16" s="3202">
        <f t="shared" si="6"/>
        <v>1910.8150000000001</v>
      </c>
      <c r="O16" s="3203">
        <v>0.6</v>
      </c>
      <c r="P16" s="3202">
        <f t="shared" si="7"/>
        <v>1146.49</v>
      </c>
      <c r="Q16" s="3204">
        <f t="shared" si="8"/>
        <v>563.47</v>
      </c>
      <c r="S16" s="3189">
        <f t="shared" si="9"/>
        <v>1631.0550000000001</v>
      </c>
    </row>
    <row r="17" spans="1:19" ht="22.5" customHeight="1">
      <c r="A17" s="3199"/>
      <c r="B17" s="3193">
        <f>'数据-基础表'!C27</f>
        <v>9</v>
      </c>
      <c r="C17" s="3193" t="s">
        <v>3064</v>
      </c>
      <c r="D17" s="3228" t="s">
        <v>3087</v>
      </c>
      <c r="E17" s="3232"/>
      <c r="F17" s="3195">
        <f>'数据-基础表'!G27</f>
        <v>256.02</v>
      </c>
      <c r="G17" s="3200">
        <f>G5</f>
        <v>1350</v>
      </c>
      <c r="H17" s="3202">
        <f t="shared" si="0"/>
        <v>202.5</v>
      </c>
      <c r="I17" s="3202">
        <f t="shared" si="1"/>
        <v>1552.5</v>
      </c>
      <c r="J17" s="3202">
        <f t="shared" si="2"/>
        <v>46.575000000000003</v>
      </c>
      <c r="K17" s="3202">
        <f t="shared" si="3"/>
        <v>31.98</v>
      </c>
      <c r="L17" s="3202">
        <f t="shared" si="4"/>
        <v>35.1</v>
      </c>
      <c r="M17" s="3202">
        <f t="shared" si="5"/>
        <v>244.66</v>
      </c>
      <c r="N17" s="3202">
        <f t="shared" si="6"/>
        <v>1910.8150000000001</v>
      </c>
      <c r="O17" s="3203">
        <v>0.6</v>
      </c>
      <c r="P17" s="3202">
        <f t="shared" si="7"/>
        <v>1146.49</v>
      </c>
      <c r="Q17" s="3204">
        <f t="shared" si="8"/>
        <v>29.35</v>
      </c>
      <c r="S17" s="3189">
        <f t="shared" si="9"/>
        <v>1631.0550000000001</v>
      </c>
    </row>
    <row r="18" spans="1:19" ht="22.5" customHeight="1">
      <c r="A18" s="3205"/>
      <c r="B18" s="3193">
        <f>'数据-基础表'!C28</f>
        <v>10</v>
      </c>
      <c r="C18" s="3200" t="s">
        <v>3064</v>
      </c>
      <c r="D18" s="3227" t="s">
        <v>3087</v>
      </c>
      <c r="E18" s="3233"/>
      <c r="F18" s="3195">
        <f>'数据-基础表'!G28</f>
        <v>1016.6</v>
      </c>
      <c r="G18" s="3206">
        <f>G5</f>
        <v>1350</v>
      </c>
      <c r="H18" s="3208">
        <f t="shared" si="0"/>
        <v>202.5</v>
      </c>
      <c r="I18" s="3208">
        <f t="shared" si="1"/>
        <v>1552.5</v>
      </c>
      <c r="J18" s="3208">
        <f t="shared" si="2"/>
        <v>46.575000000000003</v>
      </c>
      <c r="K18" s="3208">
        <f t="shared" si="3"/>
        <v>31.98</v>
      </c>
      <c r="L18" s="3208">
        <f t="shared" si="4"/>
        <v>35.1</v>
      </c>
      <c r="M18" s="3208">
        <f t="shared" si="5"/>
        <v>244.66</v>
      </c>
      <c r="N18" s="3208">
        <f t="shared" si="6"/>
        <v>1910.8150000000001</v>
      </c>
      <c r="O18" s="3209">
        <v>0.6</v>
      </c>
      <c r="P18" s="3208">
        <f t="shared" si="7"/>
        <v>1146.49</v>
      </c>
      <c r="Q18" s="3210">
        <f t="shared" si="8"/>
        <v>116.55</v>
      </c>
      <c r="S18" s="3189">
        <f t="shared" si="9"/>
        <v>1631.0550000000001</v>
      </c>
    </row>
    <row r="19" spans="1:19" ht="22.5" hidden="1" customHeight="1">
      <c r="A19" s="3212"/>
      <c r="B19" s="3193">
        <f>'数据-基础表'!C29</f>
        <v>0</v>
      </c>
      <c r="C19" s="3193" t="s">
        <v>3064</v>
      </c>
      <c r="D19" s="3228" t="s">
        <v>3087</v>
      </c>
      <c r="E19" s="3232"/>
      <c r="F19" s="3195">
        <f>'数据-基础表'!G29</f>
        <v>0</v>
      </c>
      <c r="G19" s="3200">
        <f>G5</f>
        <v>1350</v>
      </c>
      <c r="H19" s="3202">
        <f t="shared" si="0"/>
        <v>202.5</v>
      </c>
      <c r="I19" s="3202">
        <f t="shared" si="1"/>
        <v>1552.5</v>
      </c>
      <c r="J19" s="3202">
        <f t="shared" si="2"/>
        <v>46.575000000000003</v>
      </c>
      <c r="K19" s="3202">
        <f t="shared" si="3"/>
        <v>31.98</v>
      </c>
      <c r="L19" s="3202">
        <f t="shared" si="4"/>
        <v>35.1</v>
      </c>
      <c r="M19" s="3202">
        <f t="shared" si="5"/>
        <v>244.66</v>
      </c>
      <c r="N19" s="3202">
        <f t="shared" si="6"/>
        <v>1910.8150000000001</v>
      </c>
      <c r="O19" s="3203">
        <v>0.65</v>
      </c>
      <c r="P19" s="3202">
        <f t="shared" si="7"/>
        <v>1242.03</v>
      </c>
      <c r="Q19" s="3204">
        <f t="shared" si="8"/>
        <v>0</v>
      </c>
      <c r="S19" s="3189">
        <f t="shared" si="9"/>
        <v>1631.0550000000001</v>
      </c>
    </row>
    <row r="20" spans="1:19" ht="22.5" hidden="1" customHeight="1">
      <c r="A20" s="3205"/>
      <c r="B20" s="3193">
        <f>'数据-基础表'!C30</f>
        <v>0</v>
      </c>
      <c r="C20" s="3200" t="s">
        <v>3064</v>
      </c>
      <c r="D20" s="3227" t="s">
        <v>3086</v>
      </c>
      <c r="E20" s="3233"/>
      <c r="F20" s="3195">
        <f>'数据-基础表'!G30</f>
        <v>0</v>
      </c>
      <c r="G20" s="3231">
        <f>G4</f>
        <v>1500</v>
      </c>
      <c r="H20" s="3208">
        <f t="shared" si="0"/>
        <v>225</v>
      </c>
      <c r="I20" s="3208">
        <f t="shared" si="1"/>
        <v>1725</v>
      </c>
      <c r="J20" s="3208">
        <f t="shared" si="2"/>
        <v>51.75</v>
      </c>
      <c r="K20" s="3208">
        <f t="shared" si="3"/>
        <v>35.54</v>
      </c>
      <c r="L20" s="3208">
        <f t="shared" si="4"/>
        <v>39</v>
      </c>
      <c r="M20" s="3208">
        <f t="shared" si="5"/>
        <v>271.83999999999997</v>
      </c>
      <c r="N20" s="3208">
        <f t="shared" si="6"/>
        <v>2123.13</v>
      </c>
      <c r="O20" s="3209">
        <v>0.6</v>
      </c>
      <c r="P20" s="3208">
        <f t="shared" si="7"/>
        <v>1273.8800000000001</v>
      </c>
      <c r="Q20" s="3210">
        <f t="shared" si="8"/>
        <v>0</v>
      </c>
      <c r="S20" s="3189">
        <f t="shared" si="9"/>
        <v>1812.29</v>
      </c>
    </row>
    <row r="21" spans="1:19" ht="22.5" customHeight="1">
      <c r="A21" s="3199"/>
      <c r="B21" s="3193">
        <f>'数据-基础表'!C31</f>
        <v>35</v>
      </c>
      <c r="C21" s="3193" t="s">
        <v>3064</v>
      </c>
      <c r="D21" s="3201" t="s">
        <v>3090</v>
      </c>
      <c r="E21" s="3232"/>
      <c r="F21" s="3195">
        <f>'数据-基础表'!G31</f>
        <v>2911</v>
      </c>
      <c r="G21" s="3230">
        <f>G4</f>
        <v>1500</v>
      </c>
      <c r="H21" s="3202">
        <f t="shared" si="0"/>
        <v>225</v>
      </c>
      <c r="I21" s="3202">
        <f t="shared" si="1"/>
        <v>1725</v>
      </c>
      <c r="J21" s="3202">
        <f t="shared" si="2"/>
        <v>51.75</v>
      </c>
      <c r="K21" s="3202">
        <f t="shared" si="3"/>
        <v>35.54</v>
      </c>
      <c r="L21" s="3202">
        <f t="shared" si="4"/>
        <v>39</v>
      </c>
      <c r="M21" s="3202">
        <f t="shared" si="5"/>
        <v>271.83999999999997</v>
      </c>
      <c r="N21" s="3202">
        <f t="shared" si="6"/>
        <v>2123.13</v>
      </c>
      <c r="O21" s="3203">
        <v>0.65</v>
      </c>
      <c r="P21" s="3202">
        <f t="shared" si="7"/>
        <v>1380.03</v>
      </c>
      <c r="Q21" s="3204">
        <f t="shared" si="8"/>
        <v>401.73</v>
      </c>
      <c r="S21" s="3189">
        <f t="shared" si="9"/>
        <v>1812.29</v>
      </c>
    </row>
    <row r="22" spans="1:19" ht="22.5" customHeight="1">
      <c r="A22" s="3205"/>
      <c r="B22" s="3193">
        <f>'数据-基础表'!C32</f>
        <v>36</v>
      </c>
      <c r="C22" s="3200" t="s">
        <v>3064</v>
      </c>
      <c r="D22" s="3227" t="s">
        <v>3091</v>
      </c>
      <c r="E22" s="3233"/>
      <c r="F22" s="3195">
        <f>'数据-基础表'!G32</f>
        <v>8518.06</v>
      </c>
      <c r="G22" s="3231">
        <f>G4</f>
        <v>1500</v>
      </c>
      <c r="H22" s="3208">
        <f t="shared" si="0"/>
        <v>225</v>
      </c>
      <c r="I22" s="3208">
        <f t="shared" si="1"/>
        <v>1725</v>
      </c>
      <c r="J22" s="3208">
        <f t="shared" si="2"/>
        <v>51.75</v>
      </c>
      <c r="K22" s="3208">
        <f t="shared" si="3"/>
        <v>35.54</v>
      </c>
      <c r="L22" s="3208">
        <f t="shared" si="4"/>
        <v>39</v>
      </c>
      <c r="M22" s="3208">
        <f t="shared" si="5"/>
        <v>271.83999999999997</v>
      </c>
      <c r="N22" s="3208">
        <f t="shared" si="6"/>
        <v>2123.13</v>
      </c>
      <c r="O22" s="3209">
        <v>0.65</v>
      </c>
      <c r="P22" s="3208">
        <f t="shared" si="7"/>
        <v>1380.03</v>
      </c>
      <c r="Q22" s="3210">
        <f t="shared" si="8"/>
        <v>1175.52</v>
      </c>
      <c r="S22" s="3189">
        <f t="shared" si="9"/>
        <v>1812.29</v>
      </c>
    </row>
    <row r="23" spans="1:19" ht="22.5" customHeight="1">
      <c r="A23" s="3199"/>
      <c r="B23" s="3193">
        <f>'数据-基础表'!C33</f>
        <v>1</v>
      </c>
      <c r="C23" s="3193" t="s">
        <v>3064</v>
      </c>
      <c r="D23" s="3201" t="s">
        <v>3092</v>
      </c>
      <c r="E23" s="3232"/>
      <c r="F23" s="3195">
        <f>'数据-基础表'!G33</f>
        <v>2478.5</v>
      </c>
      <c r="G23" s="3230">
        <f>G4</f>
        <v>1500</v>
      </c>
      <c r="H23" s="3202">
        <f t="shared" si="0"/>
        <v>225</v>
      </c>
      <c r="I23" s="3202">
        <f t="shared" si="1"/>
        <v>1725</v>
      </c>
      <c r="J23" s="3202">
        <f t="shared" si="2"/>
        <v>51.75</v>
      </c>
      <c r="K23" s="3202">
        <f t="shared" si="3"/>
        <v>35.54</v>
      </c>
      <c r="L23" s="3202">
        <f t="shared" si="4"/>
        <v>39</v>
      </c>
      <c r="M23" s="3202">
        <f t="shared" si="5"/>
        <v>271.83999999999997</v>
      </c>
      <c r="N23" s="3202">
        <f t="shared" si="6"/>
        <v>2123.13</v>
      </c>
      <c r="O23" s="3203">
        <v>0.65</v>
      </c>
      <c r="P23" s="3202">
        <f t="shared" si="7"/>
        <v>1380.03</v>
      </c>
      <c r="Q23" s="3204">
        <f t="shared" si="8"/>
        <v>342.04</v>
      </c>
      <c r="S23" s="3189">
        <f t="shared" si="9"/>
        <v>1812.29</v>
      </c>
    </row>
    <row r="24" spans="1:19" ht="22.5" customHeight="1">
      <c r="A24" s="3205"/>
      <c r="B24" s="3193">
        <f>'数据-基础表'!C34</f>
        <v>2</v>
      </c>
      <c r="C24" s="3200" t="s">
        <v>3064</v>
      </c>
      <c r="D24" s="3207" t="s">
        <v>3087</v>
      </c>
      <c r="E24" s="3233"/>
      <c r="F24" s="3195">
        <f>'数据-基础表'!G34</f>
        <v>686.9</v>
      </c>
      <c r="G24" s="3206">
        <f>G5</f>
        <v>1350</v>
      </c>
      <c r="H24" s="3208">
        <f t="shared" si="0"/>
        <v>202.5</v>
      </c>
      <c r="I24" s="3208">
        <f t="shared" si="1"/>
        <v>1552.5</v>
      </c>
      <c r="J24" s="3208">
        <f t="shared" si="2"/>
        <v>46.575000000000003</v>
      </c>
      <c r="K24" s="3208">
        <f t="shared" si="3"/>
        <v>31.98</v>
      </c>
      <c r="L24" s="3208">
        <f t="shared" si="4"/>
        <v>35.1</v>
      </c>
      <c r="M24" s="3208">
        <f t="shared" si="5"/>
        <v>244.66</v>
      </c>
      <c r="N24" s="3208">
        <f t="shared" si="6"/>
        <v>1910.8150000000001</v>
      </c>
      <c r="O24" s="3209">
        <v>0.65</v>
      </c>
      <c r="P24" s="3208">
        <f t="shared" si="7"/>
        <v>1242.03</v>
      </c>
      <c r="Q24" s="3210">
        <f t="shared" si="8"/>
        <v>85.32</v>
      </c>
      <c r="S24" s="3189">
        <f t="shared" si="9"/>
        <v>1631.0550000000001</v>
      </c>
    </row>
    <row r="25" spans="1:19" ht="22.5" customHeight="1">
      <c r="A25" s="3212"/>
      <c r="B25" s="3193">
        <f>'数据-基础表'!C35</f>
        <v>14</v>
      </c>
      <c r="C25" s="3193" t="s">
        <v>3064</v>
      </c>
      <c r="D25" s="3207" t="s">
        <v>3087</v>
      </c>
      <c r="E25" s="3232"/>
      <c r="F25" s="3195">
        <f>'数据-基础表'!G35</f>
        <v>42.3</v>
      </c>
      <c r="G25" s="3200">
        <f>G5</f>
        <v>1350</v>
      </c>
      <c r="H25" s="3202">
        <f t="shared" si="0"/>
        <v>202.5</v>
      </c>
      <c r="I25" s="3202">
        <f t="shared" si="1"/>
        <v>1552.5</v>
      </c>
      <c r="J25" s="3202">
        <f t="shared" si="2"/>
        <v>46.575000000000003</v>
      </c>
      <c r="K25" s="3202">
        <f t="shared" si="3"/>
        <v>31.98</v>
      </c>
      <c r="L25" s="3202">
        <f t="shared" si="4"/>
        <v>35.1</v>
      </c>
      <c r="M25" s="3202">
        <f t="shared" si="5"/>
        <v>244.66</v>
      </c>
      <c r="N25" s="3202">
        <f t="shared" si="6"/>
        <v>1910.8150000000001</v>
      </c>
      <c r="O25" s="3203">
        <v>0.6</v>
      </c>
      <c r="P25" s="3202">
        <f t="shared" si="7"/>
        <v>1146.49</v>
      </c>
      <c r="Q25" s="3204">
        <f t="shared" si="8"/>
        <v>4.8499999999999996</v>
      </c>
      <c r="S25" s="3189">
        <f t="shared" si="9"/>
        <v>1631.0550000000001</v>
      </c>
    </row>
    <row r="26" spans="1:19" ht="22.5" customHeight="1">
      <c r="A26" s="3205"/>
      <c r="B26" s="3193">
        <f>'数据-基础表'!C36</f>
        <v>16</v>
      </c>
      <c r="C26" s="3200" t="s">
        <v>3064</v>
      </c>
      <c r="D26" s="3207" t="s">
        <v>3190</v>
      </c>
      <c r="E26" s="3233"/>
      <c r="F26" s="3195">
        <f>'数据-基础表'!G36</f>
        <v>870.3</v>
      </c>
      <c r="G26" s="3206">
        <f>G5</f>
        <v>1350</v>
      </c>
      <c r="H26" s="3208">
        <f t="shared" si="0"/>
        <v>202.5</v>
      </c>
      <c r="I26" s="3208">
        <f t="shared" si="1"/>
        <v>1552.5</v>
      </c>
      <c r="J26" s="3208">
        <f t="shared" si="2"/>
        <v>46.575000000000003</v>
      </c>
      <c r="K26" s="3208">
        <f t="shared" si="3"/>
        <v>31.98</v>
      </c>
      <c r="L26" s="3208">
        <f t="shared" si="4"/>
        <v>35.1</v>
      </c>
      <c r="M26" s="3208">
        <f t="shared" si="5"/>
        <v>244.66</v>
      </c>
      <c r="N26" s="3208">
        <f t="shared" si="6"/>
        <v>1910.8150000000001</v>
      </c>
      <c r="O26" s="3209">
        <v>0.6</v>
      </c>
      <c r="P26" s="3208">
        <f t="shared" si="7"/>
        <v>1146.49</v>
      </c>
      <c r="Q26" s="3210">
        <f t="shared" si="8"/>
        <v>99.78</v>
      </c>
      <c r="S26" s="3189">
        <f t="shared" si="9"/>
        <v>1631.0550000000001</v>
      </c>
    </row>
    <row r="27" spans="1:19" ht="22.5" hidden="1" customHeight="1">
      <c r="A27" s="3211"/>
      <c r="B27" s="3193">
        <f>'数据-基础表'!C37</f>
        <v>17</v>
      </c>
      <c r="C27" s="3193" t="s">
        <v>3064</v>
      </c>
      <c r="D27" s="3207" t="s">
        <v>3190</v>
      </c>
      <c r="E27" s="3232"/>
      <c r="F27" s="3195">
        <f>'数据-基础表'!G37</f>
        <v>1116</v>
      </c>
      <c r="G27" s="3206"/>
      <c r="H27" s="3208">
        <f t="shared" si="0"/>
        <v>0</v>
      </c>
      <c r="I27" s="3208">
        <f t="shared" si="1"/>
        <v>0</v>
      </c>
      <c r="J27" s="3208">
        <f t="shared" si="2"/>
        <v>0</v>
      </c>
      <c r="K27" s="3208">
        <f t="shared" si="3"/>
        <v>0</v>
      </c>
      <c r="L27" s="3208">
        <f t="shared" si="4"/>
        <v>0</v>
      </c>
      <c r="M27" s="3208">
        <f t="shared" si="5"/>
        <v>0</v>
      </c>
      <c r="N27" s="3208">
        <f t="shared" si="6"/>
        <v>0</v>
      </c>
      <c r="O27" s="3209">
        <v>24.75</v>
      </c>
      <c r="P27" s="3208">
        <f t="shared" si="7"/>
        <v>0</v>
      </c>
      <c r="Q27" s="3210">
        <f t="shared" si="8"/>
        <v>0</v>
      </c>
      <c r="S27" s="3189">
        <f t="shared" si="9"/>
        <v>0</v>
      </c>
    </row>
    <row r="28" spans="1:19" ht="22.5" hidden="1" customHeight="1">
      <c r="A28" s="3211"/>
      <c r="B28" s="3193">
        <f>'数据-基础表'!C38</f>
        <v>18</v>
      </c>
      <c r="C28" s="3200" t="s">
        <v>3064</v>
      </c>
      <c r="D28" s="3207" t="s">
        <v>3190</v>
      </c>
      <c r="E28" s="3233"/>
      <c r="F28" s="3195">
        <f>'数据-基础表'!G38</f>
        <v>286.39999999999998</v>
      </c>
      <c r="G28" s="3206"/>
      <c r="H28" s="3208">
        <f t="shared" si="0"/>
        <v>0</v>
      </c>
      <c r="I28" s="3208">
        <f t="shared" si="1"/>
        <v>0</v>
      </c>
      <c r="J28" s="3208">
        <f t="shared" si="2"/>
        <v>0</v>
      </c>
      <c r="K28" s="3208">
        <f t="shared" si="3"/>
        <v>0</v>
      </c>
      <c r="L28" s="3208">
        <f t="shared" si="4"/>
        <v>0</v>
      </c>
      <c r="M28" s="3208">
        <f t="shared" si="5"/>
        <v>0</v>
      </c>
      <c r="N28" s="3208">
        <f t="shared" si="6"/>
        <v>0</v>
      </c>
      <c r="O28" s="3209">
        <v>25.75</v>
      </c>
      <c r="P28" s="3208">
        <f t="shared" si="7"/>
        <v>0</v>
      </c>
      <c r="Q28" s="3210">
        <f t="shared" si="8"/>
        <v>0</v>
      </c>
      <c r="S28" s="3189">
        <f t="shared" si="9"/>
        <v>0</v>
      </c>
    </row>
    <row r="29" spans="1:19" ht="22.5" customHeight="1">
      <c r="A29" s="3199"/>
      <c r="B29" s="3193">
        <f>'数据-基础表'!C39</f>
        <v>20</v>
      </c>
      <c r="C29" s="3193" t="s">
        <v>3064</v>
      </c>
      <c r="D29" s="3207" t="s">
        <v>3190</v>
      </c>
      <c r="E29" s="3232"/>
      <c r="F29" s="3195">
        <f>'数据-基础表'!G39</f>
        <v>1420.7</v>
      </c>
      <c r="G29" s="3200">
        <f>G5</f>
        <v>1350</v>
      </c>
      <c r="H29" s="3202">
        <f t="shared" si="0"/>
        <v>202.5</v>
      </c>
      <c r="I29" s="3202">
        <f t="shared" si="1"/>
        <v>1552.5</v>
      </c>
      <c r="J29" s="3202">
        <f t="shared" si="2"/>
        <v>46.575000000000003</v>
      </c>
      <c r="K29" s="3202">
        <f t="shared" si="3"/>
        <v>31.98</v>
      </c>
      <c r="L29" s="3202">
        <f t="shared" si="4"/>
        <v>35.1</v>
      </c>
      <c r="M29" s="3202">
        <f t="shared" si="5"/>
        <v>244.66</v>
      </c>
      <c r="N29" s="3202">
        <f t="shared" si="6"/>
        <v>1910.8150000000001</v>
      </c>
      <c r="O29" s="3203">
        <v>0.6</v>
      </c>
      <c r="P29" s="3202">
        <f t="shared" si="7"/>
        <v>1146.49</v>
      </c>
      <c r="Q29" s="3204">
        <f t="shared" si="8"/>
        <v>162.88</v>
      </c>
      <c r="S29" s="3189">
        <f t="shared" si="9"/>
        <v>1631.0550000000001</v>
      </c>
    </row>
    <row r="30" spans="1:19" ht="22.5" customHeight="1">
      <c r="A30" s="3211"/>
      <c r="B30" s="3193">
        <f>'数据-基础表'!C40</f>
        <v>24</v>
      </c>
      <c r="C30" s="3200" t="s">
        <v>3064</v>
      </c>
      <c r="D30" s="3207" t="s">
        <v>3190</v>
      </c>
      <c r="E30" s="3233"/>
      <c r="F30" s="3195">
        <f>'数据-基础表'!G40</f>
        <v>40.799999999999997</v>
      </c>
      <c r="G30" s="3206">
        <f>G5</f>
        <v>1350</v>
      </c>
      <c r="H30" s="3208">
        <f t="shared" si="0"/>
        <v>202.5</v>
      </c>
      <c r="I30" s="3208">
        <f t="shared" si="1"/>
        <v>1552.5</v>
      </c>
      <c r="J30" s="3208">
        <f t="shared" si="2"/>
        <v>46.575000000000003</v>
      </c>
      <c r="K30" s="3208">
        <f t="shared" si="3"/>
        <v>31.98</v>
      </c>
      <c r="L30" s="3208">
        <f t="shared" si="4"/>
        <v>35.1</v>
      </c>
      <c r="M30" s="3208">
        <f t="shared" si="5"/>
        <v>244.66</v>
      </c>
      <c r="N30" s="3208">
        <f t="shared" si="6"/>
        <v>1910.8150000000001</v>
      </c>
      <c r="O30" s="3209">
        <v>0.65</v>
      </c>
      <c r="P30" s="3208">
        <f t="shared" si="7"/>
        <v>1242.03</v>
      </c>
      <c r="Q30" s="3210">
        <f t="shared" si="8"/>
        <v>5.07</v>
      </c>
      <c r="S30" s="3189">
        <f t="shared" si="9"/>
        <v>1631.0550000000001</v>
      </c>
    </row>
    <row r="31" spans="1:19" ht="22.5" customHeight="1">
      <c r="A31" s="3212"/>
      <c r="B31" s="3193">
        <f>'数据-基础表'!C41</f>
        <v>25</v>
      </c>
      <c r="C31" s="3193" t="s">
        <v>3064</v>
      </c>
      <c r="D31" s="3207" t="s">
        <v>3190</v>
      </c>
      <c r="E31" s="3232"/>
      <c r="F31" s="3195">
        <f>'数据-基础表'!G41</f>
        <v>191.5</v>
      </c>
      <c r="G31" s="3200">
        <f>G5</f>
        <v>1350</v>
      </c>
      <c r="H31" s="3202">
        <f t="shared" si="0"/>
        <v>202.5</v>
      </c>
      <c r="I31" s="3202">
        <f t="shared" si="1"/>
        <v>1552.5</v>
      </c>
      <c r="J31" s="3202">
        <f t="shared" si="2"/>
        <v>46.575000000000003</v>
      </c>
      <c r="K31" s="3202">
        <f t="shared" si="3"/>
        <v>31.98</v>
      </c>
      <c r="L31" s="3202">
        <f t="shared" si="4"/>
        <v>35.1</v>
      </c>
      <c r="M31" s="3202">
        <f t="shared" si="5"/>
        <v>244.66</v>
      </c>
      <c r="N31" s="3202">
        <f t="shared" si="6"/>
        <v>1910.8150000000001</v>
      </c>
      <c r="O31" s="3203">
        <v>0.65</v>
      </c>
      <c r="P31" s="3202">
        <f t="shared" si="7"/>
        <v>1242.03</v>
      </c>
      <c r="Q31" s="3204">
        <f t="shared" si="8"/>
        <v>23.78</v>
      </c>
      <c r="S31" s="3189">
        <f t="shared" si="9"/>
        <v>1631.0550000000001</v>
      </c>
    </row>
    <row r="32" spans="1:19" ht="22.5" customHeight="1">
      <c r="A32" s="3211"/>
      <c r="B32" s="3193">
        <f>'数据-基础表'!C42</f>
        <v>26</v>
      </c>
      <c r="C32" s="3200" t="s">
        <v>3064</v>
      </c>
      <c r="D32" s="3207" t="s">
        <v>3190</v>
      </c>
      <c r="E32" s="3233"/>
      <c r="F32" s="3195">
        <f>'数据-基础表'!G42</f>
        <v>246.9</v>
      </c>
      <c r="G32" s="3206">
        <f>G5</f>
        <v>1350</v>
      </c>
      <c r="H32" s="3208">
        <f t="shared" si="0"/>
        <v>202.5</v>
      </c>
      <c r="I32" s="3208">
        <f t="shared" si="1"/>
        <v>1552.5</v>
      </c>
      <c r="J32" s="3208">
        <f t="shared" si="2"/>
        <v>46.575000000000003</v>
      </c>
      <c r="K32" s="3208">
        <f t="shared" si="3"/>
        <v>31.98</v>
      </c>
      <c r="L32" s="3208">
        <f t="shared" si="4"/>
        <v>35.1</v>
      </c>
      <c r="M32" s="3208">
        <f t="shared" si="5"/>
        <v>244.66</v>
      </c>
      <c r="N32" s="3208">
        <f t="shared" si="6"/>
        <v>1910.8150000000001</v>
      </c>
      <c r="O32" s="3209">
        <v>0.6</v>
      </c>
      <c r="P32" s="3208">
        <f t="shared" si="7"/>
        <v>1146.49</v>
      </c>
      <c r="Q32" s="3210">
        <f t="shared" si="8"/>
        <v>28.31</v>
      </c>
      <c r="S32" s="3189">
        <f t="shared" si="9"/>
        <v>1631.0550000000001</v>
      </c>
    </row>
    <row r="33" spans="1:19" ht="22.5" hidden="1" customHeight="1">
      <c r="A33" s="3212"/>
      <c r="B33" s="3193">
        <f>'数据-基础表'!C43</f>
        <v>0</v>
      </c>
      <c r="C33" s="3193" t="s">
        <v>3064</v>
      </c>
      <c r="D33" s="3229"/>
      <c r="E33" s="3232"/>
      <c r="F33" s="3195">
        <f>'数据-基础表'!G43</f>
        <v>0</v>
      </c>
      <c r="G33" s="3200">
        <f>G5</f>
        <v>1350</v>
      </c>
      <c r="H33" s="3202">
        <f t="shared" si="0"/>
        <v>202.5</v>
      </c>
      <c r="I33" s="3202">
        <f t="shared" si="1"/>
        <v>1552.5</v>
      </c>
      <c r="J33" s="3202">
        <f t="shared" si="2"/>
        <v>46.575000000000003</v>
      </c>
      <c r="K33" s="3202">
        <f t="shared" si="3"/>
        <v>31.98</v>
      </c>
      <c r="L33" s="3202">
        <f t="shared" si="4"/>
        <v>35.1</v>
      </c>
      <c r="M33" s="3202">
        <f t="shared" si="5"/>
        <v>244.66</v>
      </c>
      <c r="N33" s="3202">
        <f t="shared" si="6"/>
        <v>1910.8150000000001</v>
      </c>
      <c r="O33" s="3203">
        <v>0.65</v>
      </c>
      <c r="P33" s="3202">
        <f t="shared" si="7"/>
        <v>1242.03</v>
      </c>
      <c r="Q33" s="3204">
        <f t="shared" si="8"/>
        <v>0</v>
      </c>
      <c r="S33" s="3189">
        <f t="shared" si="9"/>
        <v>1631.0550000000001</v>
      </c>
    </row>
    <row r="34" spans="1:19" ht="22.5" customHeight="1">
      <c r="A34" s="3211"/>
      <c r="B34" s="3193">
        <f>'数据-基础表'!C44</f>
        <v>44</v>
      </c>
      <c r="C34" s="3200" t="s">
        <v>3064</v>
      </c>
      <c r="D34" s="3227" t="s">
        <v>3087</v>
      </c>
      <c r="E34" s="3233"/>
      <c r="F34" s="3195">
        <f>'数据-基础表'!G44</f>
        <v>267.10000000000002</v>
      </c>
      <c r="G34" s="3206">
        <f>G5</f>
        <v>1350</v>
      </c>
      <c r="H34" s="3208">
        <f t="shared" si="0"/>
        <v>202.5</v>
      </c>
      <c r="I34" s="3208">
        <f t="shared" si="1"/>
        <v>1552.5</v>
      </c>
      <c r="J34" s="3208">
        <f t="shared" si="2"/>
        <v>46.575000000000003</v>
      </c>
      <c r="K34" s="3208">
        <f t="shared" si="3"/>
        <v>31.98</v>
      </c>
      <c r="L34" s="3208">
        <f t="shared" si="4"/>
        <v>35.1</v>
      </c>
      <c r="M34" s="3208">
        <f t="shared" si="5"/>
        <v>244.66</v>
      </c>
      <c r="N34" s="3208">
        <f t="shared" si="6"/>
        <v>1910.8150000000001</v>
      </c>
      <c r="O34" s="3209">
        <v>0.65</v>
      </c>
      <c r="P34" s="3208">
        <f t="shared" si="7"/>
        <v>1242.03</v>
      </c>
      <c r="Q34" s="3210">
        <f t="shared" si="8"/>
        <v>33.17</v>
      </c>
      <c r="S34" s="3189">
        <f t="shared" si="9"/>
        <v>1631.0550000000001</v>
      </c>
    </row>
    <row r="35" spans="1:19" ht="22.5" customHeight="1">
      <c r="A35" s="3212"/>
      <c r="B35" s="3193">
        <f>'数据-基础表'!C45</f>
        <v>37</v>
      </c>
      <c r="C35" s="3193" t="s">
        <v>3064</v>
      </c>
      <c r="D35" s="3228" t="s">
        <v>3087</v>
      </c>
      <c r="E35" s="3232"/>
      <c r="F35" s="3195">
        <f>'数据-基础表'!G45</f>
        <v>309.87</v>
      </c>
      <c r="G35" s="3200">
        <f>G5</f>
        <v>1350</v>
      </c>
      <c r="H35" s="3202">
        <f t="shared" si="0"/>
        <v>202.5</v>
      </c>
      <c r="I35" s="3202">
        <f t="shared" si="1"/>
        <v>1552.5</v>
      </c>
      <c r="J35" s="3202">
        <f t="shared" si="2"/>
        <v>46.575000000000003</v>
      </c>
      <c r="K35" s="3202">
        <f t="shared" si="3"/>
        <v>31.98</v>
      </c>
      <c r="L35" s="3202">
        <f t="shared" si="4"/>
        <v>35.1</v>
      </c>
      <c r="M35" s="3202">
        <f t="shared" si="5"/>
        <v>244.66</v>
      </c>
      <c r="N35" s="3202">
        <f t="shared" si="6"/>
        <v>1910.8150000000001</v>
      </c>
      <c r="O35" s="3203">
        <v>0.65</v>
      </c>
      <c r="P35" s="3202">
        <f t="shared" si="7"/>
        <v>1242.03</v>
      </c>
      <c r="Q35" s="3204">
        <f t="shared" si="8"/>
        <v>38.49</v>
      </c>
      <c r="S35" s="3189">
        <f t="shared" si="9"/>
        <v>1631.0550000000001</v>
      </c>
    </row>
    <row r="36" spans="1:19" ht="22.5" customHeight="1">
      <c r="A36" s="3205"/>
      <c r="B36" s="3193">
        <f>'数据-基础表'!C46</f>
        <v>38</v>
      </c>
      <c r="C36" s="3200" t="s">
        <v>3064</v>
      </c>
      <c r="D36" s="3227" t="s">
        <v>3087</v>
      </c>
      <c r="E36" s="3233"/>
      <c r="F36" s="3195">
        <f>'数据-基础表'!G46</f>
        <v>2031.58</v>
      </c>
      <c r="G36" s="3206">
        <f>G5</f>
        <v>1350</v>
      </c>
      <c r="H36" s="3208">
        <f t="shared" si="0"/>
        <v>202.5</v>
      </c>
      <c r="I36" s="3208">
        <f t="shared" si="1"/>
        <v>1552.5</v>
      </c>
      <c r="J36" s="3208">
        <f t="shared" si="2"/>
        <v>46.575000000000003</v>
      </c>
      <c r="K36" s="3208">
        <f t="shared" si="3"/>
        <v>31.98</v>
      </c>
      <c r="L36" s="3208">
        <f t="shared" si="4"/>
        <v>35.1</v>
      </c>
      <c r="M36" s="3208">
        <f t="shared" si="5"/>
        <v>244.66</v>
      </c>
      <c r="N36" s="3208">
        <f t="shared" si="6"/>
        <v>1910.8150000000001</v>
      </c>
      <c r="O36" s="3209">
        <v>0.6</v>
      </c>
      <c r="P36" s="3208">
        <f t="shared" si="7"/>
        <v>1146.49</v>
      </c>
      <c r="Q36" s="3210">
        <f t="shared" si="8"/>
        <v>232.92</v>
      </c>
      <c r="S36" s="3189">
        <f t="shared" si="9"/>
        <v>1631.0550000000001</v>
      </c>
    </row>
    <row r="37" spans="1:19" ht="22.5" customHeight="1">
      <c r="A37" s="3199"/>
      <c r="B37" s="3193">
        <f>'数据-基础表'!C47</f>
        <v>46</v>
      </c>
      <c r="C37" s="3193" t="s">
        <v>3064</v>
      </c>
      <c r="D37" s="3228" t="s">
        <v>3087</v>
      </c>
      <c r="E37" s="3232"/>
      <c r="F37" s="3195">
        <f>'数据-基础表'!G47</f>
        <v>999.96</v>
      </c>
      <c r="G37" s="3200">
        <f>G5</f>
        <v>1350</v>
      </c>
      <c r="H37" s="3202">
        <f t="shared" si="0"/>
        <v>202.5</v>
      </c>
      <c r="I37" s="3202">
        <f t="shared" si="1"/>
        <v>1552.5</v>
      </c>
      <c r="J37" s="3202">
        <f t="shared" si="2"/>
        <v>46.575000000000003</v>
      </c>
      <c r="K37" s="3202">
        <f t="shared" si="3"/>
        <v>31.98</v>
      </c>
      <c r="L37" s="3202">
        <f t="shared" si="4"/>
        <v>35.1</v>
      </c>
      <c r="M37" s="3202">
        <f t="shared" si="5"/>
        <v>244.66</v>
      </c>
      <c r="N37" s="3202">
        <f t="shared" si="6"/>
        <v>1910.8150000000001</v>
      </c>
      <c r="O37" s="3203">
        <v>0.6</v>
      </c>
      <c r="P37" s="3202">
        <f t="shared" si="7"/>
        <v>1146.49</v>
      </c>
      <c r="Q37" s="3204">
        <f t="shared" si="8"/>
        <v>114.64</v>
      </c>
      <c r="S37" s="3189">
        <f t="shared" si="9"/>
        <v>1631.0550000000001</v>
      </c>
    </row>
    <row r="38" spans="1:19" ht="22.5" customHeight="1" thickBot="1">
      <c r="A38" s="3211"/>
      <c r="B38" s="3193">
        <f>'数据-基础表'!C48</f>
        <v>47</v>
      </c>
      <c r="C38" s="3200" t="s">
        <v>3064</v>
      </c>
      <c r="D38" s="3207" t="s">
        <v>3087</v>
      </c>
      <c r="E38" s="3233"/>
      <c r="F38" s="3195">
        <f>'数据-基础表'!G48</f>
        <v>997.71</v>
      </c>
      <c r="G38" s="3206">
        <f>G5</f>
        <v>1350</v>
      </c>
      <c r="H38" s="3208">
        <f t="shared" si="0"/>
        <v>202.5</v>
      </c>
      <c r="I38" s="3208">
        <f t="shared" si="1"/>
        <v>1552.5</v>
      </c>
      <c r="J38" s="3208">
        <f t="shared" si="2"/>
        <v>46.575000000000003</v>
      </c>
      <c r="K38" s="3208">
        <f t="shared" si="3"/>
        <v>31.98</v>
      </c>
      <c r="L38" s="3208">
        <f t="shared" si="4"/>
        <v>35.1</v>
      </c>
      <c r="M38" s="3208">
        <f t="shared" si="5"/>
        <v>244.66</v>
      </c>
      <c r="N38" s="3208">
        <f t="shared" si="6"/>
        <v>1910.8150000000001</v>
      </c>
      <c r="O38" s="3209">
        <v>0.65</v>
      </c>
      <c r="P38" s="3208">
        <f t="shared" si="7"/>
        <v>1242.03</v>
      </c>
      <c r="Q38" s="3210">
        <f t="shared" si="8"/>
        <v>123.92</v>
      </c>
      <c r="S38" s="3190">
        <f t="shared" si="9"/>
        <v>1631.0550000000001</v>
      </c>
    </row>
    <row r="39" spans="1:19" ht="22.5" customHeight="1" thickTop="1" thickBot="1">
      <c r="A39" s="3213" t="s">
        <v>3065</v>
      </c>
      <c r="B39" s="3214"/>
      <c r="C39" s="3214"/>
      <c r="D39" s="3215"/>
      <c r="E39" s="3214"/>
      <c r="F39" s="3216">
        <f>SUM(F3:F38)</f>
        <v>57196.500000000007</v>
      </c>
      <c r="G39" s="3214"/>
      <c r="H39" s="3214"/>
      <c r="I39" s="3214"/>
      <c r="J39" s="3214"/>
      <c r="K39" s="3214"/>
      <c r="L39" s="3214"/>
      <c r="M39" s="3214"/>
      <c r="N39" s="3214"/>
      <c r="O39" s="3214"/>
      <c r="P39" s="3214"/>
      <c r="Q39" s="3217">
        <f>SUM(Q3:Q38)</f>
        <v>9383.4500000000007</v>
      </c>
    </row>
  </sheetData>
  <mergeCells count="17">
    <mergeCell ref="M1:M2"/>
    <mergeCell ref="N1:N2"/>
    <mergeCell ref="O1:O2"/>
    <mergeCell ref="P1:P2"/>
    <mergeCell ref="Q1:Q2"/>
    <mergeCell ref="L1:L2"/>
    <mergeCell ref="A1:A2"/>
    <mergeCell ref="B1:B2"/>
    <mergeCell ref="C1:C2"/>
    <mergeCell ref="D1:D2"/>
    <mergeCell ref="E1:E2"/>
    <mergeCell ref="F1:F2"/>
    <mergeCell ref="G1:G2"/>
    <mergeCell ref="H1:H2"/>
    <mergeCell ref="I1:I2"/>
    <mergeCell ref="J1:J2"/>
    <mergeCell ref="K1:K2"/>
  </mergeCells>
  <phoneticPr fontId="2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G24"/>
  <sheetViews>
    <sheetView workbookViewId="0">
      <selection activeCell="F24" sqref="F24"/>
    </sheetView>
  </sheetViews>
  <sheetFormatPr defaultColWidth="9" defaultRowHeight="13.5"/>
  <cols>
    <col min="1" max="1" width="9" style="3189"/>
    <col min="2" max="2" width="18.875" style="3189" customWidth="1"/>
    <col min="3" max="3" width="13.125" style="3189" customWidth="1"/>
    <col min="4" max="4" width="12.75" style="3189" bestFit="1" customWidth="1"/>
    <col min="5" max="5" width="11.25" style="3189" customWidth="1"/>
    <col min="6" max="6" width="11.75" style="3189" customWidth="1"/>
    <col min="7" max="7" width="9" style="3189"/>
    <col min="8" max="8" width="9.5" style="3189" bestFit="1" customWidth="1"/>
    <col min="9" max="16384" width="9" style="3189"/>
  </cols>
  <sheetData>
    <row r="2" spans="2:7" ht="27" customHeight="1">
      <c r="B2" s="3570" t="s">
        <v>3066</v>
      </c>
      <c r="C2" s="3570"/>
      <c r="D2" s="3570"/>
      <c r="E2" s="3570"/>
    </row>
    <row r="3" spans="2:7">
      <c r="B3" s="3571" t="s">
        <v>3067</v>
      </c>
      <c r="C3" s="3571"/>
      <c r="D3" s="3572">
        <f>租金!C46</f>
        <v>0.9</v>
      </c>
      <c r="E3" s="3572"/>
    </row>
    <row r="4" spans="2:7">
      <c r="B4" s="3571" t="s">
        <v>3068</v>
      </c>
      <c r="C4" s="3571"/>
      <c r="D4" s="3572">
        <v>30</v>
      </c>
      <c r="E4" s="3572"/>
    </row>
    <row r="5" spans="2:7">
      <c r="B5" s="3571" t="s">
        <v>3069</v>
      </c>
      <c r="C5" s="3571"/>
      <c r="D5" s="3572">
        <f>项目基本情况!C21</f>
        <v>57196.500000000007</v>
      </c>
      <c r="E5" s="3572"/>
    </row>
    <row r="6" spans="2:7">
      <c r="B6" s="3571" t="s">
        <v>3046</v>
      </c>
      <c r="C6" s="3571"/>
      <c r="D6" s="3572">
        <f>ROUND(D3*D4*D5/10000,2)</f>
        <v>154.43</v>
      </c>
      <c r="E6" s="3572"/>
    </row>
    <row r="8" spans="2:7" ht="27" customHeight="1">
      <c r="B8" s="3570" t="s">
        <v>3070</v>
      </c>
      <c r="C8" s="3570"/>
      <c r="D8" s="3570"/>
      <c r="E8" s="3570"/>
      <c r="G8" s="3191" t="s">
        <v>3071</v>
      </c>
    </row>
    <row r="9" spans="2:7">
      <c r="B9" s="3220"/>
      <c r="C9" s="3221" t="s">
        <v>3072</v>
      </c>
      <c r="D9" s="3222" t="s">
        <v>3073</v>
      </c>
      <c r="E9" s="3222" t="s">
        <v>3074</v>
      </c>
      <c r="G9" s="3223">
        <f>ROUND((D6+C14+D19)*D24,2)</f>
        <v>1297.21</v>
      </c>
    </row>
    <row r="10" spans="2:7">
      <c r="B10" s="3220" t="s">
        <v>3075</v>
      </c>
      <c r="C10" s="3224"/>
      <c r="D10" s="3222" t="s">
        <v>3076</v>
      </c>
      <c r="E10" s="3225">
        <f>ROUND(C10/12,2)</f>
        <v>0</v>
      </c>
    </row>
    <row r="11" spans="2:7">
      <c r="B11" s="3220" t="s">
        <v>3077</v>
      </c>
      <c r="C11" s="3221" t="s">
        <v>3076</v>
      </c>
      <c r="D11" s="3224"/>
      <c r="E11" s="3225">
        <f>ROUND(D11/5,2)</f>
        <v>0</v>
      </c>
    </row>
    <row r="12" spans="2:7">
      <c r="B12" s="3220" t="s">
        <v>3078</v>
      </c>
      <c r="C12" s="3569">
        <f>ROUND((E10*7+E11*5)/12,2)</f>
        <v>0</v>
      </c>
      <c r="D12" s="3569"/>
      <c r="E12" s="3569"/>
      <c r="G12" s="3191"/>
    </row>
    <row r="13" spans="2:7">
      <c r="B13" s="3220" t="s">
        <v>3079</v>
      </c>
      <c r="C13" s="3572">
        <v>1.2</v>
      </c>
      <c r="D13" s="3572"/>
      <c r="E13" s="3572"/>
    </row>
    <row r="14" spans="2:7">
      <c r="B14" s="3220" t="s">
        <v>3046</v>
      </c>
      <c r="C14" s="3572">
        <f>ROUND(C12*C13/10000,2)</f>
        <v>0</v>
      </c>
      <c r="D14" s="3572"/>
      <c r="E14" s="3572"/>
    </row>
    <row r="16" spans="2:7" ht="27" customHeight="1">
      <c r="B16" s="3570" t="s">
        <v>3080</v>
      </c>
      <c r="C16" s="3570"/>
      <c r="D16" s="3570"/>
      <c r="E16" s="3570"/>
    </row>
    <row r="17" spans="2:5">
      <c r="B17" s="3571" t="s">
        <v>3081</v>
      </c>
      <c r="C17" s="3571"/>
      <c r="D17" s="3572"/>
      <c r="E17" s="3572"/>
    </row>
    <row r="18" spans="2:5">
      <c r="B18" s="3578" t="s">
        <v>3082</v>
      </c>
      <c r="C18" s="3578"/>
      <c r="D18" s="3572">
        <v>2000</v>
      </c>
      <c r="E18" s="3572"/>
    </row>
    <row r="19" spans="2:5">
      <c r="B19" s="3578" t="s">
        <v>3046</v>
      </c>
      <c r="C19" s="3578"/>
      <c r="D19" s="3579">
        <f>ROUND(D17*D18/10000,2)</f>
        <v>0</v>
      </c>
      <c r="E19" s="3579"/>
    </row>
    <row r="21" spans="2:5" ht="27" customHeight="1">
      <c r="B21" s="3570" t="s">
        <v>3083</v>
      </c>
      <c r="C21" s="3570"/>
      <c r="D21" s="3570"/>
      <c r="E21" s="3570"/>
    </row>
    <row r="22" spans="2:5">
      <c r="B22" s="3571" t="s">
        <v>3084</v>
      </c>
      <c r="C22" s="3571"/>
      <c r="D22" s="3572">
        <v>7</v>
      </c>
      <c r="E22" s="3572"/>
    </row>
    <row r="23" spans="2:5">
      <c r="B23" s="3571" t="s">
        <v>3085</v>
      </c>
      <c r="C23" s="3571"/>
      <c r="D23" s="3572">
        <v>1.2</v>
      </c>
      <c r="E23" s="3572"/>
    </row>
    <row r="24" spans="2:5">
      <c r="B24" s="3571" t="s">
        <v>3065</v>
      </c>
      <c r="C24" s="3571"/>
      <c r="D24" s="3572">
        <f>D22*D23</f>
        <v>8.4</v>
      </c>
      <c r="E24" s="3572"/>
    </row>
  </sheetData>
  <mergeCells count="27">
    <mergeCell ref="B24:C24"/>
    <mergeCell ref="D24:E24"/>
    <mergeCell ref="B16:E16"/>
    <mergeCell ref="B17:C17"/>
    <mergeCell ref="D17:E17"/>
    <mergeCell ref="B18:C18"/>
    <mergeCell ref="D18:E18"/>
    <mergeCell ref="B19:C19"/>
    <mergeCell ref="D19:E19"/>
    <mergeCell ref="B21:E21"/>
    <mergeCell ref="B22:C22"/>
    <mergeCell ref="D22:E22"/>
    <mergeCell ref="B23:C23"/>
    <mergeCell ref="D23:E23"/>
    <mergeCell ref="C14:E14"/>
    <mergeCell ref="B2:E2"/>
    <mergeCell ref="B3:C3"/>
    <mergeCell ref="D3:E3"/>
    <mergeCell ref="B4:C4"/>
    <mergeCell ref="D4:E4"/>
    <mergeCell ref="B5:C5"/>
    <mergeCell ref="D5:E5"/>
    <mergeCell ref="B6:C6"/>
    <mergeCell ref="D6:E6"/>
    <mergeCell ref="B8:E8"/>
    <mergeCell ref="C12:E12"/>
    <mergeCell ref="C13:E13"/>
  </mergeCells>
  <phoneticPr fontId="2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c r="E1" s="2628"/>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74" t="s">
        <v>522</v>
      </c>
      <c r="D4" s="3475"/>
      <c r="E4" s="3498" t="s">
        <v>523</v>
      </c>
      <c r="F4" s="3499"/>
      <c r="G4" s="3474" t="s">
        <v>524</v>
      </c>
      <c r="H4" s="3475"/>
      <c r="I4" s="3474" t="s">
        <v>525</v>
      </c>
      <c r="J4" s="3475"/>
      <c r="K4" s="853" t="s">
        <v>526</v>
      </c>
      <c r="L4" s="2135"/>
      <c r="M4" s="2136"/>
      <c r="N4" s="2136"/>
      <c r="O4" s="2136"/>
      <c r="P4" s="3476" t="s">
        <v>527</v>
      </c>
      <c r="Q4" s="3477"/>
      <c r="R4" s="3462" t="s">
        <v>523</v>
      </c>
      <c r="S4" s="3463"/>
      <c r="T4" s="3462" t="s">
        <v>524</v>
      </c>
      <c r="U4" s="3463"/>
      <c r="V4" s="3482" t="s">
        <v>525</v>
      </c>
      <c r="W4" s="3482"/>
      <c r="X4" s="1568"/>
      <c r="Y4" s="3462" t="s">
        <v>527</v>
      </c>
      <c r="Z4" s="3463"/>
      <c r="AA4" s="3457" t="s">
        <v>523</v>
      </c>
      <c r="AB4" s="3457" t="s">
        <v>524</v>
      </c>
      <c r="AC4" s="3457" t="s">
        <v>525</v>
      </c>
    </row>
    <row r="5" spans="1:29" ht="15">
      <c r="A5" s="515"/>
      <c r="B5" s="516"/>
      <c r="C5" s="3485" t="s">
        <v>2933</v>
      </c>
      <c r="D5" s="3486"/>
      <c r="E5" s="3500" t="s">
        <v>2934</v>
      </c>
      <c r="F5" s="3501"/>
      <c r="G5" s="3485" t="s">
        <v>2935</v>
      </c>
      <c r="H5" s="3486"/>
      <c r="I5" s="3485" t="s">
        <v>2936</v>
      </c>
      <c r="J5" s="3486"/>
      <c r="K5" s="854"/>
      <c r="L5" s="2135"/>
      <c r="M5" s="2136"/>
      <c r="N5" s="2136"/>
      <c r="O5" s="2136"/>
      <c r="P5" s="3478"/>
      <c r="Q5" s="3479"/>
      <c r="R5" s="3464"/>
      <c r="S5" s="3465"/>
      <c r="T5" s="3464"/>
      <c r="U5" s="3465"/>
      <c r="V5" s="3482"/>
      <c r="W5" s="3482"/>
      <c r="X5" s="1568"/>
      <c r="Y5" s="3464"/>
      <c r="Z5" s="3465"/>
      <c r="AA5" s="3458"/>
      <c r="AB5" s="3458"/>
      <c r="AC5" s="3458"/>
    </row>
    <row r="6" spans="1:29" ht="15.75" thickBot="1">
      <c r="A6" s="517"/>
      <c r="B6" s="518"/>
      <c r="C6" s="3483" t="s">
        <v>2937</v>
      </c>
      <c r="D6" s="3484"/>
      <c r="E6" s="3502" t="s">
        <v>2937</v>
      </c>
      <c r="F6" s="3503"/>
      <c r="G6" s="3483" t="s">
        <v>2937</v>
      </c>
      <c r="H6" s="3484"/>
      <c r="I6" s="3483" t="s">
        <v>2937</v>
      </c>
      <c r="J6" s="3484"/>
      <c r="K6" s="854" t="s">
        <v>528</v>
      </c>
      <c r="L6" s="2135"/>
      <c r="M6" s="2136"/>
      <c r="N6" s="2136"/>
      <c r="O6" s="2136"/>
      <c r="P6" s="3480"/>
      <c r="Q6" s="3481"/>
      <c r="R6" s="3464"/>
      <c r="S6" s="3465"/>
      <c r="T6" s="3466"/>
      <c r="U6" s="3467"/>
      <c r="V6" s="3482"/>
      <c r="W6" s="3482"/>
      <c r="X6" s="1568"/>
      <c r="Y6" s="3466"/>
      <c r="Z6" s="3467"/>
      <c r="AA6" s="3459"/>
      <c r="AB6" s="3459"/>
      <c r="AC6" s="3459"/>
    </row>
    <row r="7" spans="1:29" s="1220" customFormat="1" ht="15.75" thickBot="1">
      <c r="A7" s="2914"/>
      <c r="B7" s="2921" t="s">
        <v>529</v>
      </c>
      <c r="C7" s="519">
        <f>'数据-取费表'!B2</f>
        <v>43410</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60" t="s">
        <v>530</v>
      </c>
      <c r="Q7" s="3469"/>
      <c r="R7" s="1569" t="s">
        <v>13</v>
      </c>
      <c r="S7" s="1570">
        <f t="shared" ref="S7:S15" si="0">F7</f>
        <v>0</v>
      </c>
      <c r="T7" s="1569" t="s">
        <v>13</v>
      </c>
      <c r="U7" s="1570">
        <f t="shared" ref="U7:U15" si="1">H7</f>
        <v>0</v>
      </c>
      <c r="V7" s="1569" t="s">
        <v>13</v>
      </c>
      <c r="W7" s="1570">
        <f t="shared" ref="W7:W15" si="2">J7</f>
        <v>0</v>
      </c>
      <c r="X7" s="1571"/>
      <c r="Y7" s="3460" t="s">
        <v>530</v>
      </c>
      <c r="Z7" s="3461"/>
      <c r="AA7" s="1572" t="e">
        <f>D7/F7</f>
        <v>#DIV/0!</v>
      </c>
      <c r="AB7" s="1572" t="e">
        <f>D7/H7</f>
        <v>#DIV/0!</v>
      </c>
      <c r="AC7" s="1572" t="e">
        <f>D7/J7</f>
        <v>#DIV/0!</v>
      </c>
    </row>
    <row r="8" spans="1:29" s="1220" customFormat="1" ht="15.75" thickBot="1">
      <c r="A8" s="2915"/>
      <c r="B8" s="2922"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60" t="s">
        <v>533</v>
      </c>
      <c r="Q8" s="3461"/>
      <c r="R8" s="1569" t="s">
        <v>13</v>
      </c>
      <c r="S8" s="1570">
        <f t="shared" si="0"/>
        <v>0</v>
      </c>
      <c r="T8" s="1569" t="s">
        <v>13</v>
      </c>
      <c r="U8" s="1570">
        <f t="shared" si="1"/>
        <v>0</v>
      </c>
      <c r="V8" s="1569" t="s">
        <v>13</v>
      </c>
      <c r="W8" s="1570">
        <f t="shared" si="2"/>
        <v>0</v>
      </c>
      <c r="X8" s="1571"/>
      <c r="Y8" s="3460" t="s">
        <v>533</v>
      </c>
      <c r="Z8" s="3461"/>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468" t="s">
        <v>535</v>
      </c>
      <c r="Q9" s="1151" t="str">
        <f t="shared" ref="Q9:Q15" si="6">B9</f>
        <v>用途</v>
      </c>
      <c r="R9" s="1569" t="s">
        <v>8</v>
      </c>
      <c r="S9" s="1570">
        <f t="shared" si="0"/>
        <v>100</v>
      </c>
      <c r="T9" s="1569" t="s">
        <v>8</v>
      </c>
      <c r="U9" s="1570">
        <f t="shared" si="1"/>
        <v>100</v>
      </c>
      <c r="V9" s="1569" t="s">
        <v>8</v>
      </c>
      <c r="W9" s="1570">
        <f t="shared" si="2"/>
        <v>100</v>
      </c>
      <c r="X9" s="1571"/>
      <c r="Y9" s="3425"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468"/>
      <c r="Q10" s="1151" t="str">
        <f t="shared" si="6"/>
        <v>土地使用年限（年）</v>
      </c>
      <c r="R10" s="1569" t="s">
        <v>8</v>
      </c>
      <c r="S10" s="1570">
        <f t="shared" si="0"/>
        <v>100</v>
      </c>
      <c r="T10" s="1569" t="s">
        <v>8</v>
      </c>
      <c r="U10" s="1570">
        <f t="shared" si="1"/>
        <v>100</v>
      </c>
      <c r="V10" s="1569" t="s">
        <v>8</v>
      </c>
      <c r="W10" s="1570">
        <f t="shared" si="2"/>
        <v>100</v>
      </c>
      <c r="X10" s="1571"/>
      <c r="Y10" s="3425"/>
      <c r="Z10" s="1150" t="str">
        <f t="shared" si="7"/>
        <v>土地使用年限（年）</v>
      </c>
      <c r="AA10" s="1572">
        <f t="shared" si="3"/>
        <v>1</v>
      </c>
      <c r="AB10" s="1572">
        <f t="shared" si="4"/>
        <v>1</v>
      </c>
      <c r="AC10" s="1572">
        <f t="shared" si="5"/>
        <v>1</v>
      </c>
    </row>
    <row r="11" spans="1:29" ht="15">
      <c r="A11" s="2918"/>
      <c r="B11" s="2922"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468"/>
      <c r="Q11" s="1151" t="str">
        <f t="shared" si="6"/>
        <v>容积率</v>
      </c>
      <c r="R11" s="1569" t="s">
        <v>11</v>
      </c>
      <c r="S11" s="1570" t="e">
        <f t="shared" si="0"/>
        <v>#N/A</v>
      </c>
      <c r="T11" s="1569" t="s">
        <v>11</v>
      </c>
      <c r="U11" s="1570" t="e">
        <f t="shared" si="1"/>
        <v>#N/A</v>
      </c>
      <c r="V11" s="1569" t="s">
        <v>11</v>
      </c>
      <c r="W11" s="1570" t="e">
        <f t="shared" si="2"/>
        <v>#N/A</v>
      </c>
      <c r="X11" s="1571"/>
      <c r="Y11" s="3425"/>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68"/>
      <c r="Q12" s="1151">
        <f t="shared" si="6"/>
        <v>111</v>
      </c>
      <c r="R12" s="1569" t="s">
        <v>11</v>
      </c>
      <c r="S12" s="1570">
        <f t="shared" si="0"/>
        <v>100</v>
      </c>
      <c r="T12" s="1569" t="s">
        <v>11</v>
      </c>
      <c r="U12" s="1570">
        <f t="shared" si="1"/>
        <v>100</v>
      </c>
      <c r="V12" s="1569" t="s">
        <v>11</v>
      </c>
      <c r="W12" s="1570">
        <f t="shared" si="2"/>
        <v>100</v>
      </c>
      <c r="X12" s="1571"/>
      <c r="Y12" s="3425"/>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68"/>
      <c r="Q13" s="1151">
        <f t="shared" si="6"/>
        <v>111</v>
      </c>
      <c r="R13" s="1569" t="s">
        <v>11</v>
      </c>
      <c r="S13" s="1570">
        <f t="shared" si="0"/>
        <v>100</v>
      </c>
      <c r="T13" s="1569" t="s">
        <v>11</v>
      </c>
      <c r="U13" s="1570">
        <f t="shared" si="1"/>
        <v>100</v>
      </c>
      <c r="V13" s="1569" t="s">
        <v>11</v>
      </c>
      <c r="W13" s="1570">
        <f t="shared" si="2"/>
        <v>100</v>
      </c>
      <c r="X13" s="1571"/>
      <c r="Y13" s="3425"/>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68"/>
      <c r="Q14" s="1151">
        <f t="shared" si="6"/>
        <v>111</v>
      </c>
      <c r="R14" s="1569" t="s">
        <v>11</v>
      </c>
      <c r="S14" s="1570">
        <f t="shared" si="0"/>
        <v>100</v>
      </c>
      <c r="T14" s="1569" t="s">
        <v>11</v>
      </c>
      <c r="U14" s="1570">
        <f t="shared" si="1"/>
        <v>100</v>
      </c>
      <c r="V14" s="1569" t="s">
        <v>11</v>
      </c>
      <c r="W14" s="1570">
        <f t="shared" si="2"/>
        <v>100</v>
      </c>
      <c r="X14" s="1571"/>
      <c r="Y14" s="3425"/>
      <c r="Z14" s="1150">
        <f t="shared" si="7"/>
        <v>111</v>
      </c>
      <c r="AA14" s="1572">
        <f t="shared" si="3"/>
        <v>1</v>
      </c>
      <c r="AB14" s="1572">
        <f t="shared" si="4"/>
        <v>1</v>
      </c>
      <c r="AC14" s="1572">
        <f t="shared" si="5"/>
        <v>1</v>
      </c>
    </row>
    <row r="15" spans="1:29" ht="99.75">
      <c r="A15" s="2912"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70" t="s">
        <v>540</v>
      </c>
      <c r="Q15" s="1573" t="str">
        <f t="shared" si="6"/>
        <v>居住社区成熟度</v>
      </c>
      <c r="R15" s="1574" t="s">
        <v>11</v>
      </c>
      <c r="S15" s="1575">
        <f t="shared" si="0"/>
        <v>100</v>
      </c>
      <c r="T15" s="1574" t="s">
        <v>11</v>
      </c>
      <c r="U15" s="1575">
        <f t="shared" si="1"/>
        <v>100</v>
      </c>
      <c r="V15" s="1574" t="s">
        <v>11</v>
      </c>
      <c r="W15" s="1575">
        <f t="shared" si="2"/>
        <v>100</v>
      </c>
      <c r="X15" s="1568"/>
      <c r="Y15" s="3470"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71"/>
      <c r="Q16" s="1573"/>
      <c r="R16" s="1574"/>
      <c r="S16" s="1575"/>
      <c r="T16" s="1574"/>
      <c r="U16" s="1575"/>
      <c r="V16" s="1574"/>
      <c r="W16" s="1575"/>
      <c r="X16" s="1568"/>
      <c r="Y16" s="347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71"/>
      <c r="Q17" s="1573" t="str">
        <f>B17</f>
        <v>交通便捷度</v>
      </c>
      <c r="R17" s="1574" t="s">
        <v>11</v>
      </c>
      <c r="S17" s="1575">
        <f>F17</f>
        <v>100</v>
      </c>
      <c r="T17" s="1574" t="s">
        <v>11</v>
      </c>
      <c r="U17" s="1575">
        <f>H17</f>
        <v>100</v>
      </c>
      <c r="V17" s="1574" t="s">
        <v>11</v>
      </c>
      <c r="W17" s="1575">
        <f>J17</f>
        <v>100</v>
      </c>
      <c r="X17" s="1568"/>
      <c r="Y17" s="347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71"/>
      <c r="Q18" s="1573"/>
      <c r="R18" s="1574"/>
      <c r="S18" s="1575"/>
      <c r="T18" s="1574"/>
      <c r="U18" s="1575"/>
      <c r="V18" s="1574"/>
      <c r="W18" s="1575"/>
      <c r="X18" s="1568"/>
      <c r="Y18" s="3471"/>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71"/>
      <c r="Q19" s="1573" t="str">
        <f>B19</f>
        <v>公共配套设施</v>
      </c>
      <c r="R19" s="1574" t="s">
        <v>11</v>
      </c>
      <c r="S19" s="1575">
        <f>F19</f>
        <v>100</v>
      </c>
      <c r="T19" s="1574" t="s">
        <v>11</v>
      </c>
      <c r="U19" s="1575">
        <f>H19</f>
        <v>100</v>
      </c>
      <c r="V19" s="1574" t="s">
        <v>11</v>
      </c>
      <c r="W19" s="1575">
        <f>J19</f>
        <v>100</v>
      </c>
      <c r="X19" s="1568"/>
      <c r="Y19" s="347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71"/>
      <c r="Q20" s="1573"/>
      <c r="R20" s="1574"/>
      <c r="S20" s="1575"/>
      <c r="T20" s="1574"/>
      <c r="U20" s="1575"/>
      <c r="V20" s="1574"/>
      <c r="W20" s="1575"/>
      <c r="X20" s="1568"/>
      <c r="Y20" s="3471"/>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71"/>
      <c r="Q21" s="2581" t="str">
        <f>B21</f>
        <v>基础设施水平</v>
      </c>
      <c r="R21" s="1574" t="s">
        <v>11</v>
      </c>
      <c r="S21" s="1575">
        <f>F21</f>
        <v>100</v>
      </c>
      <c r="T21" s="1574" t="s">
        <v>11</v>
      </c>
      <c r="U21" s="1575">
        <f>H21</f>
        <v>100</v>
      </c>
      <c r="V21" s="1574" t="s">
        <v>11</v>
      </c>
      <c r="W21" s="1575">
        <f>J21</f>
        <v>100</v>
      </c>
      <c r="X21" s="2583"/>
      <c r="Y21" s="3471"/>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471"/>
      <c r="Q22" s="2581"/>
      <c r="R22" s="1574"/>
      <c r="S22" s="1575"/>
      <c r="T22" s="1574"/>
      <c r="U22" s="1575"/>
      <c r="V22" s="1574"/>
      <c r="W22" s="1575"/>
      <c r="X22" s="2583"/>
      <c r="Y22" s="3471"/>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71"/>
      <c r="Q23" s="1573" t="str">
        <f>B23</f>
        <v>自然及人文环境</v>
      </c>
      <c r="R23" s="1574" t="s">
        <v>11</v>
      </c>
      <c r="S23" s="1575">
        <f>F23</f>
        <v>100</v>
      </c>
      <c r="T23" s="1574" t="s">
        <v>11</v>
      </c>
      <c r="U23" s="1575">
        <f>H23</f>
        <v>100</v>
      </c>
      <c r="V23" s="1574" t="s">
        <v>11</v>
      </c>
      <c r="W23" s="1575">
        <f>J23</f>
        <v>100</v>
      </c>
      <c r="X23" s="1568"/>
      <c r="Y23" s="347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71"/>
      <c r="Q24" s="1573"/>
      <c r="R24" s="1574"/>
      <c r="S24" s="1575"/>
      <c r="T24" s="1574"/>
      <c r="U24" s="1575"/>
      <c r="V24" s="1574"/>
      <c r="W24" s="1575"/>
      <c r="X24" s="1568"/>
      <c r="Y24" s="3471"/>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71"/>
      <c r="Q25" s="1573" t="str">
        <f t="shared" ref="Q25:Q46" si="11">B25</f>
        <v>楼层-1</v>
      </c>
      <c r="R25" s="1574" t="s">
        <v>11</v>
      </c>
      <c r="S25" s="1575">
        <f>F25</f>
        <v>100</v>
      </c>
      <c r="T25" s="1574" t="s">
        <v>11</v>
      </c>
      <c r="U25" s="1575">
        <f>H25</f>
        <v>100</v>
      </c>
      <c r="V25" s="1574" t="s">
        <v>11</v>
      </c>
      <c r="W25" s="1575">
        <f>J25</f>
        <v>100</v>
      </c>
      <c r="X25" s="1568"/>
      <c r="Y25" s="3471"/>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71"/>
      <c r="Q26" s="1573" t="str">
        <f t="shared" si="11"/>
        <v>朝向</v>
      </c>
      <c r="R26" s="1574" t="s">
        <v>11</v>
      </c>
      <c r="S26" s="1575">
        <f>F26</f>
        <v>100</v>
      </c>
      <c r="T26" s="1574" t="s">
        <v>11</v>
      </c>
      <c r="U26" s="1575">
        <f>H26</f>
        <v>100</v>
      </c>
      <c r="V26" s="1574" t="s">
        <v>11</v>
      </c>
      <c r="W26" s="1575">
        <f>J26</f>
        <v>100</v>
      </c>
      <c r="X26" s="1568"/>
      <c r="Y26" s="3471"/>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71"/>
      <c r="Q27" s="1151" t="str">
        <f t="shared" si="11"/>
        <v>道路级别</v>
      </c>
      <c r="R27" s="1569" t="s">
        <v>11</v>
      </c>
      <c r="S27" s="1570">
        <f>F27</f>
        <v>100</v>
      </c>
      <c r="T27" s="1569" t="s">
        <v>11</v>
      </c>
      <c r="U27" s="1570">
        <f>H27</f>
        <v>100</v>
      </c>
      <c r="V27" s="1569" t="s">
        <v>11</v>
      </c>
      <c r="W27" s="1570">
        <f>J27</f>
        <v>100</v>
      </c>
      <c r="X27" s="1571"/>
      <c r="Y27" s="3471"/>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71"/>
      <c r="Q28" s="1573">
        <f t="shared" si="11"/>
        <v>111</v>
      </c>
      <c r="R28" s="1574" t="s">
        <v>11</v>
      </c>
      <c r="S28" s="1575">
        <f t="shared" ref="S28:S46" si="12">F28</f>
        <v>100</v>
      </c>
      <c r="T28" s="1574" t="s">
        <v>11</v>
      </c>
      <c r="U28" s="1575">
        <f t="shared" ref="U28:U46" si="13">H28</f>
        <v>100</v>
      </c>
      <c r="V28" s="1574" t="s">
        <v>11</v>
      </c>
      <c r="W28" s="1575">
        <f t="shared" ref="W28:W46" si="14">J28</f>
        <v>100</v>
      </c>
      <c r="X28" s="1568"/>
      <c r="Y28" s="3471"/>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71"/>
      <c r="Q29" s="1573">
        <f t="shared" si="11"/>
        <v>111</v>
      </c>
      <c r="R29" s="1574" t="s">
        <v>11</v>
      </c>
      <c r="S29" s="1575">
        <f t="shared" si="12"/>
        <v>100</v>
      </c>
      <c r="T29" s="1574" t="s">
        <v>11</v>
      </c>
      <c r="U29" s="1575">
        <f t="shared" si="13"/>
        <v>100</v>
      </c>
      <c r="V29" s="1574" t="s">
        <v>11</v>
      </c>
      <c r="W29" s="1575">
        <f t="shared" si="14"/>
        <v>100</v>
      </c>
      <c r="X29" s="1568"/>
      <c r="Y29" s="347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71"/>
      <c r="Q30" s="1573">
        <f t="shared" si="11"/>
        <v>111</v>
      </c>
      <c r="R30" s="1574" t="s">
        <v>11</v>
      </c>
      <c r="S30" s="1575">
        <f t="shared" si="12"/>
        <v>100</v>
      </c>
      <c r="T30" s="1574" t="s">
        <v>11</v>
      </c>
      <c r="U30" s="1575">
        <f t="shared" si="13"/>
        <v>100</v>
      </c>
      <c r="V30" s="1574" t="s">
        <v>11</v>
      </c>
      <c r="W30" s="1575">
        <f t="shared" si="14"/>
        <v>100</v>
      </c>
      <c r="X30" s="1568"/>
      <c r="Y30" s="3471"/>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71"/>
      <c r="Q31" s="1573">
        <f t="shared" si="11"/>
        <v>111</v>
      </c>
      <c r="R31" s="1574" t="s">
        <v>11</v>
      </c>
      <c r="S31" s="1575">
        <f t="shared" si="12"/>
        <v>100</v>
      </c>
      <c r="T31" s="1574" t="s">
        <v>11</v>
      </c>
      <c r="U31" s="1575">
        <f t="shared" si="13"/>
        <v>100</v>
      </c>
      <c r="V31" s="1574" t="s">
        <v>11</v>
      </c>
      <c r="W31" s="1575">
        <f t="shared" si="14"/>
        <v>100</v>
      </c>
      <c r="X31" s="1568"/>
      <c r="Y31" s="3471"/>
      <c r="Z31" s="1576">
        <f t="shared" si="15"/>
        <v>111</v>
      </c>
      <c r="AA31" s="1577">
        <f t="shared" si="3"/>
        <v>1</v>
      </c>
      <c r="AB31" s="1577">
        <f t="shared" si="4"/>
        <v>1</v>
      </c>
      <c r="AC31" s="1577">
        <f t="shared" si="5"/>
        <v>1</v>
      </c>
    </row>
    <row r="32" spans="1:29" ht="15">
      <c r="A32" s="2909"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72" t="s">
        <v>550</v>
      </c>
      <c r="Q32" s="1573" t="str">
        <f t="shared" si="11"/>
        <v>建筑类型</v>
      </c>
      <c r="R32" s="1574" t="s">
        <v>11</v>
      </c>
      <c r="S32" s="1575">
        <f t="shared" si="12"/>
        <v>100</v>
      </c>
      <c r="T32" s="1574" t="s">
        <v>11</v>
      </c>
      <c r="U32" s="1575">
        <f t="shared" si="13"/>
        <v>100</v>
      </c>
      <c r="V32" s="1574" t="s">
        <v>11</v>
      </c>
      <c r="W32" s="1575">
        <f t="shared" si="14"/>
        <v>100</v>
      </c>
      <c r="X32" s="1568"/>
      <c r="Y32" s="3473"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73"/>
      <c r="Q33" s="1606" t="str">
        <f t="shared" si="11"/>
        <v>项目建筑规模</v>
      </c>
      <c r="R33" s="1578" t="s">
        <v>11</v>
      </c>
      <c r="S33" s="1579" t="e">
        <f t="shared" si="12"/>
        <v>#N/A</v>
      </c>
      <c r="T33" s="1578" t="s">
        <v>11</v>
      </c>
      <c r="U33" s="1579" t="e">
        <f t="shared" si="13"/>
        <v>#N/A</v>
      </c>
      <c r="V33" s="1578" t="s">
        <v>11</v>
      </c>
      <c r="W33" s="1579" t="e">
        <f t="shared" si="14"/>
        <v>#N/A</v>
      </c>
      <c r="X33" s="1580"/>
      <c r="Y33" s="347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73"/>
      <c r="Q34" s="1573" t="str">
        <f t="shared" si="11"/>
        <v>建筑结构</v>
      </c>
      <c r="R34" s="1574" t="s">
        <v>11</v>
      </c>
      <c r="S34" s="1575">
        <f t="shared" si="12"/>
        <v>100</v>
      </c>
      <c r="T34" s="1574" t="s">
        <v>11</v>
      </c>
      <c r="U34" s="1575">
        <f t="shared" si="13"/>
        <v>100</v>
      </c>
      <c r="V34" s="1574" t="s">
        <v>11</v>
      </c>
      <c r="W34" s="1575">
        <f t="shared" si="14"/>
        <v>100</v>
      </c>
      <c r="X34" s="1568"/>
      <c r="Y34" s="3473"/>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73"/>
      <c r="Q35" s="1573" t="str">
        <f t="shared" si="11"/>
        <v>建筑品质</v>
      </c>
      <c r="R35" s="1574" t="s">
        <v>11</v>
      </c>
      <c r="S35" s="1575">
        <f t="shared" si="12"/>
        <v>100</v>
      </c>
      <c r="T35" s="1574" t="s">
        <v>11</v>
      </c>
      <c r="U35" s="1575">
        <f t="shared" si="13"/>
        <v>100</v>
      </c>
      <c r="V35" s="1574" t="s">
        <v>11</v>
      </c>
      <c r="W35" s="1575">
        <f t="shared" si="14"/>
        <v>100</v>
      </c>
      <c r="X35" s="1568"/>
      <c r="Y35" s="3473"/>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73"/>
      <c r="Q36" s="1573" t="str">
        <f t="shared" si="11"/>
        <v>公共部分装修</v>
      </c>
      <c r="R36" s="1574" t="s">
        <v>11</v>
      </c>
      <c r="S36" s="1575">
        <f t="shared" si="12"/>
        <v>100</v>
      </c>
      <c r="T36" s="1574" t="s">
        <v>11</v>
      </c>
      <c r="U36" s="1575">
        <f t="shared" si="13"/>
        <v>100</v>
      </c>
      <c r="V36" s="1574" t="s">
        <v>11</v>
      </c>
      <c r="W36" s="1575">
        <f t="shared" si="14"/>
        <v>100</v>
      </c>
      <c r="X36" s="1568"/>
      <c r="Y36" s="3473"/>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73"/>
      <c r="Q37" s="1151" t="str">
        <f t="shared" si="11"/>
        <v>成新度</v>
      </c>
      <c r="R37" s="1569" t="s">
        <v>11</v>
      </c>
      <c r="S37" s="1570" t="e">
        <f t="shared" si="12"/>
        <v>#N/A</v>
      </c>
      <c r="T37" s="1569" t="s">
        <v>11</v>
      </c>
      <c r="U37" s="1570" t="e">
        <f t="shared" si="13"/>
        <v>#N/A</v>
      </c>
      <c r="V37" s="1569" t="s">
        <v>11</v>
      </c>
      <c r="W37" s="1570" t="e">
        <f t="shared" si="14"/>
        <v>#N/A</v>
      </c>
      <c r="X37" s="1571"/>
      <c r="Y37" s="3473"/>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73" t="s">
        <v>550</v>
      </c>
      <c r="Q38" s="1573" t="str">
        <f t="shared" si="11"/>
        <v>物业管理</v>
      </c>
      <c r="R38" s="1574" t="s">
        <v>11</v>
      </c>
      <c r="S38" s="1575">
        <f t="shared" si="12"/>
        <v>100</v>
      </c>
      <c r="T38" s="1574" t="s">
        <v>11</v>
      </c>
      <c r="U38" s="1575">
        <f t="shared" si="13"/>
        <v>100</v>
      </c>
      <c r="V38" s="1574" t="s">
        <v>11</v>
      </c>
      <c r="W38" s="1575">
        <f t="shared" si="14"/>
        <v>100</v>
      </c>
      <c r="X38" s="1568"/>
      <c r="Y38" s="3473" t="s">
        <v>550</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73"/>
      <c r="Q39" s="1573" t="str">
        <f t="shared" si="11"/>
        <v>市政基础设施</v>
      </c>
      <c r="R39" s="1574" t="s">
        <v>11</v>
      </c>
      <c r="S39" s="1575">
        <f t="shared" si="12"/>
        <v>100</v>
      </c>
      <c r="T39" s="1574" t="s">
        <v>11</v>
      </c>
      <c r="U39" s="1575">
        <f t="shared" si="13"/>
        <v>100</v>
      </c>
      <c r="V39" s="1574" t="s">
        <v>11</v>
      </c>
      <c r="W39" s="1575">
        <f t="shared" si="14"/>
        <v>100</v>
      </c>
      <c r="X39" s="1568"/>
      <c r="Y39" s="3473"/>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73"/>
      <c r="Q40" s="1573" t="str">
        <f t="shared" si="11"/>
        <v>房型</v>
      </c>
      <c r="R40" s="1574" t="s">
        <v>11</v>
      </c>
      <c r="S40" s="1575">
        <f t="shared" si="12"/>
        <v>100</v>
      </c>
      <c r="T40" s="1574" t="s">
        <v>11</v>
      </c>
      <c r="U40" s="1575">
        <f t="shared" si="13"/>
        <v>100</v>
      </c>
      <c r="V40" s="1574" t="s">
        <v>11</v>
      </c>
      <c r="W40" s="1575">
        <f t="shared" si="14"/>
        <v>100</v>
      </c>
      <c r="X40" s="1568"/>
      <c r="Y40" s="3473"/>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73"/>
      <c r="Q41" s="1606" t="str">
        <f t="shared" si="11"/>
        <v>单套/主力户型建筑面积</v>
      </c>
      <c r="R41" s="1578" t="s">
        <v>11</v>
      </c>
      <c r="S41" s="1579">
        <f t="shared" si="12"/>
        <v>100</v>
      </c>
      <c r="T41" s="1578" t="s">
        <v>11</v>
      </c>
      <c r="U41" s="1579">
        <f t="shared" si="13"/>
        <v>100</v>
      </c>
      <c r="V41" s="1578" t="s">
        <v>11</v>
      </c>
      <c r="W41" s="1579">
        <f t="shared" si="14"/>
        <v>100</v>
      </c>
      <c r="X41" s="1580"/>
      <c r="Y41" s="3473"/>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73"/>
      <c r="Q42" s="1573" t="str">
        <f t="shared" si="11"/>
        <v>内部装修</v>
      </c>
      <c r="R42" s="1574" t="s">
        <v>11</v>
      </c>
      <c r="S42" s="1575">
        <f t="shared" si="12"/>
        <v>100</v>
      </c>
      <c r="T42" s="1574" t="s">
        <v>11</v>
      </c>
      <c r="U42" s="1575">
        <f t="shared" si="13"/>
        <v>100</v>
      </c>
      <c r="V42" s="1574" t="s">
        <v>11</v>
      </c>
      <c r="W42" s="1575">
        <f t="shared" si="14"/>
        <v>100</v>
      </c>
      <c r="X42" s="1568"/>
      <c r="Y42" s="3473"/>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73"/>
      <c r="Q43" s="1573" t="str">
        <f t="shared" si="11"/>
        <v>内部装修维护情况</v>
      </c>
      <c r="R43" s="1574" t="s">
        <v>11</v>
      </c>
      <c r="S43" s="1575">
        <f t="shared" si="12"/>
        <v>100</v>
      </c>
      <c r="T43" s="1574" t="s">
        <v>11</v>
      </c>
      <c r="U43" s="1575">
        <f t="shared" si="13"/>
        <v>100</v>
      </c>
      <c r="V43" s="1574" t="s">
        <v>11</v>
      </c>
      <c r="W43" s="1575">
        <f t="shared" si="14"/>
        <v>100</v>
      </c>
      <c r="X43" s="1568"/>
      <c r="Y43" s="347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73"/>
      <c r="Q44" s="1151">
        <f t="shared" si="11"/>
        <v>111</v>
      </c>
      <c r="R44" s="1569" t="s">
        <v>11</v>
      </c>
      <c r="S44" s="1570">
        <f t="shared" si="12"/>
        <v>100</v>
      </c>
      <c r="T44" s="1569" t="s">
        <v>11</v>
      </c>
      <c r="U44" s="1570">
        <f t="shared" si="13"/>
        <v>100</v>
      </c>
      <c r="V44" s="1569" t="s">
        <v>11</v>
      </c>
      <c r="W44" s="1570">
        <f t="shared" si="14"/>
        <v>100</v>
      </c>
      <c r="X44" s="1571"/>
      <c r="Y44" s="347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73"/>
      <c r="Q45" s="1573">
        <f t="shared" si="11"/>
        <v>111</v>
      </c>
      <c r="R45" s="1574" t="s">
        <v>11</v>
      </c>
      <c r="S45" s="1575">
        <f t="shared" si="12"/>
        <v>100</v>
      </c>
      <c r="T45" s="1574" t="s">
        <v>11</v>
      </c>
      <c r="U45" s="1575">
        <f t="shared" si="13"/>
        <v>100</v>
      </c>
      <c r="V45" s="1574" t="s">
        <v>11</v>
      </c>
      <c r="W45" s="1575">
        <f t="shared" si="14"/>
        <v>100</v>
      </c>
      <c r="X45" s="1568"/>
      <c r="Y45" s="3473"/>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82"/>
      <c r="Q46" s="1573">
        <f t="shared" si="11"/>
        <v>111</v>
      </c>
      <c r="R46" s="1574" t="s">
        <v>10</v>
      </c>
      <c r="S46" s="1575">
        <f t="shared" si="12"/>
        <v>100</v>
      </c>
      <c r="T46" s="1574" t="s">
        <v>10</v>
      </c>
      <c r="U46" s="1575">
        <f t="shared" si="13"/>
        <v>100</v>
      </c>
      <c r="V46" s="1574" t="s">
        <v>10</v>
      </c>
      <c r="W46" s="1575">
        <f t="shared" si="14"/>
        <v>100</v>
      </c>
      <c r="X46" s="1568"/>
      <c r="Y46" s="3582"/>
      <c r="Z46" s="1576">
        <f t="shared" si="15"/>
        <v>111</v>
      </c>
      <c r="AA46" s="1577">
        <f t="shared" si="3"/>
        <v>1</v>
      </c>
      <c r="AB46" s="1577">
        <f t="shared" si="4"/>
        <v>1</v>
      </c>
      <c r="AC46" s="1577">
        <f t="shared" si="5"/>
        <v>1</v>
      </c>
    </row>
    <row r="47" spans="1:29" ht="15">
      <c r="A47" s="607" t="s">
        <v>736</v>
      </c>
      <c r="B47" s="887"/>
      <c r="C47" s="2629" t="s">
        <v>9</v>
      </c>
      <c r="D47" s="2630"/>
      <c r="E47" s="2631"/>
      <c r="F47" s="2632"/>
      <c r="G47" s="2633"/>
      <c r="H47" s="2634"/>
      <c r="I47" s="2631"/>
      <c r="J47" s="2634"/>
      <c r="K47" s="1607"/>
      <c r="L47" s="2146"/>
      <c r="M47" s="2147"/>
      <c r="N47" s="2136"/>
      <c r="O47" s="2147"/>
      <c r="P47" s="3468" t="str">
        <f>A47</f>
        <v>成交单价（元/平方米）</v>
      </c>
      <c r="Q47" s="3468"/>
      <c r="R47" s="3581">
        <f>E47</f>
        <v>0</v>
      </c>
      <c r="S47" s="3581"/>
      <c r="T47" s="3581">
        <f>G47</f>
        <v>0</v>
      </c>
      <c r="U47" s="3581"/>
      <c r="V47" s="3581">
        <f>I47</f>
        <v>0</v>
      </c>
      <c r="W47" s="3581"/>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08"/>
      <c r="L48" s="2146"/>
      <c r="M48" s="2147"/>
      <c r="N48" s="2147"/>
      <c r="O48" s="2147"/>
      <c r="P48" s="3468" t="str">
        <f>A48</f>
        <v>比较价格（元/平方米）</v>
      </c>
      <c r="Q48" s="3468"/>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560"/>
      <c r="Y48" s="1560"/>
      <c r="Z48" s="1560"/>
      <c r="AA48" s="1560"/>
      <c r="AB48" s="1560"/>
      <c r="AC48" s="1560"/>
    </row>
    <row r="49" spans="1:29" ht="15.75" thickBot="1">
      <c r="A49" s="621" t="s">
        <v>2939</v>
      </c>
      <c r="B49" s="622"/>
      <c r="C49" s="2638" t="e">
        <f>R49</f>
        <v>#DIV/0!</v>
      </c>
      <c r="D49" s="2638"/>
      <c r="E49" s="2638"/>
      <c r="F49" s="2638"/>
      <c r="G49" s="2638"/>
      <c r="H49" s="2638"/>
      <c r="I49" s="2638"/>
      <c r="J49" s="2638"/>
      <c r="K49" s="1609"/>
      <c r="L49" s="2146"/>
      <c r="M49" s="2147"/>
      <c r="N49" s="2147"/>
      <c r="O49" s="2147"/>
      <c r="P49" s="3489" t="str">
        <f>A49</f>
        <v>估价对象XX用房的比较价格（楼面单价，元/平方米）</v>
      </c>
      <c r="Q49" s="3490"/>
      <c r="R49" s="3580" t="e">
        <f>IF(F1="售价",ROUND(AVERAGE(R48:V48),0),ROUND(AVERAGE(R48:V48),1))</f>
        <v>#DIV/0!</v>
      </c>
      <c r="S49" s="3580"/>
      <c r="T49" s="3580"/>
      <c r="U49" s="3580"/>
      <c r="V49" s="3580"/>
      <c r="W49" s="358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74" t="s">
        <v>522</v>
      </c>
      <c r="D4" s="3475"/>
      <c r="E4" s="3498" t="s">
        <v>523</v>
      </c>
      <c r="F4" s="3499"/>
      <c r="G4" s="3474" t="s">
        <v>524</v>
      </c>
      <c r="H4" s="3475"/>
      <c r="I4" s="3474" t="s">
        <v>525</v>
      </c>
      <c r="J4" s="3475"/>
      <c r="K4" s="514" t="s">
        <v>526</v>
      </c>
      <c r="L4" s="2135"/>
      <c r="M4" s="2136"/>
      <c r="N4" s="2136"/>
      <c r="O4" s="2136"/>
      <c r="P4" s="3476" t="s">
        <v>527</v>
      </c>
      <c r="Q4" s="3477"/>
      <c r="R4" s="3462" t="s">
        <v>523</v>
      </c>
      <c r="S4" s="3463"/>
      <c r="T4" s="3462" t="s">
        <v>524</v>
      </c>
      <c r="U4" s="3463"/>
      <c r="V4" s="3482" t="s">
        <v>525</v>
      </c>
      <c r="W4" s="3482"/>
      <c r="X4" s="1568"/>
      <c r="Y4" s="3462" t="s">
        <v>527</v>
      </c>
      <c r="Z4" s="3463"/>
      <c r="AA4" s="3457" t="s">
        <v>523</v>
      </c>
      <c r="AB4" s="3482" t="s">
        <v>524</v>
      </c>
      <c r="AC4" s="3457" t="s">
        <v>525</v>
      </c>
    </row>
    <row r="5" spans="1:29" ht="15">
      <c r="A5" s="515"/>
      <c r="B5" s="516"/>
      <c r="C5" s="3485" t="s">
        <v>2933</v>
      </c>
      <c r="D5" s="3486"/>
      <c r="E5" s="3500" t="s">
        <v>2934</v>
      </c>
      <c r="F5" s="3501"/>
      <c r="G5" s="3485" t="s">
        <v>2935</v>
      </c>
      <c r="H5" s="3486"/>
      <c r="I5" s="3485" t="s">
        <v>2936</v>
      </c>
      <c r="J5" s="3486"/>
      <c r="K5" s="514"/>
      <c r="L5" s="2135"/>
      <c r="M5" s="2136"/>
      <c r="N5" s="2136"/>
      <c r="O5" s="2136"/>
      <c r="P5" s="3478"/>
      <c r="Q5" s="3479"/>
      <c r="R5" s="3464"/>
      <c r="S5" s="3465"/>
      <c r="T5" s="3464"/>
      <c r="U5" s="3465"/>
      <c r="V5" s="3482"/>
      <c r="W5" s="3482"/>
      <c r="X5" s="1568"/>
      <c r="Y5" s="3464"/>
      <c r="Z5" s="3465"/>
      <c r="AA5" s="3458"/>
      <c r="AB5" s="3482"/>
      <c r="AC5" s="3458"/>
    </row>
    <row r="6" spans="1:29" ht="15.75" thickBot="1">
      <c r="A6" s="517"/>
      <c r="B6" s="518"/>
      <c r="C6" s="3483" t="s">
        <v>2937</v>
      </c>
      <c r="D6" s="3484"/>
      <c r="E6" s="3502" t="s">
        <v>2937</v>
      </c>
      <c r="F6" s="3503"/>
      <c r="G6" s="3483" t="s">
        <v>2937</v>
      </c>
      <c r="H6" s="3484"/>
      <c r="I6" s="3483" t="s">
        <v>2937</v>
      </c>
      <c r="J6" s="3484"/>
      <c r="K6" s="514" t="s">
        <v>528</v>
      </c>
      <c r="L6" s="2135"/>
      <c r="M6" s="2136"/>
      <c r="N6" s="2136"/>
      <c r="O6" s="2136"/>
      <c r="P6" s="3480"/>
      <c r="Q6" s="3481"/>
      <c r="R6" s="3464"/>
      <c r="S6" s="3465"/>
      <c r="T6" s="3466"/>
      <c r="U6" s="3467"/>
      <c r="V6" s="3482"/>
      <c r="W6" s="3482"/>
      <c r="X6" s="1568"/>
      <c r="Y6" s="3466"/>
      <c r="Z6" s="3467"/>
      <c r="AA6" s="3459"/>
      <c r="AB6" s="3482"/>
      <c r="AC6" s="3459"/>
    </row>
    <row r="7" spans="1:29" s="1220" customFormat="1" ht="15.75" thickBot="1">
      <c r="A7" s="2914"/>
      <c r="B7" s="2921" t="s">
        <v>529</v>
      </c>
      <c r="C7" s="519">
        <f>'数据-取费表'!B2</f>
        <v>43410</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60" t="s">
        <v>530</v>
      </c>
      <c r="Q7" s="3469"/>
      <c r="R7" s="1569" t="s">
        <v>8</v>
      </c>
      <c r="S7" s="1570">
        <f t="shared" ref="S7:S15" si="0">F7</f>
        <v>0</v>
      </c>
      <c r="T7" s="1569" t="s">
        <v>8</v>
      </c>
      <c r="U7" s="1570">
        <f t="shared" ref="U7:U15" si="1">H7</f>
        <v>0</v>
      </c>
      <c r="V7" s="1569" t="s">
        <v>8</v>
      </c>
      <c r="W7" s="1570">
        <f t="shared" ref="W7:W15" si="2">J7</f>
        <v>0</v>
      </c>
      <c r="X7" s="1571"/>
      <c r="Y7" s="3460" t="s">
        <v>530</v>
      </c>
      <c r="Z7" s="3461"/>
      <c r="AA7" s="1572" t="e">
        <f>D7/F7</f>
        <v>#DIV/0!</v>
      </c>
      <c r="AB7" s="1572" t="e">
        <f>D7/H7</f>
        <v>#DIV/0!</v>
      </c>
      <c r="AC7" s="1572" t="e">
        <f>D7/J7</f>
        <v>#DIV/0!</v>
      </c>
    </row>
    <row r="8" spans="1:29" s="1220" customFormat="1" ht="15.75" thickBot="1">
      <c r="A8" s="2915"/>
      <c r="B8" s="2922"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60" t="s">
        <v>533</v>
      </c>
      <c r="Q8" s="3461"/>
      <c r="R8" s="1569" t="s">
        <v>8</v>
      </c>
      <c r="S8" s="1570">
        <f t="shared" si="0"/>
        <v>0</v>
      </c>
      <c r="T8" s="1569" t="s">
        <v>8</v>
      </c>
      <c r="U8" s="1570">
        <f t="shared" si="1"/>
        <v>0</v>
      </c>
      <c r="V8" s="1569" t="s">
        <v>8</v>
      </c>
      <c r="W8" s="1570">
        <f t="shared" si="2"/>
        <v>0</v>
      </c>
      <c r="X8" s="1571"/>
      <c r="Y8" s="3460" t="s">
        <v>533</v>
      </c>
      <c r="Z8" s="3461"/>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68" t="s">
        <v>535</v>
      </c>
      <c r="Q9" s="1151" t="str">
        <f t="shared" ref="Q9:Q15" si="6">B9</f>
        <v>用途</v>
      </c>
      <c r="R9" s="1569" t="s">
        <v>8</v>
      </c>
      <c r="S9" s="1570">
        <f t="shared" si="0"/>
        <v>100</v>
      </c>
      <c r="T9" s="1569" t="s">
        <v>8</v>
      </c>
      <c r="U9" s="1570">
        <f t="shared" si="1"/>
        <v>100</v>
      </c>
      <c r="V9" s="1569" t="s">
        <v>8</v>
      </c>
      <c r="W9" s="1570">
        <f t="shared" si="2"/>
        <v>100</v>
      </c>
      <c r="X9" s="1571"/>
      <c r="Y9" s="3425"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68"/>
      <c r="Q10" s="1151" t="str">
        <f t="shared" si="6"/>
        <v>土地使用年限（年）</v>
      </c>
      <c r="R10" s="1569" t="s">
        <v>8</v>
      </c>
      <c r="S10" s="1570">
        <f t="shared" si="0"/>
        <v>100</v>
      </c>
      <c r="T10" s="1569" t="s">
        <v>8</v>
      </c>
      <c r="U10" s="1570">
        <f t="shared" si="1"/>
        <v>100</v>
      </c>
      <c r="V10" s="1569" t="s">
        <v>8</v>
      </c>
      <c r="W10" s="1570">
        <f t="shared" si="2"/>
        <v>100</v>
      </c>
      <c r="X10" s="1571"/>
      <c r="Y10" s="3425"/>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68"/>
      <c r="Q11" s="1151" t="str">
        <f t="shared" si="6"/>
        <v>容积率</v>
      </c>
      <c r="R11" s="1569" t="s">
        <v>8</v>
      </c>
      <c r="S11" s="1570" t="e">
        <f t="shared" si="0"/>
        <v>#N/A</v>
      </c>
      <c r="T11" s="1569" t="s">
        <v>8</v>
      </c>
      <c r="U11" s="1570" t="e">
        <f t="shared" si="1"/>
        <v>#N/A</v>
      </c>
      <c r="V11" s="1569" t="s">
        <v>8</v>
      </c>
      <c r="W11" s="1570" t="e">
        <f t="shared" si="2"/>
        <v>#N/A</v>
      </c>
      <c r="X11" s="1571"/>
      <c r="Y11" s="3425"/>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68"/>
      <c r="Q12" s="1151">
        <f t="shared" si="6"/>
        <v>111</v>
      </c>
      <c r="R12" s="1569" t="s">
        <v>8</v>
      </c>
      <c r="S12" s="1570">
        <f t="shared" si="0"/>
        <v>100</v>
      </c>
      <c r="T12" s="1569" t="s">
        <v>8</v>
      </c>
      <c r="U12" s="1570">
        <f t="shared" si="1"/>
        <v>100</v>
      </c>
      <c r="V12" s="1569" t="s">
        <v>8</v>
      </c>
      <c r="W12" s="1570">
        <f t="shared" si="2"/>
        <v>100</v>
      </c>
      <c r="X12" s="1571"/>
      <c r="Y12" s="3425"/>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68"/>
      <c r="Q13" s="1151">
        <f t="shared" si="6"/>
        <v>111</v>
      </c>
      <c r="R13" s="1569" t="s">
        <v>8</v>
      </c>
      <c r="S13" s="1570">
        <f t="shared" si="0"/>
        <v>100</v>
      </c>
      <c r="T13" s="1569" t="s">
        <v>8</v>
      </c>
      <c r="U13" s="1570">
        <f t="shared" si="1"/>
        <v>100</v>
      </c>
      <c r="V13" s="1569" t="s">
        <v>8</v>
      </c>
      <c r="W13" s="1570">
        <f t="shared" si="2"/>
        <v>100</v>
      </c>
      <c r="X13" s="1571"/>
      <c r="Y13" s="3425"/>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68"/>
      <c r="Q14" s="1151">
        <f t="shared" si="6"/>
        <v>111</v>
      </c>
      <c r="R14" s="1569" t="s">
        <v>8</v>
      </c>
      <c r="S14" s="1570">
        <f t="shared" si="0"/>
        <v>100</v>
      </c>
      <c r="T14" s="1569" t="s">
        <v>8</v>
      </c>
      <c r="U14" s="1570">
        <f t="shared" si="1"/>
        <v>100</v>
      </c>
      <c r="V14" s="1569" t="s">
        <v>8</v>
      </c>
      <c r="W14" s="1570">
        <f t="shared" si="2"/>
        <v>100</v>
      </c>
      <c r="X14" s="1571"/>
      <c r="Y14" s="3425"/>
      <c r="Z14" s="1150">
        <f t="shared" si="7"/>
        <v>111</v>
      </c>
      <c r="AA14" s="1572">
        <f t="shared" si="3"/>
        <v>1</v>
      </c>
      <c r="AB14" s="1572">
        <f t="shared" si="4"/>
        <v>1</v>
      </c>
      <c r="AC14" s="1572">
        <f t="shared" si="5"/>
        <v>1</v>
      </c>
    </row>
    <row r="15" spans="1:29" ht="71.25">
      <c r="A15" s="2912"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70" t="s">
        <v>540</v>
      </c>
      <c r="Q15" s="1573" t="str">
        <f t="shared" si="6"/>
        <v>商业繁华度</v>
      </c>
      <c r="R15" s="1574" t="s">
        <v>8</v>
      </c>
      <c r="S15" s="1575">
        <f t="shared" si="0"/>
        <v>100</v>
      </c>
      <c r="T15" s="1574" t="s">
        <v>8</v>
      </c>
      <c r="U15" s="1575">
        <f t="shared" si="1"/>
        <v>100</v>
      </c>
      <c r="V15" s="1574" t="s">
        <v>8</v>
      </c>
      <c r="W15" s="1575">
        <f t="shared" si="2"/>
        <v>100</v>
      </c>
      <c r="X15" s="1568"/>
      <c r="Y15" s="347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71"/>
      <c r="Q16" s="1573"/>
      <c r="R16" s="1574"/>
      <c r="S16" s="1575"/>
      <c r="T16" s="1574"/>
      <c r="U16" s="1575"/>
      <c r="V16" s="1574"/>
      <c r="W16" s="1575"/>
      <c r="X16" s="1568"/>
      <c r="Y16" s="347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71"/>
      <c r="Q17" s="1573" t="str">
        <f>B17</f>
        <v>交通便捷度</v>
      </c>
      <c r="R17" s="1574" t="s">
        <v>8</v>
      </c>
      <c r="S17" s="1575">
        <f>F17</f>
        <v>100</v>
      </c>
      <c r="T17" s="1574" t="s">
        <v>8</v>
      </c>
      <c r="U17" s="1575">
        <f>H17</f>
        <v>100</v>
      </c>
      <c r="V17" s="1574" t="s">
        <v>8</v>
      </c>
      <c r="W17" s="1575">
        <f>J17</f>
        <v>100</v>
      </c>
      <c r="X17" s="1568"/>
      <c r="Y17" s="347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71"/>
      <c r="Q18" s="1573"/>
      <c r="R18" s="1574"/>
      <c r="S18" s="1575"/>
      <c r="T18" s="1574"/>
      <c r="U18" s="1575"/>
      <c r="V18" s="1574"/>
      <c r="W18" s="1575"/>
      <c r="X18" s="1568"/>
      <c r="Y18" s="3471"/>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71"/>
      <c r="Q19" s="1573" t="str">
        <f>B19</f>
        <v>公共配套设施</v>
      </c>
      <c r="R19" s="1574" t="s">
        <v>8</v>
      </c>
      <c r="S19" s="1575">
        <f>F19</f>
        <v>100</v>
      </c>
      <c r="T19" s="1574" t="s">
        <v>8</v>
      </c>
      <c r="U19" s="1575">
        <f>H19</f>
        <v>100</v>
      </c>
      <c r="V19" s="1574" t="s">
        <v>8</v>
      </c>
      <c r="W19" s="1575">
        <f>J19</f>
        <v>100</v>
      </c>
      <c r="X19" s="1568"/>
      <c r="Y19" s="347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71"/>
      <c r="Q20" s="1573"/>
      <c r="R20" s="1574"/>
      <c r="S20" s="1575"/>
      <c r="T20" s="1574"/>
      <c r="U20" s="1575"/>
      <c r="V20" s="1574"/>
      <c r="W20" s="1575"/>
      <c r="X20" s="1568"/>
      <c r="Y20" s="3471"/>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71"/>
      <c r="Q21" s="2581" t="str">
        <f>B21</f>
        <v>基础设施水平</v>
      </c>
      <c r="R21" s="1574" t="s">
        <v>8</v>
      </c>
      <c r="S21" s="1575">
        <f>F21</f>
        <v>100</v>
      </c>
      <c r="T21" s="1574" t="s">
        <v>8</v>
      </c>
      <c r="U21" s="1575">
        <f>H21</f>
        <v>100</v>
      </c>
      <c r="V21" s="1574" t="s">
        <v>8</v>
      </c>
      <c r="W21" s="1575">
        <f>J21</f>
        <v>100</v>
      </c>
      <c r="X21" s="2583"/>
      <c r="Y21" s="3471"/>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71"/>
      <c r="Q22" s="2581"/>
      <c r="R22" s="1574"/>
      <c r="S22" s="1575"/>
      <c r="T22" s="1574"/>
      <c r="U22" s="1575"/>
      <c r="V22" s="1574"/>
      <c r="W22" s="1575"/>
      <c r="X22" s="2583"/>
      <c r="Y22" s="3471"/>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71"/>
      <c r="Q23" s="1573" t="str">
        <f>B23</f>
        <v>自然及人文环境</v>
      </c>
      <c r="R23" s="1574" t="s">
        <v>8</v>
      </c>
      <c r="S23" s="1575">
        <f>F23</f>
        <v>100</v>
      </c>
      <c r="T23" s="1574" t="s">
        <v>8</v>
      </c>
      <c r="U23" s="1575">
        <f>H23</f>
        <v>100</v>
      </c>
      <c r="V23" s="1574" t="s">
        <v>8</v>
      </c>
      <c r="W23" s="1575">
        <f>J23</f>
        <v>100</v>
      </c>
      <c r="X23" s="1568"/>
      <c r="Y23" s="347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71"/>
      <c r="Q24" s="1573"/>
      <c r="R24" s="1574"/>
      <c r="S24" s="1575"/>
      <c r="T24" s="1574"/>
      <c r="U24" s="1575"/>
      <c r="V24" s="1574"/>
      <c r="W24" s="1575"/>
      <c r="X24" s="1568"/>
      <c r="Y24" s="347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71"/>
      <c r="Q25" s="1573" t="str">
        <f t="shared" ref="Q25:Q46" si="11">B25</f>
        <v>临街状况</v>
      </c>
      <c r="R25" s="1574" t="s">
        <v>8</v>
      </c>
      <c r="S25" s="1575">
        <f>F25</f>
        <v>100</v>
      </c>
      <c r="T25" s="1574" t="s">
        <v>8</v>
      </c>
      <c r="U25" s="1575">
        <f>H25</f>
        <v>100</v>
      </c>
      <c r="V25" s="1574" t="s">
        <v>8</v>
      </c>
      <c r="W25" s="1575">
        <f>J25</f>
        <v>100</v>
      </c>
      <c r="X25" s="1568"/>
      <c r="Y25" s="347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71"/>
      <c r="Q26" s="1573" t="str">
        <f t="shared" si="11"/>
        <v>平面位置/可视性</v>
      </c>
      <c r="R26" s="1574" t="s">
        <v>8</v>
      </c>
      <c r="S26" s="1575">
        <f>F26</f>
        <v>100</v>
      </c>
      <c r="T26" s="1574" t="s">
        <v>8</v>
      </c>
      <c r="U26" s="1575">
        <f>H26</f>
        <v>100</v>
      </c>
      <c r="V26" s="1574" t="s">
        <v>8</v>
      </c>
      <c r="W26" s="1575">
        <f>J26</f>
        <v>100</v>
      </c>
      <c r="X26" s="1568"/>
      <c r="Y26" s="347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71"/>
      <c r="Q27" s="1151" t="str">
        <f t="shared" si="11"/>
        <v>人流量</v>
      </c>
      <c r="R27" s="1569" t="s">
        <v>8</v>
      </c>
      <c r="S27" s="1570">
        <f>F27</f>
        <v>100</v>
      </c>
      <c r="T27" s="1569" t="s">
        <v>8</v>
      </c>
      <c r="U27" s="1570">
        <f>H27</f>
        <v>100</v>
      </c>
      <c r="V27" s="1569" t="s">
        <v>8</v>
      </c>
      <c r="W27" s="1570">
        <f>J27</f>
        <v>100</v>
      </c>
      <c r="X27" s="1571"/>
      <c r="Y27" s="347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7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7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71"/>
      <c r="Q29" s="1573">
        <f t="shared" si="11"/>
        <v>111</v>
      </c>
      <c r="R29" s="1574" t="s">
        <v>8</v>
      </c>
      <c r="S29" s="1575">
        <f t="shared" si="12"/>
        <v>100</v>
      </c>
      <c r="T29" s="1574" t="s">
        <v>8</v>
      </c>
      <c r="U29" s="1575">
        <f t="shared" si="13"/>
        <v>100</v>
      </c>
      <c r="V29" s="1574" t="s">
        <v>8</v>
      </c>
      <c r="W29" s="1575">
        <f t="shared" si="14"/>
        <v>100</v>
      </c>
      <c r="X29" s="1568"/>
      <c r="Y29" s="347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71"/>
      <c r="Q30" s="1573">
        <f t="shared" si="11"/>
        <v>111</v>
      </c>
      <c r="R30" s="1574" t="s">
        <v>8</v>
      </c>
      <c r="S30" s="1575">
        <f t="shared" si="12"/>
        <v>100</v>
      </c>
      <c r="T30" s="1574" t="s">
        <v>8</v>
      </c>
      <c r="U30" s="1575">
        <f t="shared" si="13"/>
        <v>100</v>
      </c>
      <c r="V30" s="1574" t="s">
        <v>8</v>
      </c>
      <c r="W30" s="1575">
        <f t="shared" si="14"/>
        <v>100</v>
      </c>
      <c r="X30" s="1568"/>
      <c r="Y30" s="347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71"/>
      <c r="Q31" s="1573">
        <f t="shared" si="11"/>
        <v>111</v>
      </c>
      <c r="R31" s="1574" t="s">
        <v>8</v>
      </c>
      <c r="S31" s="1575">
        <f t="shared" si="12"/>
        <v>100</v>
      </c>
      <c r="T31" s="1574" t="s">
        <v>8</v>
      </c>
      <c r="U31" s="1575">
        <f t="shared" si="13"/>
        <v>100</v>
      </c>
      <c r="V31" s="1574" t="s">
        <v>8</v>
      </c>
      <c r="W31" s="1575">
        <f t="shared" si="14"/>
        <v>100</v>
      </c>
      <c r="X31" s="1568"/>
      <c r="Y31" s="3471"/>
      <c r="Z31" s="1576">
        <f t="shared" si="15"/>
        <v>111</v>
      </c>
      <c r="AA31" s="1577">
        <f t="shared" si="3"/>
        <v>1</v>
      </c>
      <c r="AB31" s="1577">
        <f t="shared" si="4"/>
        <v>1</v>
      </c>
      <c r="AC31" s="1577">
        <f t="shared" si="5"/>
        <v>1</v>
      </c>
    </row>
    <row r="32" spans="1:29" ht="15">
      <c r="A32" s="2909"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72" t="s">
        <v>550</v>
      </c>
      <c r="Q32" s="1573" t="str">
        <f t="shared" si="11"/>
        <v>商业类型</v>
      </c>
      <c r="R32" s="1574" t="s">
        <v>8</v>
      </c>
      <c r="S32" s="1575">
        <f t="shared" si="12"/>
        <v>100</v>
      </c>
      <c r="T32" s="1574" t="s">
        <v>8</v>
      </c>
      <c r="U32" s="1575">
        <f t="shared" si="13"/>
        <v>100</v>
      </c>
      <c r="V32" s="1574" t="s">
        <v>8</v>
      </c>
      <c r="W32" s="1575">
        <f t="shared" si="14"/>
        <v>100</v>
      </c>
      <c r="X32" s="1568"/>
      <c r="Y32" s="3473"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73"/>
      <c r="Q33" s="1606" t="str">
        <f t="shared" si="11"/>
        <v>项目建筑规模</v>
      </c>
      <c r="R33" s="1578" t="s">
        <v>8</v>
      </c>
      <c r="S33" s="1579" t="e">
        <f t="shared" si="12"/>
        <v>#N/A</v>
      </c>
      <c r="T33" s="1578" t="s">
        <v>8</v>
      </c>
      <c r="U33" s="1579" t="e">
        <f t="shared" si="13"/>
        <v>#N/A</v>
      </c>
      <c r="V33" s="1578" t="s">
        <v>8</v>
      </c>
      <c r="W33" s="1579" t="e">
        <f t="shared" si="14"/>
        <v>#N/A</v>
      </c>
      <c r="X33" s="1580"/>
      <c r="Y33" s="347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73"/>
      <c r="Q34" s="1573" t="str">
        <f t="shared" si="11"/>
        <v>建筑结构</v>
      </c>
      <c r="R34" s="1574" t="s">
        <v>8</v>
      </c>
      <c r="S34" s="1575">
        <f t="shared" si="12"/>
        <v>100</v>
      </c>
      <c r="T34" s="1574" t="s">
        <v>8</v>
      </c>
      <c r="U34" s="1575">
        <f t="shared" si="13"/>
        <v>100</v>
      </c>
      <c r="V34" s="1574" t="s">
        <v>8</v>
      </c>
      <c r="W34" s="1575">
        <f t="shared" si="14"/>
        <v>100</v>
      </c>
      <c r="X34" s="1568"/>
      <c r="Y34" s="347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73"/>
      <c r="Q35" s="1573" t="str">
        <f t="shared" si="11"/>
        <v>公共部分装修</v>
      </c>
      <c r="R35" s="1574" t="s">
        <v>8</v>
      </c>
      <c r="S35" s="1575">
        <f t="shared" si="12"/>
        <v>100</v>
      </c>
      <c r="T35" s="1574" t="s">
        <v>8</v>
      </c>
      <c r="U35" s="1575">
        <f t="shared" si="13"/>
        <v>100</v>
      </c>
      <c r="V35" s="1574" t="s">
        <v>8</v>
      </c>
      <c r="W35" s="1575">
        <f t="shared" si="14"/>
        <v>100</v>
      </c>
      <c r="X35" s="1568"/>
      <c r="Y35" s="3473"/>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73"/>
      <c r="Q36" s="1573" t="str">
        <f t="shared" si="11"/>
        <v>成新度</v>
      </c>
      <c r="R36" s="1574" t="s">
        <v>8</v>
      </c>
      <c r="S36" s="1575" t="e">
        <f t="shared" si="12"/>
        <v>#N/A</v>
      </c>
      <c r="T36" s="1574" t="s">
        <v>8</v>
      </c>
      <c r="U36" s="1575" t="e">
        <f t="shared" si="13"/>
        <v>#N/A</v>
      </c>
      <c r="V36" s="1574" t="s">
        <v>8</v>
      </c>
      <c r="W36" s="1575" t="e">
        <f t="shared" si="14"/>
        <v>#N/A</v>
      </c>
      <c r="X36" s="1568"/>
      <c r="Y36" s="3473"/>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73"/>
      <c r="Q37" s="1151" t="str">
        <f t="shared" si="11"/>
        <v>市政基础设施</v>
      </c>
      <c r="R37" s="1569" t="s">
        <v>8</v>
      </c>
      <c r="S37" s="1570">
        <f t="shared" si="12"/>
        <v>100</v>
      </c>
      <c r="T37" s="1569" t="s">
        <v>8</v>
      </c>
      <c r="U37" s="1570">
        <f t="shared" si="13"/>
        <v>100</v>
      </c>
      <c r="V37" s="1569" t="s">
        <v>8</v>
      </c>
      <c r="W37" s="1570">
        <f t="shared" si="14"/>
        <v>100</v>
      </c>
      <c r="X37" s="1571"/>
      <c r="Y37" s="347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73" t="s">
        <v>766</v>
      </c>
      <c r="Q38" s="1573" t="str">
        <f t="shared" si="11"/>
        <v>业态</v>
      </c>
      <c r="R38" s="1574" t="s">
        <v>8</v>
      </c>
      <c r="S38" s="1575">
        <f t="shared" si="12"/>
        <v>100</v>
      </c>
      <c r="T38" s="1574" t="s">
        <v>8</v>
      </c>
      <c r="U38" s="1575">
        <f t="shared" si="13"/>
        <v>100</v>
      </c>
      <c r="V38" s="1574" t="s">
        <v>8</v>
      </c>
      <c r="W38" s="1575">
        <f t="shared" si="14"/>
        <v>100</v>
      </c>
      <c r="X38" s="1568"/>
      <c r="Y38" s="347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73"/>
      <c r="Q39" s="1573" t="str">
        <f t="shared" si="11"/>
        <v>层高</v>
      </c>
      <c r="R39" s="1574" t="s">
        <v>8</v>
      </c>
      <c r="S39" s="1575">
        <f t="shared" si="12"/>
        <v>100</v>
      </c>
      <c r="T39" s="1574" t="s">
        <v>8</v>
      </c>
      <c r="U39" s="1575">
        <f t="shared" si="13"/>
        <v>100</v>
      </c>
      <c r="V39" s="1574" t="s">
        <v>8</v>
      </c>
      <c r="W39" s="1575">
        <f t="shared" si="14"/>
        <v>100</v>
      </c>
      <c r="X39" s="1568"/>
      <c r="Y39" s="347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73"/>
      <c r="Q40" s="1573" t="str">
        <f t="shared" si="11"/>
        <v>单套建筑面积</v>
      </c>
      <c r="R40" s="1574" t="s">
        <v>8</v>
      </c>
      <c r="S40" s="1575">
        <f t="shared" si="12"/>
        <v>100</v>
      </c>
      <c r="T40" s="1574" t="s">
        <v>8</v>
      </c>
      <c r="U40" s="1575">
        <f t="shared" si="13"/>
        <v>100</v>
      </c>
      <c r="V40" s="1574" t="s">
        <v>8</v>
      </c>
      <c r="W40" s="1575">
        <f t="shared" si="14"/>
        <v>100</v>
      </c>
      <c r="X40" s="1568"/>
      <c r="Y40" s="347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73"/>
      <c r="Q41" s="1606" t="str">
        <f t="shared" si="11"/>
        <v>进深比</v>
      </c>
      <c r="R41" s="1578" t="s">
        <v>8</v>
      </c>
      <c r="S41" s="1579">
        <f t="shared" si="12"/>
        <v>100</v>
      </c>
      <c r="T41" s="1578" t="s">
        <v>8</v>
      </c>
      <c r="U41" s="1579">
        <f t="shared" si="13"/>
        <v>100</v>
      </c>
      <c r="V41" s="1578" t="s">
        <v>8</v>
      </c>
      <c r="W41" s="1579">
        <f t="shared" si="14"/>
        <v>100</v>
      </c>
      <c r="X41" s="1580"/>
      <c r="Y41" s="347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73"/>
      <c r="Q42" s="1573" t="str">
        <f t="shared" si="11"/>
        <v>内部装修</v>
      </c>
      <c r="R42" s="1574" t="s">
        <v>8</v>
      </c>
      <c r="S42" s="1575">
        <f t="shared" si="12"/>
        <v>100</v>
      </c>
      <c r="T42" s="1574" t="s">
        <v>8</v>
      </c>
      <c r="U42" s="1575">
        <f t="shared" si="13"/>
        <v>100</v>
      </c>
      <c r="V42" s="1574" t="s">
        <v>8</v>
      </c>
      <c r="W42" s="1575">
        <f t="shared" si="14"/>
        <v>100</v>
      </c>
      <c r="X42" s="1568"/>
      <c r="Y42" s="3473"/>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73"/>
      <c r="Q43" s="1573" t="str">
        <f t="shared" si="11"/>
        <v>内部装修维护情况</v>
      </c>
      <c r="R43" s="1574" t="s">
        <v>8</v>
      </c>
      <c r="S43" s="1575">
        <f t="shared" si="12"/>
        <v>100</v>
      </c>
      <c r="T43" s="1574" t="s">
        <v>8</v>
      </c>
      <c r="U43" s="1575">
        <f t="shared" si="13"/>
        <v>100</v>
      </c>
      <c r="V43" s="1574" t="s">
        <v>8</v>
      </c>
      <c r="W43" s="1575">
        <f t="shared" si="14"/>
        <v>100</v>
      </c>
      <c r="X43" s="1568"/>
      <c r="Y43" s="347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73"/>
      <c r="Q44" s="1151">
        <f t="shared" si="11"/>
        <v>111</v>
      </c>
      <c r="R44" s="1569" t="s">
        <v>8</v>
      </c>
      <c r="S44" s="1570">
        <f t="shared" si="12"/>
        <v>100</v>
      </c>
      <c r="T44" s="1569" t="s">
        <v>8</v>
      </c>
      <c r="U44" s="1570">
        <f t="shared" si="13"/>
        <v>100</v>
      </c>
      <c r="V44" s="1569" t="s">
        <v>8</v>
      </c>
      <c r="W44" s="1570">
        <f t="shared" si="14"/>
        <v>100</v>
      </c>
      <c r="X44" s="1571"/>
      <c r="Y44" s="347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73"/>
      <c r="Q45" s="1573">
        <f t="shared" si="11"/>
        <v>111</v>
      </c>
      <c r="R45" s="1574" t="s">
        <v>8</v>
      </c>
      <c r="S45" s="1575">
        <f t="shared" si="12"/>
        <v>100</v>
      </c>
      <c r="T45" s="1574" t="s">
        <v>8</v>
      </c>
      <c r="U45" s="1575">
        <f t="shared" si="13"/>
        <v>100</v>
      </c>
      <c r="V45" s="1574" t="s">
        <v>8</v>
      </c>
      <c r="W45" s="1575">
        <f t="shared" si="14"/>
        <v>100</v>
      </c>
      <c r="X45" s="1568"/>
      <c r="Y45" s="347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82"/>
      <c r="Q46" s="1573">
        <f t="shared" si="11"/>
        <v>111</v>
      </c>
      <c r="R46" s="1574" t="s">
        <v>8</v>
      </c>
      <c r="S46" s="1575">
        <f t="shared" si="12"/>
        <v>100</v>
      </c>
      <c r="T46" s="1574" t="s">
        <v>8</v>
      </c>
      <c r="U46" s="1575">
        <f t="shared" si="13"/>
        <v>100</v>
      </c>
      <c r="V46" s="1574" t="s">
        <v>8</v>
      </c>
      <c r="W46" s="1575">
        <f t="shared" si="14"/>
        <v>100</v>
      </c>
      <c r="X46" s="1568"/>
      <c r="Y46" s="3582"/>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468" t="str">
        <f>A47</f>
        <v>成交单价（元/平方米）</v>
      </c>
      <c r="Q47" s="3468"/>
      <c r="R47" s="3581">
        <f>E47</f>
        <v>0</v>
      </c>
      <c r="S47" s="3581"/>
      <c r="T47" s="3581">
        <f>G47</f>
        <v>0</v>
      </c>
      <c r="U47" s="3581"/>
      <c r="V47" s="3581">
        <f>I47</f>
        <v>0</v>
      </c>
      <c r="W47" s="3581"/>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13"/>
      <c r="L48" s="2146"/>
      <c r="M48" s="2147"/>
      <c r="N48" s="2136"/>
      <c r="O48" s="2147"/>
      <c r="P48" s="3468" t="str">
        <f>A48</f>
        <v>比较价格（元/平方米）</v>
      </c>
      <c r="Q48" s="3468"/>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560"/>
      <c r="Y48" s="1560"/>
      <c r="Z48" s="1560"/>
      <c r="AA48" s="1560"/>
      <c r="AB48" s="1560"/>
      <c r="AC48" s="1560"/>
    </row>
    <row r="49" spans="1:29" ht="15.75" thickBot="1">
      <c r="A49" s="621" t="s">
        <v>2939</v>
      </c>
      <c r="B49" s="622"/>
      <c r="C49" s="2638" t="e">
        <f>R49</f>
        <v>#DIV/0!</v>
      </c>
      <c r="D49" s="2638"/>
      <c r="E49" s="2638"/>
      <c r="F49" s="2638"/>
      <c r="G49" s="2638"/>
      <c r="H49" s="2638"/>
      <c r="I49" s="2638"/>
      <c r="J49" s="2638"/>
      <c r="K49" s="1614"/>
      <c r="L49" s="2146"/>
      <c r="M49" s="2147"/>
      <c r="N49" s="2136"/>
      <c r="O49" s="2147"/>
      <c r="P49" s="3489" t="str">
        <f>A49</f>
        <v>估价对象XX用房的比较价格（楼面单价，元/平方米）</v>
      </c>
      <c r="Q49" s="3490"/>
      <c r="R49" s="3580" t="e">
        <f>IF(F1="售价",ROUND(AVERAGE(R48:V48),0),ROUND(AVERAGE(R48:V48),1))</f>
        <v>#DIV/0!</v>
      </c>
      <c r="S49" s="3580"/>
      <c r="T49" s="3580"/>
      <c r="U49" s="3580"/>
      <c r="V49" s="3580"/>
      <c r="W49" s="358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74" t="s">
        <v>522</v>
      </c>
      <c r="D4" s="3475"/>
      <c r="E4" s="3498" t="s">
        <v>523</v>
      </c>
      <c r="F4" s="3499"/>
      <c r="G4" s="3474" t="s">
        <v>524</v>
      </c>
      <c r="H4" s="3475"/>
      <c r="I4" s="3474" t="s">
        <v>525</v>
      </c>
      <c r="J4" s="3475"/>
      <c r="K4" s="514" t="s">
        <v>526</v>
      </c>
      <c r="L4" s="2135"/>
      <c r="M4" s="2136"/>
      <c r="N4" s="2136"/>
      <c r="O4" s="2136"/>
      <c r="P4" s="3583" t="s">
        <v>527</v>
      </c>
      <c r="Q4" s="3477"/>
      <c r="R4" s="3462" t="s">
        <v>523</v>
      </c>
      <c r="S4" s="3463"/>
      <c r="T4" s="3462" t="s">
        <v>524</v>
      </c>
      <c r="U4" s="3463"/>
      <c r="V4" s="3482" t="s">
        <v>525</v>
      </c>
      <c r="W4" s="3482"/>
      <c r="X4" s="1568"/>
      <c r="Y4" s="3462" t="s">
        <v>527</v>
      </c>
      <c r="Z4" s="3463"/>
      <c r="AA4" s="3457" t="s">
        <v>523</v>
      </c>
      <c r="AB4" s="3457" t="s">
        <v>524</v>
      </c>
      <c r="AC4" s="3457" t="s">
        <v>525</v>
      </c>
    </row>
    <row r="5" spans="1:29" ht="15">
      <c r="A5" s="515"/>
      <c r="B5" s="516"/>
      <c r="C5" s="3485" t="s">
        <v>2933</v>
      </c>
      <c r="D5" s="3486"/>
      <c r="E5" s="3500" t="s">
        <v>2934</v>
      </c>
      <c r="F5" s="3501"/>
      <c r="G5" s="3485" t="s">
        <v>2935</v>
      </c>
      <c r="H5" s="3486"/>
      <c r="I5" s="3485" t="s">
        <v>2936</v>
      </c>
      <c r="J5" s="3486"/>
      <c r="K5" s="514"/>
      <c r="L5" s="2135"/>
      <c r="M5" s="2136"/>
      <c r="N5" s="2136"/>
      <c r="O5" s="2136"/>
      <c r="P5" s="3584"/>
      <c r="Q5" s="3479"/>
      <c r="R5" s="3464"/>
      <c r="S5" s="3465"/>
      <c r="T5" s="3464"/>
      <c r="U5" s="3465"/>
      <c r="V5" s="3482"/>
      <c r="W5" s="3482"/>
      <c r="X5" s="1568"/>
      <c r="Y5" s="3464"/>
      <c r="Z5" s="3465"/>
      <c r="AA5" s="3458"/>
      <c r="AB5" s="3458"/>
      <c r="AC5" s="3458"/>
    </row>
    <row r="6" spans="1:29" ht="15.75" thickBot="1">
      <c r="A6" s="517"/>
      <c r="B6" s="518"/>
      <c r="C6" s="3483" t="s">
        <v>2937</v>
      </c>
      <c r="D6" s="3484"/>
      <c r="E6" s="3502" t="s">
        <v>2937</v>
      </c>
      <c r="F6" s="3503"/>
      <c r="G6" s="3483" t="s">
        <v>2937</v>
      </c>
      <c r="H6" s="3484"/>
      <c r="I6" s="3483" t="s">
        <v>2937</v>
      </c>
      <c r="J6" s="3484"/>
      <c r="K6" s="514" t="s">
        <v>528</v>
      </c>
      <c r="L6" s="2135"/>
      <c r="M6" s="2136"/>
      <c r="N6" s="2136"/>
      <c r="O6" s="2136"/>
      <c r="P6" s="3585"/>
      <c r="Q6" s="3481"/>
      <c r="R6" s="3464"/>
      <c r="S6" s="3465"/>
      <c r="T6" s="3466"/>
      <c r="U6" s="3467"/>
      <c r="V6" s="3482"/>
      <c r="W6" s="3482"/>
      <c r="X6" s="1568"/>
      <c r="Y6" s="3466"/>
      <c r="Z6" s="3467"/>
      <c r="AA6" s="3459"/>
      <c r="AB6" s="3459"/>
      <c r="AC6" s="3459"/>
    </row>
    <row r="7" spans="1:29" s="1220" customFormat="1" ht="15.75" thickBot="1">
      <c r="A7" s="2914"/>
      <c r="B7" s="2921" t="s">
        <v>529</v>
      </c>
      <c r="C7" s="519">
        <f>'数据-取费表'!B2</f>
        <v>43410</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69" t="s">
        <v>530</v>
      </c>
      <c r="Q7" s="3469"/>
      <c r="R7" s="1569" t="s">
        <v>8</v>
      </c>
      <c r="S7" s="1570">
        <f t="shared" ref="S7:S15" si="0">F7</f>
        <v>0</v>
      </c>
      <c r="T7" s="1569" t="s">
        <v>8</v>
      </c>
      <c r="U7" s="1570">
        <f t="shared" ref="U7:U15" si="1">H7</f>
        <v>0</v>
      </c>
      <c r="V7" s="1569" t="s">
        <v>8</v>
      </c>
      <c r="W7" s="1570">
        <f t="shared" ref="W7:W15" si="2">J7</f>
        <v>0</v>
      </c>
      <c r="X7" s="1571"/>
      <c r="Y7" s="3460" t="s">
        <v>530</v>
      </c>
      <c r="Z7" s="3461"/>
      <c r="AA7" s="1572" t="e">
        <f>D7/F7</f>
        <v>#DIV/0!</v>
      </c>
      <c r="AB7" s="1572" t="e">
        <f>D7/H7</f>
        <v>#DIV/0!</v>
      </c>
      <c r="AC7" s="1572" t="e">
        <f>D7/J7</f>
        <v>#DIV/0!</v>
      </c>
    </row>
    <row r="8" spans="1:29" s="1220" customFormat="1" ht="15.75" thickBot="1">
      <c r="A8" s="2915"/>
      <c r="B8" s="2922"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69" t="s">
        <v>533</v>
      </c>
      <c r="Q8" s="3461"/>
      <c r="R8" s="1569" t="s">
        <v>8</v>
      </c>
      <c r="S8" s="1570">
        <f t="shared" si="0"/>
        <v>0</v>
      </c>
      <c r="T8" s="1569" t="s">
        <v>8</v>
      </c>
      <c r="U8" s="1570">
        <f t="shared" si="1"/>
        <v>0</v>
      </c>
      <c r="V8" s="1569" t="s">
        <v>8</v>
      </c>
      <c r="W8" s="1570">
        <f t="shared" si="2"/>
        <v>0</v>
      </c>
      <c r="X8" s="1571"/>
      <c r="Y8" s="3460" t="s">
        <v>533</v>
      </c>
      <c r="Z8" s="3461"/>
      <c r="AA8" s="1572" t="e">
        <f t="shared" ref="AA8:AA47" si="3">D8/F8</f>
        <v>#DIV/0!</v>
      </c>
      <c r="AB8" s="1572" t="e">
        <f t="shared" ref="AB8:AB47" si="4">D8/H8</f>
        <v>#DIV/0!</v>
      </c>
      <c r="AC8" s="1572" t="e">
        <f t="shared" ref="AC8:AC47" si="5">D8/J8</f>
        <v>#DIV/0!</v>
      </c>
    </row>
    <row r="9" spans="1:29" s="1220" customFormat="1" ht="15">
      <c r="A9" s="2916"/>
      <c r="B9" s="2923"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68" t="s">
        <v>535</v>
      </c>
      <c r="Q9" s="1151" t="str">
        <f t="shared" ref="Q9:Q15" si="6">B9</f>
        <v>用途</v>
      </c>
      <c r="R9" s="1569" t="s">
        <v>8</v>
      </c>
      <c r="S9" s="1570">
        <f t="shared" si="0"/>
        <v>100</v>
      </c>
      <c r="T9" s="1569" t="s">
        <v>8</v>
      </c>
      <c r="U9" s="1570">
        <f t="shared" si="1"/>
        <v>100</v>
      </c>
      <c r="V9" s="1569" t="s">
        <v>8</v>
      </c>
      <c r="W9" s="1570">
        <f t="shared" si="2"/>
        <v>100</v>
      </c>
      <c r="X9" s="1571"/>
      <c r="Y9" s="3425"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68"/>
      <c r="Q10" s="1151" t="str">
        <f t="shared" si="6"/>
        <v>土地使用年限（年）</v>
      </c>
      <c r="R10" s="1569" t="s">
        <v>8</v>
      </c>
      <c r="S10" s="1570">
        <f t="shared" si="0"/>
        <v>100</v>
      </c>
      <c r="T10" s="1569" t="s">
        <v>8</v>
      </c>
      <c r="U10" s="1570">
        <f t="shared" si="1"/>
        <v>100</v>
      </c>
      <c r="V10" s="1569" t="s">
        <v>8</v>
      </c>
      <c r="W10" s="1570">
        <f t="shared" si="2"/>
        <v>100</v>
      </c>
      <c r="X10" s="1571"/>
      <c r="Y10" s="3425"/>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68"/>
      <c r="Q11" s="1151" t="str">
        <f t="shared" si="6"/>
        <v>容积率</v>
      </c>
      <c r="R11" s="1569" t="s">
        <v>8</v>
      </c>
      <c r="S11" s="1570" t="e">
        <f t="shared" si="0"/>
        <v>#N/A</v>
      </c>
      <c r="T11" s="1569" t="s">
        <v>8</v>
      </c>
      <c r="U11" s="1570" t="e">
        <f t="shared" si="1"/>
        <v>#N/A</v>
      </c>
      <c r="V11" s="1569" t="s">
        <v>8</v>
      </c>
      <c r="W11" s="1570" t="e">
        <f t="shared" si="2"/>
        <v>#N/A</v>
      </c>
      <c r="X11" s="1571"/>
      <c r="Y11" s="3425"/>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68"/>
      <c r="Q12" s="1151">
        <f t="shared" si="6"/>
        <v>111</v>
      </c>
      <c r="R12" s="1569" t="s">
        <v>8</v>
      </c>
      <c r="S12" s="1570">
        <f t="shared" si="0"/>
        <v>100</v>
      </c>
      <c r="T12" s="1569" t="s">
        <v>8</v>
      </c>
      <c r="U12" s="1570">
        <f t="shared" si="1"/>
        <v>100</v>
      </c>
      <c r="V12" s="1569" t="s">
        <v>8</v>
      </c>
      <c r="W12" s="1570">
        <f t="shared" si="2"/>
        <v>100</v>
      </c>
      <c r="X12" s="1571"/>
      <c r="Y12" s="3425"/>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68"/>
      <c r="Q13" s="1151">
        <f t="shared" si="6"/>
        <v>111</v>
      </c>
      <c r="R13" s="1569" t="s">
        <v>8</v>
      </c>
      <c r="S13" s="1570">
        <f t="shared" si="0"/>
        <v>100</v>
      </c>
      <c r="T13" s="1569" t="s">
        <v>8</v>
      </c>
      <c r="U13" s="1570">
        <f t="shared" si="1"/>
        <v>100</v>
      </c>
      <c r="V13" s="1569" t="s">
        <v>8</v>
      </c>
      <c r="W13" s="1570">
        <f t="shared" si="2"/>
        <v>100</v>
      </c>
      <c r="X13" s="1571"/>
      <c r="Y13" s="3425"/>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68"/>
      <c r="Q14" s="1151">
        <f t="shared" si="6"/>
        <v>111</v>
      </c>
      <c r="R14" s="1569" t="s">
        <v>8</v>
      </c>
      <c r="S14" s="1570">
        <f t="shared" si="0"/>
        <v>100</v>
      </c>
      <c r="T14" s="1569" t="s">
        <v>8</v>
      </c>
      <c r="U14" s="1570">
        <f t="shared" si="1"/>
        <v>100</v>
      </c>
      <c r="V14" s="1569" t="s">
        <v>8</v>
      </c>
      <c r="W14" s="1570">
        <f t="shared" si="2"/>
        <v>100</v>
      </c>
      <c r="X14" s="1571"/>
      <c r="Y14" s="3425"/>
      <c r="Z14" s="1150">
        <f t="shared" si="7"/>
        <v>111</v>
      </c>
      <c r="AA14" s="1572">
        <f t="shared" si="3"/>
        <v>1</v>
      </c>
      <c r="AB14" s="1572">
        <f t="shared" si="4"/>
        <v>1</v>
      </c>
      <c r="AC14" s="1572">
        <f t="shared" si="5"/>
        <v>1</v>
      </c>
    </row>
    <row r="15" spans="1:29" ht="71.25">
      <c r="A15" s="2912"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70" t="s">
        <v>540</v>
      </c>
      <c r="Q15" s="1573" t="str">
        <f t="shared" si="6"/>
        <v>办公集聚程度</v>
      </c>
      <c r="R15" s="1574" t="s">
        <v>8</v>
      </c>
      <c r="S15" s="1575">
        <f t="shared" si="0"/>
        <v>100</v>
      </c>
      <c r="T15" s="1574" t="s">
        <v>8</v>
      </c>
      <c r="U15" s="1575">
        <f t="shared" si="1"/>
        <v>100</v>
      </c>
      <c r="V15" s="1574" t="s">
        <v>8</v>
      </c>
      <c r="W15" s="1575">
        <f t="shared" si="2"/>
        <v>100</v>
      </c>
      <c r="X15" s="1568"/>
      <c r="Y15" s="3470"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71"/>
      <c r="Q16" s="1573"/>
      <c r="R16" s="1574"/>
      <c r="S16" s="1575"/>
      <c r="T16" s="1574"/>
      <c r="U16" s="1575"/>
      <c r="V16" s="1574"/>
      <c r="W16" s="1575"/>
      <c r="X16" s="1568"/>
      <c r="Y16" s="3471"/>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71"/>
      <c r="Q17" s="1573" t="str">
        <f>B17</f>
        <v>交通便捷度</v>
      </c>
      <c r="R17" s="1574" t="s">
        <v>8</v>
      </c>
      <c r="S17" s="1575">
        <f>F17</f>
        <v>100</v>
      </c>
      <c r="T17" s="1574" t="s">
        <v>8</v>
      </c>
      <c r="U17" s="1575">
        <f>H17</f>
        <v>100</v>
      </c>
      <c r="V17" s="1574" t="s">
        <v>8</v>
      </c>
      <c r="W17" s="1575">
        <f>J17</f>
        <v>100</v>
      </c>
      <c r="X17" s="1568"/>
      <c r="Y17" s="347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71"/>
      <c r="Q18" s="1573"/>
      <c r="R18" s="1574"/>
      <c r="S18" s="1575"/>
      <c r="T18" s="1574"/>
      <c r="U18" s="1575"/>
      <c r="V18" s="1574"/>
      <c r="W18" s="1575"/>
      <c r="X18" s="1568"/>
      <c r="Y18" s="3471"/>
      <c r="Z18" s="1576"/>
      <c r="AA18" s="1577">
        <v>1</v>
      </c>
      <c r="AB18" s="1577">
        <v>1</v>
      </c>
      <c r="AC18" s="1577">
        <v>1</v>
      </c>
    </row>
    <row r="19" spans="1:29" ht="42.75">
      <c r="A19" s="532"/>
      <c r="B19" s="2605"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71"/>
      <c r="Q19" s="1573" t="str">
        <f>B19</f>
        <v>公共配套设施</v>
      </c>
      <c r="R19" s="1574" t="s">
        <v>8</v>
      </c>
      <c r="S19" s="1575">
        <f>F19</f>
        <v>100</v>
      </c>
      <c r="T19" s="1574" t="s">
        <v>8</v>
      </c>
      <c r="U19" s="1575">
        <f>H19</f>
        <v>100</v>
      </c>
      <c r="V19" s="1574" t="s">
        <v>8</v>
      </c>
      <c r="W19" s="1575">
        <f>J19</f>
        <v>100</v>
      </c>
      <c r="X19" s="1568"/>
      <c r="Y19" s="347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71"/>
      <c r="Q20" s="1573"/>
      <c r="R20" s="1574"/>
      <c r="S20" s="1575"/>
      <c r="T20" s="1574"/>
      <c r="U20" s="1575"/>
      <c r="V20" s="1574"/>
      <c r="W20" s="1575"/>
      <c r="X20" s="1568"/>
      <c r="Y20" s="3471"/>
      <c r="Z20" s="1576"/>
      <c r="AA20" s="1577">
        <v>1</v>
      </c>
      <c r="AB20" s="1577">
        <v>1</v>
      </c>
      <c r="AC20" s="1577">
        <v>1</v>
      </c>
    </row>
    <row r="21" spans="1:29" ht="28.5">
      <c r="A21" s="532"/>
      <c r="B21" s="2593"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71"/>
      <c r="Q21" s="2581" t="str">
        <f>B21</f>
        <v>基础设施水平</v>
      </c>
      <c r="R21" s="1574" t="s">
        <v>8</v>
      </c>
      <c r="S21" s="1575">
        <f>F21</f>
        <v>100</v>
      </c>
      <c r="T21" s="1574" t="s">
        <v>8</v>
      </c>
      <c r="U21" s="1575">
        <f>H21</f>
        <v>100</v>
      </c>
      <c r="V21" s="1574" t="s">
        <v>8</v>
      </c>
      <c r="W21" s="1575">
        <f>J21</f>
        <v>100</v>
      </c>
      <c r="X21" s="2583"/>
      <c r="Y21" s="3471"/>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71"/>
      <c r="Q22" s="2581"/>
      <c r="R22" s="1574"/>
      <c r="S22" s="1575"/>
      <c r="T22" s="1574"/>
      <c r="U22" s="1575"/>
      <c r="V22" s="1574"/>
      <c r="W22" s="1575"/>
      <c r="X22" s="2583"/>
      <c r="Y22" s="3471"/>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71"/>
      <c r="Q23" s="1573" t="str">
        <f>B23</f>
        <v>环境质量</v>
      </c>
      <c r="R23" s="1574" t="s">
        <v>8</v>
      </c>
      <c r="S23" s="1575">
        <f>F23</f>
        <v>100</v>
      </c>
      <c r="T23" s="1574" t="s">
        <v>8</v>
      </c>
      <c r="U23" s="1575">
        <f>H23</f>
        <v>100</v>
      </c>
      <c r="V23" s="1574" t="s">
        <v>8</v>
      </c>
      <c r="W23" s="1575">
        <f>J23</f>
        <v>100</v>
      </c>
      <c r="X23" s="1568"/>
      <c r="Y23" s="347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71"/>
      <c r="Q24" s="1573"/>
      <c r="R24" s="1574"/>
      <c r="S24" s="1575"/>
      <c r="T24" s="1574"/>
      <c r="U24" s="1575"/>
      <c r="V24" s="1574"/>
      <c r="W24" s="1575"/>
      <c r="X24" s="1568"/>
      <c r="Y24" s="3471"/>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71"/>
      <c r="Q25" s="1573" t="str">
        <f>B25</f>
        <v>毗邻道路的类型与等级</v>
      </c>
      <c r="R25" s="1574" t="s">
        <v>8</v>
      </c>
      <c r="S25" s="1575">
        <f>F25</f>
        <v>100</v>
      </c>
      <c r="T25" s="1574" t="s">
        <v>8</v>
      </c>
      <c r="U25" s="1575">
        <f>H25</f>
        <v>100</v>
      </c>
      <c r="V25" s="1574" t="s">
        <v>8</v>
      </c>
      <c r="W25" s="1575">
        <f>J25</f>
        <v>100</v>
      </c>
      <c r="X25" s="1568"/>
      <c r="Y25" s="347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71"/>
      <c r="Q26" s="1573"/>
      <c r="R26" s="1574"/>
      <c r="S26" s="1575"/>
      <c r="T26" s="1574"/>
      <c r="U26" s="1575"/>
      <c r="V26" s="1574"/>
      <c r="W26" s="1575"/>
      <c r="X26" s="1568"/>
      <c r="Y26" s="347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71"/>
      <c r="Q27" s="1573" t="str">
        <f t="shared" ref="Q27:Q47" si="11">B27</f>
        <v>楼层</v>
      </c>
      <c r="R27" s="1574" t="s">
        <v>8</v>
      </c>
      <c r="S27" s="1575">
        <f>F27</f>
        <v>100</v>
      </c>
      <c r="T27" s="1574" t="s">
        <v>8</v>
      </c>
      <c r="U27" s="1575">
        <f>H27</f>
        <v>100</v>
      </c>
      <c r="V27" s="1574" t="s">
        <v>8</v>
      </c>
      <c r="W27" s="1575">
        <f>J27</f>
        <v>100</v>
      </c>
      <c r="X27" s="1568"/>
      <c r="Y27" s="347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71"/>
      <c r="Q28" s="1151" t="str">
        <f t="shared" si="11"/>
        <v>朝向</v>
      </c>
      <c r="R28" s="1569" t="s">
        <v>8</v>
      </c>
      <c r="S28" s="1570">
        <f>F28</f>
        <v>100</v>
      </c>
      <c r="T28" s="1569" t="s">
        <v>8</v>
      </c>
      <c r="U28" s="1570">
        <f>H28</f>
        <v>100</v>
      </c>
      <c r="V28" s="1569" t="s">
        <v>8</v>
      </c>
      <c r="W28" s="1570">
        <f>J28</f>
        <v>100</v>
      </c>
      <c r="X28" s="1571"/>
      <c r="Y28" s="347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71"/>
      <c r="Q29" s="1573">
        <f t="shared" si="11"/>
        <v>111</v>
      </c>
      <c r="R29" s="1574" t="s">
        <v>8</v>
      </c>
      <c r="S29" s="1575">
        <f t="shared" ref="S29:S47" si="12">F29</f>
        <v>100</v>
      </c>
      <c r="T29" s="1574" t="s">
        <v>8</v>
      </c>
      <c r="U29" s="1575">
        <f t="shared" ref="U29:U47" si="13">H29</f>
        <v>100</v>
      </c>
      <c r="V29" s="1574" t="s">
        <v>8</v>
      </c>
      <c r="W29" s="1575">
        <f t="shared" ref="W29:W47" si="14">J29</f>
        <v>100</v>
      </c>
      <c r="X29" s="1568"/>
      <c r="Y29" s="347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71"/>
      <c r="Q30" s="1573">
        <f t="shared" si="11"/>
        <v>111</v>
      </c>
      <c r="R30" s="1574" t="s">
        <v>8</v>
      </c>
      <c r="S30" s="1575">
        <f t="shared" si="12"/>
        <v>100</v>
      </c>
      <c r="T30" s="1574" t="s">
        <v>8</v>
      </c>
      <c r="U30" s="1575">
        <f t="shared" si="13"/>
        <v>100</v>
      </c>
      <c r="V30" s="1574" t="s">
        <v>8</v>
      </c>
      <c r="W30" s="1575">
        <f t="shared" si="14"/>
        <v>100</v>
      </c>
      <c r="X30" s="1568"/>
      <c r="Y30" s="347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71"/>
      <c r="Q31" s="1573">
        <f t="shared" si="11"/>
        <v>111</v>
      </c>
      <c r="R31" s="1574" t="s">
        <v>8</v>
      </c>
      <c r="S31" s="1575">
        <f t="shared" si="12"/>
        <v>100</v>
      </c>
      <c r="T31" s="1574" t="s">
        <v>8</v>
      </c>
      <c r="U31" s="1575">
        <f t="shared" si="13"/>
        <v>100</v>
      </c>
      <c r="V31" s="1574" t="s">
        <v>8</v>
      </c>
      <c r="W31" s="1575">
        <f t="shared" si="14"/>
        <v>100</v>
      </c>
      <c r="X31" s="1568"/>
      <c r="Y31" s="347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71"/>
      <c r="Q32" s="1573">
        <f t="shared" si="11"/>
        <v>111</v>
      </c>
      <c r="R32" s="1574" t="s">
        <v>8</v>
      </c>
      <c r="S32" s="1575">
        <f t="shared" si="12"/>
        <v>100</v>
      </c>
      <c r="T32" s="1574" t="s">
        <v>8</v>
      </c>
      <c r="U32" s="1575">
        <f t="shared" si="13"/>
        <v>100</v>
      </c>
      <c r="V32" s="1574" t="s">
        <v>8</v>
      </c>
      <c r="W32" s="1575">
        <f t="shared" si="14"/>
        <v>100</v>
      </c>
      <c r="X32" s="1568"/>
      <c r="Y32" s="3471"/>
      <c r="Z32" s="1576">
        <f t="shared" si="15"/>
        <v>111</v>
      </c>
      <c r="AA32" s="1577">
        <f t="shared" si="3"/>
        <v>1</v>
      </c>
      <c r="AB32" s="1577">
        <f t="shared" si="4"/>
        <v>1</v>
      </c>
      <c r="AC32" s="1577">
        <f t="shared" si="5"/>
        <v>1</v>
      </c>
    </row>
    <row r="33" spans="1:29" ht="15">
      <c r="A33" s="2909"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72" t="s">
        <v>550</v>
      </c>
      <c r="Q33" s="1573" t="str">
        <f t="shared" si="11"/>
        <v>建筑类型</v>
      </c>
      <c r="R33" s="1574" t="s">
        <v>8</v>
      </c>
      <c r="S33" s="1575">
        <f t="shared" si="12"/>
        <v>100</v>
      </c>
      <c r="T33" s="1574" t="s">
        <v>8</v>
      </c>
      <c r="U33" s="1575">
        <f t="shared" si="13"/>
        <v>100</v>
      </c>
      <c r="V33" s="1574" t="s">
        <v>8</v>
      </c>
      <c r="W33" s="1575">
        <f t="shared" si="14"/>
        <v>100</v>
      </c>
      <c r="X33" s="1568"/>
      <c r="Y33" s="3473"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73"/>
      <c r="Q34" s="1606" t="str">
        <f t="shared" si="11"/>
        <v>项目建筑规模</v>
      </c>
      <c r="R34" s="1578" t="s">
        <v>8</v>
      </c>
      <c r="S34" s="1579" t="e">
        <f t="shared" si="12"/>
        <v>#N/A</v>
      </c>
      <c r="T34" s="1578" t="s">
        <v>8</v>
      </c>
      <c r="U34" s="1579" t="e">
        <f t="shared" si="13"/>
        <v>#N/A</v>
      </c>
      <c r="V34" s="1578" t="s">
        <v>8</v>
      </c>
      <c r="W34" s="1579" t="e">
        <f t="shared" si="14"/>
        <v>#N/A</v>
      </c>
      <c r="X34" s="1580"/>
      <c r="Y34" s="3473"/>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73"/>
      <c r="Q35" s="1573" t="str">
        <f t="shared" si="11"/>
        <v>建筑结构</v>
      </c>
      <c r="R35" s="1574" t="s">
        <v>8</v>
      </c>
      <c r="S35" s="1575">
        <f t="shared" si="12"/>
        <v>100</v>
      </c>
      <c r="T35" s="1574" t="s">
        <v>8</v>
      </c>
      <c r="U35" s="1575">
        <f t="shared" si="13"/>
        <v>100</v>
      </c>
      <c r="V35" s="1574" t="s">
        <v>8</v>
      </c>
      <c r="W35" s="1575">
        <f t="shared" si="14"/>
        <v>100</v>
      </c>
      <c r="X35" s="1568"/>
      <c r="Y35" s="3473"/>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73"/>
      <c r="Q36" s="1573" t="str">
        <f t="shared" si="11"/>
        <v>公共部分装修</v>
      </c>
      <c r="R36" s="1574" t="s">
        <v>8</v>
      </c>
      <c r="S36" s="1575">
        <f t="shared" si="12"/>
        <v>100</v>
      </c>
      <c r="T36" s="1574" t="s">
        <v>8</v>
      </c>
      <c r="U36" s="1575">
        <f t="shared" si="13"/>
        <v>100</v>
      </c>
      <c r="V36" s="1574" t="s">
        <v>8</v>
      </c>
      <c r="W36" s="1575">
        <f t="shared" si="14"/>
        <v>100</v>
      </c>
      <c r="X36" s="1568"/>
      <c r="Y36" s="3473"/>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73"/>
      <c r="Q37" s="1573" t="str">
        <f t="shared" si="11"/>
        <v>成新度</v>
      </c>
      <c r="R37" s="1574" t="s">
        <v>8</v>
      </c>
      <c r="S37" s="1575" t="e">
        <f t="shared" si="12"/>
        <v>#N/A</v>
      </c>
      <c r="T37" s="1574" t="s">
        <v>8</v>
      </c>
      <c r="U37" s="1575" t="e">
        <f t="shared" si="13"/>
        <v>#N/A</v>
      </c>
      <c r="V37" s="1574" t="s">
        <v>8</v>
      </c>
      <c r="W37" s="1575" t="e">
        <f t="shared" si="14"/>
        <v>#N/A</v>
      </c>
      <c r="X37" s="1568"/>
      <c r="Y37" s="3473"/>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73"/>
      <c r="Q38" s="1151" t="str">
        <f t="shared" si="11"/>
        <v>写字楼等级</v>
      </c>
      <c r="R38" s="1569" t="s">
        <v>8</v>
      </c>
      <c r="S38" s="1570">
        <f t="shared" si="12"/>
        <v>100</v>
      </c>
      <c r="T38" s="1569" t="s">
        <v>8</v>
      </c>
      <c r="U38" s="1570">
        <f t="shared" si="13"/>
        <v>100</v>
      </c>
      <c r="V38" s="1569" t="s">
        <v>8</v>
      </c>
      <c r="W38" s="1570">
        <f t="shared" si="14"/>
        <v>100</v>
      </c>
      <c r="X38" s="1571"/>
      <c r="Y38" s="3473"/>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73" t="s">
        <v>550</v>
      </c>
      <c r="Q39" s="1573" t="str">
        <f t="shared" si="11"/>
        <v>物业管理</v>
      </c>
      <c r="R39" s="1574" t="s">
        <v>8</v>
      </c>
      <c r="S39" s="1575">
        <f t="shared" si="12"/>
        <v>100</v>
      </c>
      <c r="T39" s="1574" t="s">
        <v>8</v>
      </c>
      <c r="U39" s="1575">
        <f t="shared" si="13"/>
        <v>100</v>
      </c>
      <c r="V39" s="1574" t="s">
        <v>8</v>
      </c>
      <c r="W39" s="1575">
        <f t="shared" si="14"/>
        <v>100</v>
      </c>
      <c r="X39" s="1568"/>
      <c r="Y39" s="3473"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73"/>
      <c r="Q40" s="1573" t="str">
        <f t="shared" si="11"/>
        <v>市政基础设施</v>
      </c>
      <c r="R40" s="1574" t="s">
        <v>8</v>
      </c>
      <c r="S40" s="1575">
        <f t="shared" si="12"/>
        <v>100</v>
      </c>
      <c r="T40" s="1574" t="s">
        <v>8</v>
      </c>
      <c r="U40" s="1575">
        <f t="shared" si="13"/>
        <v>100</v>
      </c>
      <c r="V40" s="1574" t="s">
        <v>8</v>
      </c>
      <c r="W40" s="1575">
        <f t="shared" si="14"/>
        <v>100</v>
      </c>
      <c r="X40" s="1568"/>
      <c r="Y40" s="3473"/>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73"/>
      <c r="Q41" s="1573" t="str">
        <f t="shared" si="11"/>
        <v>层高</v>
      </c>
      <c r="R41" s="1574" t="s">
        <v>8</v>
      </c>
      <c r="S41" s="1575">
        <f t="shared" si="12"/>
        <v>100</v>
      </c>
      <c r="T41" s="1574" t="s">
        <v>8</v>
      </c>
      <c r="U41" s="1575">
        <f t="shared" si="13"/>
        <v>100</v>
      </c>
      <c r="V41" s="1574" t="s">
        <v>8</v>
      </c>
      <c r="W41" s="1575">
        <f t="shared" si="14"/>
        <v>100</v>
      </c>
      <c r="X41" s="1568"/>
      <c r="Y41" s="3473"/>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73"/>
      <c r="Q42" s="1606" t="str">
        <f t="shared" si="11"/>
        <v>单套建筑面积</v>
      </c>
      <c r="R42" s="1578" t="s">
        <v>8</v>
      </c>
      <c r="S42" s="1579">
        <f t="shared" si="12"/>
        <v>100</v>
      </c>
      <c r="T42" s="1578" t="s">
        <v>8</v>
      </c>
      <c r="U42" s="1579">
        <f t="shared" si="13"/>
        <v>100</v>
      </c>
      <c r="V42" s="1578" t="s">
        <v>8</v>
      </c>
      <c r="W42" s="1579">
        <f t="shared" si="14"/>
        <v>100</v>
      </c>
      <c r="X42" s="1580"/>
      <c r="Y42" s="3473"/>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73"/>
      <c r="Q43" s="1573" t="str">
        <f t="shared" si="11"/>
        <v>内部装修</v>
      </c>
      <c r="R43" s="1574" t="s">
        <v>8</v>
      </c>
      <c r="S43" s="1575">
        <f t="shared" si="12"/>
        <v>100</v>
      </c>
      <c r="T43" s="1574" t="s">
        <v>8</v>
      </c>
      <c r="U43" s="1575">
        <f t="shared" si="13"/>
        <v>100</v>
      </c>
      <c r="V43" s="1574" t="s">
        <v>8</v>
      </c>
      <c r="W43" s="1575">
        <f t="shared" si="14"/>
        <v>100</v>
      </c>
      <c r="X43" s="1568"/>
      <c r="Y43" s="3473"/>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73"/>
      <c r="Q44" s="1573" t="str">
        <f t="shared" si="11"/>
        <v>内部装修维护情况</v>
      </c>
      <c r="R44" s="1574" t="s">
        <v>8</v>
      </c>
      <c r="S44" s="1575">
        <f t="shared" si="12"/>
        <v>100</v>
      </c>
      <c r="T44" s="1574" t="s">
        <v>8</v>
      </c>
      <c r="U44" s="1575">
        <f t="shared" si="13"/>
        <v>100</v>
      </c>
      <c r="V44" s="1574" t="s">
        <v>8</v>
      </c>
      <c r="W44" s="1575">
        <f t="shared" si="14"/>
        <v>100</v>
      </c>
      <c r="X44" s="1568"/>
      <c r="Y44" s="347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73"/>
      <c r="Q45" s="1151">
        <f t="shared" si="11"/>
        <v>111</v>
      </c>
      <c r="R45" s="1569" t="s">
        <v>8</v>
      </c>
      <c r="S45" s="1570">
        <f t="shared" si="12"/>
        <v>100</v>
      </c>
      <c r="T45" s="1569" t="s">
        <v>8</v>
      </c>
      <c r="U45" s="1570">
        <f t="shared" si="13"/>
        <v>100</v>
      </c>
      <c r="V45" s="1569" t="s">
        <v>8</v>
      </c>
      <c r="W45" s="1570">
        <f t="shared" si="14"/>
        <v>100</v>
      </c>
      <c r="X45" s="1571"/>
      <c r="Y45" s="347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73"/>
      <c r="Q46" s="1573">
        <f t="shared" si="11"/>
        <v>111</v>
      </c>
      <c r="R46" s="1574" t="s">
        <v>8</v>
      </c>
      <c r="S46" s="1575">
        <f t="shared" si="12"/>
        <v>100</v>
      </c>
      <c r="T46" s="1574" t="s">
        <v>8</v>
      </c>
      <c r="U46" s="1575">
        <f t="shared" si="13"/>
        <v>100</v>
      </c>
      <c r="V46" s="1574" t="s">
        <v>8</v>
      </c>
      <c r="W46" s="1575">
        <f t="shared" si="14"/>
        <v>100</v>
      </c>
      <c r="X46" s="1568"/>
      <c r="Y46" s="347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82"/>
      <c r="Q47" s="1573">
        <f t="shared" si="11"/>
        <v>111</v>
      </c>
      <c r="R47" s="1574" t="s">
        <v>8</v>
      </c>
      <c r="S47" s="1575">
        <f t="shared" si="12"/>
        <v>100</v>
      </c>
      <c r="T47" s="1574" t="s">
        <v>8</v>
      </c>
      <c r="U47" s="1575">
        <f t="shared" si="13"/>
        <v>100</v>
      </c>
      <c r="V47" s="1574" t="s">
        <v>8</v>
      </c>
      <c r="W47" s="1575">
        <f t="shared" si="14"/>
        <v>100</v>
      </c>
      <c r="X47" s="1568"/>
      <c r="Y47" s="3582"/>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490" t="str">
        <f>A48</f>
        <v>成交单价（元/平方米）</v>
      </c>
      <c r="Q48" s="3468"/>
      <c r="R48" s="3581">
        <f>E48</f>
        <v>0</v>
      </c>
      <c r="S48" s="3581"/>
      <c r="T48" s="3581">
        <f>G48</f>
        <v>0</v>
      </c>
      <c r="U48" s="3581"/>
      <c r="V48" s="3581">
        <f>I48</f>
        <v>0</v>
      </c>
      <c r="W48" s="3581"/>
      <c r="X48" s="1560"/>
      <c r="Y48" s="1582"/>
      <c r="Z48" s="1560"/>
      <c r="AA48" s="1560"/>
      <c r="AB48" s="1560"/>
      <c r="AC48" s="1560"/>
    </row>
    <row r="49" spans="1:29" ht="15.75" thickBot="1">
      <c r="A49" s="615" t="s">
        <v>2763</v>
      </c>
      <c r="B49" s="888"/>
      <c r="C49" s="2635" t="e">
        <f>R50</f>
        <v>#DIV/0!</v>
      </c>
      <c r="D49" s="2636"/>
      <c r="E49" s="2637" t="e">
        <f>R49</f>
        <v>#DIV/0!</v>
      </c>
      <c r="F49" s="2637"/>
      <c r="G49" s="2635" t="e">
        <f>T49</f>
        <v>#DIV/0!</v>
      </c>
      <c r="H49" s="2636"/>
      <c r="I49" s="2637" t="e">
        <f>V49</f>
        <v>#DIV/0!</v>
      </c>
      <c r="J49" s="2636"/>
      <c r="K49" s="1613"/>
      <c r="L49" s="2146"/>
      <c r="M49" s="2136"/>
      <c r="N49" s="2136"/>
      <c r="O49" s="2136"/>
      <c r="P49" s="3490" t="str">
        <f>A49</f>
        <v>比较价格（元/平方米）</v>
      </c>
      <c r="Q49" s="3468"/>
      <c r="R49" s="3581" t="e">
        <f>IF(F1="售价",ROUND(PRODUCT(R48,AA7:AA47),0),ROUND(PRODUCT(R48,AA7:AA47),1))</f>
        <v>#DIV/0!</v>
      </c>
      <c r="S49" s="3581"/>
      <c r="T49" s="3581" t="e">
        <f>IF(F1="售价",ROUND(PRODUCT(T48,AB7:AB47),0),ROUND(PRODUCT(T48,AB7:AB47),1))</f>
        <v>#DIV/0!</v>
      </c>
      <c r="U49" s="3581"/>
      <c r="V49" s="3581" t="e">
        <f>IF(F1="售价",ROUND(PRODUCT(V48,AC7:AC47),0),ROUND(PRODUCT(V48,AC7:AC47),1))</f>
        <v>#DIV/0!</v>
      </c>
      <c r="W49" s="3581"/>
      <c r="X49" s="1560"/>
      <c r="Y49" s="1560"/>
      <c r="Z49" s="1560"/>
      <c r="AA49" s="1560"/>
      <c r="AB49" s="1560"/>
      <c r="AC49" s="1560"/>
    </row>
    <row r="50" spans="1:29" ht="15.75" thickBot="1">
      <c r="A50" s="621" t="s">
        <v>2939</v>
      </c>
      <c r="B50" s="622"/>
      <c r="C50" s="2638" t="e">
        <f>R50</f>
        <v>#DIV/0!</v>
      </c>
      <c r="D50" s="2638"/>
      <c r="E50" s="2638"/>
      <c r="F50" s="2638"/>
      <c r="G50" s="2638"/>
      <c r="H50" s="2638"/>
      <c r="I50" s="2638"/>
      <c r="J50" s="2638"/>
      <c r="K50" s="1614"/>
      <c r="L50" s="2146"/>
      <c r="M50" s="2136"/>
      <c r="N50" s="2136"/>
      <c r="O50" s="2136"/>
      <c r="P50" s="3586" t="str">
        <f>A50</f>
        <v>估价对象XX用房的比较价格（楼面单价，元/平方米）</v>
      </c>
      <c r="Q50" s="3490"/>
      <c r="R50" s="3580" t="e">
        <f>IF(F1="售价",ROUND(AVERAGE(R49:V49),0),ROUND(AVERAGE(R49:V49),1))</f>
        <v>#DIV/0!</v>
      </c>
      <c r="S50" s="3580"/>
      <c r="T50" s="3580"/>
      <c r="U50" s="3580"/>
      <c r="V50" s="3580"/>
      <c r="W50" s="3580"/>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2018-11</v>
      </c>
      <c r="D59" s="2806">
        <f>EDATE(C59,-1)</f>
        <v>43374</v>
      </c>
      <c r="E59" s="2806">
        <f t="shared" ref="E59:O59" si="16">EDATE(D59,-1)</f>
        <v>43344</v>
      </c>
      <c r="F59" s="2806">
        <f t="shared" si="16"/>
        <v>43313</v>
      </c>
      <c r="G59" s="2806">
        <f t="shared" si="16"/>
        <v>43282</v>
      </c>
      <c r="H59" s="2806">
        <f t="shared" si="16"/>
        <v>43252</v>
      </c>
      <c r="I59" s="2806">
        <f t="shared" si="16"/>
        <v>43221</v>
      </c>
      <c r="J59" s="2806">
        <f t="shared" si="16"/>
        <v>43191</v>
      </c>
      <c r="K59" s="2806">
        <f t="shared" si="16"/>
        <v>43160</v>
      </c>
      <c r="L59" s="2806">
        <f t="shared" si="16"/>
        <v>43132</v>
      </c>
      <c r="M59" s="2806">
        <f t="shared" si="16"/>
        <v>43101</v>
      </c>
      <c r="N59" s="2806">
        <f t="shared" si="16"/>
        <v>43070</v>
      </c>
      <c r="O59" s="2806">
        <f t="shared" si="16"/>
        <v>43040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74" t="s">
        <v>522</v>
      </c>
      <c r="D4" s="3475"/>
      <c r="E4" s="3498" t="s">
        <v>523</v>
      </c>
      <c r="F4" s="3499"/>
      <c r="G4" s="3474" t="s">
        <v>524</v>
      </c>
      <c r="H4" s="3475"/>
      <c r="I4" s="3474" t="s">
        <v>525</v>
      </c>
      <c r="J4" s="3475"/>
      <c r="K4" s="514" t="s">
        <v>526</v>
      </c>
      <c r="L4" s="2135"/>
      <c r="M4" s="2136"/>
      <c r="N4" s="2136"/>
      <c r="O4" s="2136"/>
      <c r="P4" s="3476" t="s">
        <v>527</v>
      </c>
      <c r="Q4" s="3477"/>
      <c r="R4" s="3462" t="s">
        <v>523</v>
      </c>
      <c r="S4" s="3463"/>
      <c r="T4" s="3462" t="s">
        <v>524</v>
      </c>
      <c r="U4" s="3463"/>
      <c r="V4" s="3482" t="s">
        <v>525</v>
      </c>
      <c r="W4" s="3482"/>
      <c r="X4" s="1568"/>
      <c r="Y4" s="3462" t="s">
        <v>527</v>
      </c>
      <c r="Z4" s="3463"/>
      <c r="AA4" s="3457" t="s">
        <v>523</v>
      </c>
      <c r="AB4" s="3458" t="s">
        <v>524</v>
      </c>
      <c r="AC4" s="3457" t="s">
        <v>525</v>
      </c>
    </row>
    <row r="5" spans="1:29" ht="15">
      <c r="A5" s="515"/>
      <c r="B5" s="516"/>
      <c r="C5" s="3485" t="s">
        <v>2933</v>
      </c>
      <c r="D5" s="3486"/>
      <c r="E5" s="3500" t="s">
        <v>2934</v>
      </c>
      <c r="F5" s="3501"/>
      <c r="G5" s="3485" t="s">
        <v>2935</v>
      </c>
      <c r="H5" s="3486"/>
      <c r="I5" s="3485" t="s">
        <v>2936</v>
      </c>
      <c r="J5" s="3486"/>
      <c r="K5" s="514"/>
      <c r="L5" s="2135"/>
      <c r="M5" s="2136"/>
      <c r="N5" s="2136"/>
      <c r="O5" s="2136"/>
      <c r="P5" s="3478"/>
      <c r="Q5" s="3479"/>
      <c r="R5" s="3464"/>
      <c r="S5" s="3465"/>
      <c r="T5" s="3464"/>
      <c r="U5" s="3465"/>
      <c r="V5" s="3482"/>
      <c r="W5" s="3482"/>
      <c r="X5" s="1568"/>
      <c r="Y5" s="3464"/>
      <c r="Z5" s="3465"/>
      <c r="AA5" s="3458"/>
      <c r="AB5" s="3458"/>
      <c r="AC5" s="3458"/>
    </row>
    <row r="6" spans="1:29" ht="15.75" thickBot="1">
      <c r="A6" s="517"/>
      <c r="B6" s="518"/>
      <c r="C6" s="3483" t="s">
        <v>2937</v>
      </c>
      <c r="D6" s="3484"/>
      <c r="E6" s="3502" t="s">
        <v>2937</v>
      </c>
      <c r="F6" s="3503"/>
      <c r="G6" s="3483" t="s">
        <v>2937</v>
      </c>
      <c r="H6" s="3484"/>
      <c r="I6" s="3483" t="s">
        <v>2937</v>
      </c>
      <c r="J6" s="3484"/>
      <c r="K6" s="514" t="s">
        <v>528</v>
      </c>
      <c r="L6" s="2135"/>
      <c r="M6" s="2136"/>
      <c r="N6" s="2136"/>
      <c r="O6" s="2136"/>
      <c r="P6" s="3480"/>
      <c r="Q6" s="3481"/>
      <c r="R6" s="3464"/>
      <c r="S6" s="3465"/>
      <c r="T6" s="3466"/>
      <c r="U6" s="3467"/>
      <c r="V6" s="3482"/>
      <c r="W6" s="3482"/>
      <c r="X6" s="1568"/>
      <c r="Y6" s="3466"/>
      <c r="Z6" s="3467"/>
      <c r="AA6" s="3459"/>
      <c r="AB6" s="3459"/>
      <c r="AC6" s="3459"/>
    </row>
    <row r="7" spans="1:29" s="1220" customFormat="1" ht="15.75" thickBot="1">
      <c r="A7" s="2914"/>
      <c r="B7" s="2921" t="s">
        <v>529</v>
      </c>
      <c r="C7" s="519">
        <f>'数据-取费表'!B2</f>
        <v>43410</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60" t="s">
        <v>530</v>
      </c>
      <c r="Q7" s="3469"/>
      <c r="R7" s="1569" t="s">
        <v>8</v>
      </c>
      <c r="S7" s="1570">
        <f t="shared" ref="S7:S15" si="0">F7</f>
        <v>0</v>
      </c>
      <c r="T7" s="1569" t="s">
        <v>8</v>
      </c>
      <c r="U7" s="1570">
        <f t="shared" ref="U7:U15" si="1">H7</f>
        <v>0</v>
      </c>
      <c r="V7" s="1569" t="s">
        <v>8</v>
      </c>
      <c r="W7" s="1570">
        <f t="shared" ref="W7:W15" si="2">J7</f>
        <v>0</v>
      </c>
      <c r="X7" s="1571"/>
      <c r="Y7" s="3460" t="s">
        <v>530</v>
      </c>
      <c r="Z7" s="3461"/>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60" t="s">
        <v>533</v>
      </c>
      <c r="Q8" s="3461"/>
      <c r="R8" s="1569" t="s">
        <v>8</v>
      </c>
      <c r="S8" s="1570">
        <f t="shared" si="0"/>
        <v>0</v>
      </c>
      <c r="T8" s="1569" t="s">
        <v>8</v>
      </c>
      <c r="U8" s="1570">
        <f t="shared" si="1"/>
        <v>0</v>
      </c>
      <c r="V8" s="1569" t="s">
        <v>8</v>
      </c>
      <c r="W8" s="1570">
        <f t="shared" si="2"/>
        <v>0</v>
      </c>
      <c r="X8" s="1571"/>
      <c r="Y8" s="3460" t="s">
        <v>533</v>
      </c>
      <c r="Z8" s="3461"/>
      <c r="AA8" s="1572" t="e">
        <f t="shared" ref="AA8:AA40" si="3">D8/F8</f>
        <v>#DIV/0!</v>
      </c>
      <c r="AB8" s="1572" t="e">
        <f t="shared" ref="AB8:AB40" si="4">D8/H8</f>
        <v>#DIV/0!</v>
      </c>
      <c r="AC8" s="1572" t="e">
        <f t="shared" ref="AC8:AC40" si="5">D8/J8</f>
        <v>#DIV/0!</v>
      </c>
    </row>
    <row r="9" spans="1:29" s="1220" customFormat="1" ht="15">
      <c r="A9" s="2916"/>
      <c r="B9" s="2923"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68" t="s">
        <v>535</v>
      </c>
      <c r="Q9" s="1151" t="str">
        <f t="shared" ref="Q9:Q15" si="6">B9</f>
        <v>用途</v>
      </c>
      <c r="R9" s="1569" t="s">
        <v>8</v>
      </c>
      <c r="S9" s="1570">
        <f t="shared" si="0"/>
        <v>100</v>
      </c>
      <c r="T9" s="1569" t="s">
        <v>8</v>
      </c>
      <c r="U9" s="1570">
        <f t="shared" si="1"/>
        <v>100</v>
      </c>
      <c r="V9" s="1569" t="s">
        <v>8</v>
      </c>
      <c r="W9" s="1570">
        <f t="shared" si="2"/>
        <v>100</v>
      </c>
      <c r="X9" s="1571"/>
      <c r="Y9" s="3425"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68"/>
      <c r="Q10" s="1151" t="str">
        <f t="shared" si="6"/>
        <v>土地使用年限（年）</v>
      </c>
      <c r="R10" s="1569" t="s">
        <v>8</v>
      </c>
      <c r="S10" s="1570">
        <f t="shared" si="0"/>
        <v>100</v>
      </c>
      <c r="T10" s="1569" t="s">
        <v>8</v>
      </c>
      <c r="U10" s="1570">
        <f t="shared" si="1"/>
        <v>100</v>
      </c>
      <c r="V10" s="1569" t="s">
        <v>8</v>
      </c>
      <c r="W10" s="1570">
        <f t="shared" si="2"/>
        <v>100</v>
      </c>
      <c r="X10" s="1571"/>
      <c r="Y10" s="3425"/>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68"/>
      <c r="Q11" s="1151" t="str">
        <f t="shared" si="6"/>
        <v>容积率</v>
      </c>
      <c r="R11" s="1569" t="s">
        <v>8</v>
      </c>
      <c r="S11" s="1570" t="e">
        <f t="shared" si="0"/>
        <v>#N/A</v>
      </c>
      <c r="T11" s="1569" t="s">
        <v>8</v>
      </c>
      <c r="U11" s="1570" t="e">
        <f t="shared" si="1"/>
        <v>#N/A</v>
      </c>
      <c r="V11" s="1569" t="s">
        <v>8</v>
      </c>
      <c r="W11" s="1570" t="e">
        <f t="shared" si="2"/>
        <v>#N/A</v>
      </c>
      <c r="X11" s="1571"/>
      <c r="Y11" s="3425"/>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68"/>
      <c r="Q12" s="1151">
        <f t="shared" si="6"/>
        <v>111</v>
      </c>
      <c r="R12" s="1569" t="s">
        <v>8</v>
      </c>
      <c r="S12" s="1570">
        <f t="shared" si="0"/>
        <v>100</v>
      </c>
      <c r="T12" s="1569" t="s">
        <v>8</v>
      </c>
      <c r="U12" s="1570">
        <f t="shared" si="1"/>
        <v>100</v>
      </c>
      <c r="V12" s="1569" t="s">
        <v>8</v>
      </c>
      <c r="W12" s="1570">
        <f t="shared" si="2"/>
        <v>100</v>
      </c>
      <c r="X12" s="1571"/>
      <c r="Y12" s="3425"/>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68"/>
      <c r="Q13" s="1151">
        <f t="shared" si="6"/>
        <v>111</v>
      </c>
      <c r="R13" s="1569" t="s">
        <v>8</v>
      </c>
      <c r="S13" s="1570">
        <f t="shared" si="0"/>
        <v>100</v>
      </c>
      <c r="T13" s="1569" t="s">
        <v>8</v>
      </c>
      <c r="U13" s="1570">
        <f t="shared" si="1"/>
        <v>100</v>
      </c>
      <c r="V13" s="1569" t="s">
        <v>8</v>
      </c>
      <c r="W13" s="1570">
        <f t="shared" si="2"/>
        <v>100</v>
      </c>
      <c r="X13" s="1571"/>
      <c r="Y13" s="3425"/>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68"/>
      <c r="Q14" s="1151">
        <f t="shared" si="6"/>
        <v>111</v>
      </c>
      <c r="R14" s="1569" t="s">
        <v>8</v>
      </c>
      <c r="S14" s="1570">
        <f t="shared" si="0"/>
        <v>100</v>
      </c>
      <c r="T14" s="1569" t="s">
        <v>8</v>
      </c>
      <c r="U14" s="1570">
        <f t="shared" si="1"/>
        <v>100</v>
      </c>
      <c r="V14" s="1569" t="s">
        <v>8</v>
      </c>
      <c r="W14" s="1570">
        <f t="shared" si="2"/>
        <v>100</v>
      </c>
      <c r="X14" s="1571"/>
      <c r="Y14" s="3425"/>
      <c r="Z14" s="1150">
        <f t="shared" si="7"/>
        <v>111</v>
      </c>
      <c r="AA14" s="1572">
        <f t="shared" si="3"/>
        <v>1</v>
      </c>
      <c r="AB14" s="1572">
        <f t="shared" si="4"/>
        <v>1</v>
      </c>
      <c r="AC14" s="1572">
        <f t="shared" si="5"/>
        <v>1</v>
      </c>
    </row>
    <row r="15" spans="1:29" ht="57">
      <c r="A15" s="2912"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70" t="s">
        <v>540</v>
      </c>
      <c r="Q15" s="1573" t="str">
        <f t="shared" si="6"/>
        <v>产业集聚程度</v>
      </c>
      <c r="R15" s="1574" t="s">
        <v>8</v>
      </c>
      <c r="S15" s="1575">
        <f t="shared" si="0"/>
        <v>100</v>
      </c>
      <c r="T15" s="1574" t="s">
        <v>8</v>
      </c>
      <c r="U15" s="1575">
        <f t="shared" si="1"/>
        <v>100</v>
      </c>
      <c r="V15" s="1574" t="s">
        <v>8</v>
      </c>
      <c r="W15" s="1575">
        <f t="shared" si="2"/>
        <v>100</v>
      </c>
      <c r="X15" s="1568"/>
      <c r="Y15" s="347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71"/>
      <c r="Q16" s="1573"/>
      <c r="R16" s="1574"/>
      <c r="S16" s="1575"/>
      <c r="T16" s="1574"/>
      <c r="U16" s="1575"/>
      <c r="V16" s="1574"/>
      <c r="W16" s="1575"/>
      <c r="X16" s="1568"/>
      <c r="Y16" s="347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71"/>
      <c r="Q17" s="1573" t="str">
        <f>B17</f>
        <v>交通便捷度</v>
      </c>
      <c r="R17" s="1574" t="s">
        <v>8</v>
      </c>
      <c r="S17" s="1575">
        <f>F17</f>
        <v>100</v>
      </c>
      <c r="T17" s="1574" t="s">
        <v>8</v>
      </c>
      <c r="U17" s="1575">
        <f>H17</f>
        <v>100</v>
      </c>
      <c r="V17" s="1574" t="s">
        <v>8</v>
      </c>
      <c r="W17" s="1575">
        <f>J17</f>
        <v>100</v>
      </c>
      <c r="X17" s="1568"/>
      <c r="Y17" s="347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71"/>
      <c r="Q18" s="1573"/>
      <c r="R18" s="1574"/>
      <c r="S18" s="1575"/>
      <c r="T18" s="1574"/>
      <c r="U18" s="1575"/>
      <c r="V18" s="1574"/>
      <c r="W18" s="1575"/>
      <c r="X18" s="1568"/>
      <c r="Y18" s="3471"/>
      <c r="Z18" s="1576"/>
      <c r="AA18" s="1577">
        <v>1</v>
      </c>
      <c r="AB18" s="1577">
        <v>1</v>
      </c>
      <c r="AC18" s="1577">
        <v>1</v>
      </c>
    </row>
    <row r="19" spans="1:29" ht="42.75">
      <c r="A19" s="532"/>
      <c r="B19" s="2605"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71"/>
      <c r="Q19" s="1573" t="str">
        <f>B19</f>
        <v>公共配套设施</v>
      </c>
      <c r="R19" s="1574" t="s">
        <v>8</v>
      </c>
      <c r="S19" s="1575">
        <f>F19</f>
        <v>100</v>
      </c>
      <c r="T19" s="1574" t="s">
        <v>8</v>
      </c>
      <c r="U19" s="1575">
        <f>H19</f>
        <v>100</v>
      </c>
      <c r="V19" s="1574" t="s">
        <v>8</v>
      </c>
      <c r="W19" s="1575">
        <f>J19</f>
        <v>100</v>
      </c>
      <c r="X19" s="1568"/>
      <c r="Y19" s="347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71"/>
      <c r="Q20" s="1573"/>
      <c r="R20" s="1574"/>
      <c r="S20" s="1575"/>
      <c r="T20" s="1574"/>
      <c r="U20" s="1575"/>
      <c r="V20" s="1574"/>
      <c r="W20" s="1575"/>
      <c r="X20" s="1568"/>
      <c r="Y20" s="3471"/>
      <c r="Z20" s="1576"/>
      <c r="AA20" s="1577">
        <v>1</v>
      </c>
      <c r="AB20" s="1577">
        <v>1</v>
      </c>
      <c r="AC20" s="1577">
        <v>1</v>
      </c>
    </row>
    <row r="21" spans="1:29" ht="28.5">
      <c r="A21" s="532"/>
      <c r="B21" s="2593"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71"/>
      <c r="Q21" s="2581" t="str">
        <f>B21</f>
        <v>基础设施水平</v>
      </c>
      <c r="R21" s="1574" t="s">
        <v>8</v>
      </c>
      <c r="S21" s="1575">
        <f>F21</f>
        <v>100</v>
      </c>
      <c r="T21" s="1574" t="s">
        <v>8</v>
      </c>
      <c r="U21" s="1575">
        <f>H21</f>
        <v>100</v>
      </c>
      <c r="V21" s="1574" t="s">
        <v>8</v>
      </c>
      <c r="W21" s="1575">
        <f>J21</f>
        <v>100</v>
      </c>
      <c r="X21" s="2583"/>
      <c r="Y21" s="3471"/>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71"/>
      <c r="Q22" s="2581"/>
      <c r="R22" s="1574"/>
      <c r="S22" s="1575"/>
      <c r="T22" s="1574"/>
      <c r="U22" s="1575"/>
      <c r="V22" s="1574"/>
      <c r="W22" s="1575"/>
      <c r="X22" s="2583"/>
      <c r="Y22" s="3471"/>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71"/>
      <c r="Q23" s="1573" t="str">
        <f>B23</f>
        <v>环境质量</v>
      </c>
      <c r="R23" s="1574" t="s">
        <v>8</v>
      </c>
      <c r="S23" s="1575">
        <f>F23</f>
        <v>100</v>
      </c>
      <c r="T23" s="1574" t="s">
        <v>8</v>
      </c>
      <c r="U23" s="1575">
        <f>H23</f>
        <v>100</v>
      </c>
      <c r="V23" s="1574" t="s">
        <v>8</v>
      </c>
      <c r="W23" s="1575">
        <f>J23</f>
        <v>100</v>
      </c>
      <c r="X23" s="1568"/>
      <c r="Y23" s="347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71"/>
      <c r="Q24" s="1573"/>
      <c r="R24" s="1574"/>
      <c r="S24" s="1575"/>
      <c r="T24" s="1574"/>
      <c r="U24" s="1575"/>
      <c r="V24" s="1574"/>
      <c r="W24" s="1575"/>
      <c r="X24" s="1568"/>
      <c r="Y24" s="347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71"/>
      <c r="Q25" s="1573">
        <f>B25</f>
        <v>111</v>
      </c>
      <c r="R25" s="1574" t="s">
        <v>8</v>
      </c>
      <c r="S25" s="1575">
        <f>F25</f>
        <v>100</v>
      </c>
      <c r="T25" s="1574" t="s">
        <v>8</v>
      </c>
      <c r="U25" s="1575">
        <f>H25</f>
        <v>100</v>
      </c>
      <c r="V25" s="1574" t="s">
        <v>8</v>
      </c>
      <c r="W25" s="1575">
        <f>J25</f>
        <v>100</v>
      </c>
      <c r="X25" s="1568"/>
      <c r="Y25" s="347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71"/>
      <c r="Q26" s="1573">
        <f t="shared" ref="Q26:Q40" si="11">B26</f>
        <v>111</v>
      </c>
      <c r="R26" s="1574" t="s">
        <v>8</v>
      </c>
      <c r="S26" s="1575">
        <f>F26</f>
        <v>100</v>
      </c>
      <c r="T26" s="1574" t="s">
        <v>8</v>
      </c>
      <c r="U26" s="1575">
        <f>H26</f>
        <v>100</v>
      </c>
      <c r="V26" s="1574" t="s">
        <v>8</v>
      </c>
      <c r="W26" s="1575">
        <f>J26</f>
        <v>100</v>
      </c>
      <c r="X26" s="1568"/>
      <c r="Y26" s="347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71"/>
      <c r="Q27" s="1151">
        <f t="shared" si="11"/>
        <v>111</v>
      </c>
      <c r="R27" s="1569" t="s">
        <v>8</v>
      </c>
      <c r="S27" s="1570">
        <f>F27</f>
        <v>100</v>
      </c>
      <c r="T27" s="1569" t="s">
        <v>8</v>
      </c>
      <c r="U27" s="1570">
        <f>H27</f>
        <v>100</v>
      </c>
      <c r="V27" s="1569" t="s">
        <v>8</v>
      </c>
      <c r="W27" s="1570">
        <f>J27</f>
        <v>100</v>
      </c>
      <c r="X27" s="1571"/>
      <c r="Y27" s="347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71"/>
      <c r="Q28" s="1573">
        <f t="shared" si="11"/>
        <v>111</v>
      </c>
      <c r="R28" s="1574" t="s">
        <v>8</v>
      </c>
      <c r="S28" s="1575">
        <f t="shared" ref="S28:S40" si="12">F28</f>
        <v>100</v>
      </c>
      <c r="T28" s="1574" t="s">
        <v>8</v>
      </c>
      <c r="U28" s="1575">
        <f t="shared" ref="U28:U40" si="13">H28</f>
        <v>100</v>
      </c>
      <c r="V28" s="1574" t="s">
        <v>8</v>
      </c>
      <c r="W28" s="1575">
        <f t="shared" ref="W28:W40" si="14">J28</f>
        <v>100</v>
      </c>
      <c r="X28" s="1568"/>
      <c r="Y28" s="3471"/>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72" t="s">
        <v>550</v>
      </c>
      <c r="Q29" s="1573" t="str">
        <f t="shared" si="11"/>
        <v>建筑类型</v>
      </c>
      <c r="R29" s="1574" t="s">
        <v>8</v>
      </c>
      <c r="S29" s="1575">
        <f t="shared" si="12"/>
        <v>100</v>
      </c>
      <c r="T29" s="1574" t="s">
        <v>8</v>
      </c>
      <c r="U29" s="1575">
        <f t="shared" si="13"/>
        <v>100</v>
      </c>
      <c r="V29" s="1574" t="s">
        <v>8</v>
      </c>
      <c r="W29" s="1575">
        <f t="shared" si="14"/>
        <v>100</v>
      </c>
      <c r="X29" s="1568"/>
      <c r="Y29" s="347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73"/>
      <c r="Q30" s="1606" t="str">
        <f t="shared" si="11"/>
        <v>项目建筑规模</v>
      </c>
      <c r="R30" s="1578" t="s">
        <v>8</v>
      </c>
      <c r="S30" s="1579" t="e">
        <f t="shared" si="12"/>
        <v>#N/A</v>
      </c>
      <c r="T30" s="1578" t="s">
        <v>8</v>
      </c>
      <c r="U30" s="1579" t="e">
        <f t="shared" si="13"/>
        <v>#N/A</v>
      </c>
      <c r="V30" s="1578" t="s">
        <v>8</v>
      </c>
      <c r="W30" s="1579" t="e">
        <f t="shared" si="14"/>
        <v>#N/A</v>
      </c>
      <c r="X30" s="1580"/>
      <c r="Y30" s="347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73"/>
      <c r="Q31" s="1573" t="str">
        <f t="shared" si="11"/>
        <v>建筑结构</v>
      </c>
      <c r="R31" s="1574" t="s">
        <v>8</v>
      </c>
      <c r="S31" s="1575">
        <f t="shared" si="12"/>
        <v>100</v>
      </c>
      <c r="T31" s="1574" t="s">
        <v>8</v>
      </c>
      <c r="U31" s="1575">
        <f t="shared" si="13"/>
        <v>100</v>
      </c>
      <c r="V31" s="1574" t="s">
        <v>8</v>
      </c>
      <c r="W31" s="1575">
        <f t="shared" si="14"/>
        <v>100</v>
      </c>
      <c r="X31" s="1568"/>
      <c r="Y31" s="347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73"/>
      <c r="Q32" s="1573" t="str">
        <f t="shared" si="11"/>
        <v>公共部分装修</v>
      </c>
      <c r="R32" s="1574" t="s">
        <v>8</v>
      </c>
      <c r="S32" s="1575">
        <f t="shared" si="12"/>
        <v>100</v>
      </c>
      <c r="T32" s="1574" t="s">
        <v>8</v>
      </c>
      <c r="U32" s="1575">
        <f t="shared" si="13"/>
        <v>100</v>
      </c>
      <c r="V32" s="1574" t="s">
        <v>8</v>
      </c>
      <c r="W32" s="1575">
        <f t="shared" si="14"/>
        <v>100</v>
      </c>
      <c r="X32" s="1568"/>
      <c r="Y32" s="347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73"/>
      <c r="Q33" s="1573" t="str">
        <f t="shared" si="11"/>
        <v>成新度</v>
      </c>
      <c r="R33" s="1574" t="s">
        <v>8</v>
      </c>
      <c r="S33" s="1575" t="e">
        <f t="shared" si="12"/>
        <v>#N/A</v>
      </c>
      <c r="T33" s="1574" t="s">
        <v>8</v>
      </c>
      <c r="U33" s="1575" t="e">
        <f t="shared" si="13"/>
        <v>#N/A</v>
      </c>
      <c r="V33" s="1574" t="s">
        <v>8</v>
      </c>
      <c r="W33" s="1575" t="e">
        <f t="shared" si="14"/>
        <v>#N/A</v>
      </c>
      <c r="X33" s="1568"/>
      <c r="Y33" s="347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73"/>
      <c r="Q34" s="1151" t="str">
        <f t="shared" si="11"/>
        <v>物业管理</v>
      </c>
      <c r="R34" s="1569" t="s">
        <v>8</v>
      </c>
      <c r="S34" s="1570">
        <f t="shared" si="12"/>
        <v>100</v>
      </c>
      <c r="T34" s="1569" t="s">
        <v>8</v>
      </c>
      <c r="U34" s="1570">
        <f t="shared" si="13"/>
        <v>100</v>
      </c>
      <c r="V34" s="1569" t="s">
        <v>8</v>
      </c>
      <c r="W34" s="1570">
        <f t="shared" si="14"/>
        <v>100</v>
      </c>
      <c r="X34" s="1571"/>
      <c r="Y34" s="3473"/>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73" t="s">
        <v>550</v>
      </c>
      <c r="Q35" s="1573" t="str">
        <f t="shared" si="11"/>
        <v>市政基础设施</v>
      </c>
      <c r="R35" s="1574" t="s">
        <v>8</v>
      </c>
      <c r="S35" s="1575">
        <f t="shared" si="12"/>
        <v>100</v>
      </c>
      <c r="T35" s="1574" t="s">
        <v>8</v>
      </c>
      <c r="U35" s="1575">
        <f t="shared" si="13"/>
        <v>100</v>
      </c>
      <c r="V35" s="1574" t="s">
        <v>8</v>
      </c>
      <c r="W35" s="1575">
        <f t="shared" si="14"/>
        <v>100</v>
      </c>
      <c r="X35" s="1568"/>
      <c r="Y35" s="347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73"/>
      <c r="Q36" s="1573" t="str">
        <f t="shared" si="11"/>
        <v>内部装修</v>
      </c>
      <c r="R36" s="1574" t="s">
        <v>8</v>
      </c>
      <c r="S36" s="1575">
        <f t="shared" si="12"/>
        <v>100</v>
      </c>
      <c r="T36" s="1574" t="s">
        <v>8</v>
      </c>
      <c r="U36" s="1575">
        <f t="shared" si="13"/>
        <v>100</v>
      </c>
      <c r="V36" s="1574" t="s">
        <v>8</v>
      </c>
      <c r="W36" s="1575">
        <f t="shared" si="14"/>
        <v>100</v>
      </c>
      <c r="X36" s="1568"/>
      <c r="Y36" s="347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73"/>
      <c r="Q37" s="1573" t="str">
        <f t="shared" si="11"/>
        <v>内部装修状况</v>
      </c>
      <c r="R37" s="1574" t="s">
        <v>8</v>
      </c>
      <c r="S37" s="1575">
        <f t="shared" si="12"/>
        <v>100</v>
      </c>
      <c r="T37" s="1574" t="s">
        <v>8</v>
      </c>
      <c r="U37" s="1575">
        <f t="shared" si="13"/>
        <v>100</v>
      </c>
      <c r="V37" s="1574" t="s">
        <v>8</v>
      </c>
      <c r="W37" s="1575">
        <f t="shared" si="14"/>
        <v>100</v>
      </c>
      <c r="X37" s="1568"/>
      <c r="Y37" s="347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73"/>
      <c r="Q38" s="1606">
        <f t="shared" si="11"/>
        <v>111</v>
      </c>
      <c r="R38" s="1578" t="s">
        <v>8</v>
      </c>
      <c r="S38" s="1579">
        <f t="shared" si="12"/>
        <v>100</v>
      </c>
      <c r="T38" s="1578" t="s">
        <v>8</v>
      </c>
      <c r="U38" s="1579">
        <f t="shared" si="13"/>
        <v>100</v>
      </c>
      <c r="V38" s="1578" t="s">
        <v>8</v>
      </c>
      <c r="W38" s="1579">
        <f t="shared" si="14"/>
        <v>100</v>
      </c>
      <c r="X38" s="1580"/>
      <c r="Y38" s="347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73"/>
      <c r="Q39" s="1573">
        <f t="shared" si="11"/>
        <v>111</v>
      </c>
      <c r="R39" s="1574" t="s">
        <v>8</v>
      </c>
      <c r="S39" s="1575">
        <f t="shared" si="12"/>
        <v>100</v>
      </c>
      <c r="T39" s="1574" t="s">
        <v>8</v>
      </c>
      <c r="U39" s="1575">
        <f t="shared" si="13"/>
        <v>100</v>
      </c>
      <c r="V39" s="1574" t="s">
        <v>8</v>
      </c>
      <c r="W39" s="1575">
        <f t="shared" si="14"/>
        <v>100</v>
      </c>
      <c r="X39" s="1568"/>
      <c r="Y39" s="347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82"/>
      <c r="Q40" s="1573">
        <f t="shared" si="11"/>
        <v>111</v>
      </c>
      <c r="R40" s="1574" t="s">
        <v>8</v>
      </c>
      <c r="S40" s="1575">
        <f t="shared" si="12"/>
        <v>100</v>
      </c>
      <c r="T40" s="1574" t="s">
        <v>8</v>
      </c>
      <c r="U40" s="1575">
        <f t="shared" si="13"/>
        <v>100</v>
      </c>
      <c r="V40" s="1574" t="s">
        <v>8</v>
      </c>
      <c r="W40" s="1575">
        <f t="shared" si="14"/>
        <v>100</v>
      </c>
      <c r="X40" s="1568"/>
      <c r="Y40" s="3582"/>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468" t="str">
        <f>A41</f>
        <v>成交单价（元/平方米）</v>
      </c>
      <c r="Q41" s="3468"/>
      <c r="R41" s="3581">
        <f>E41</f>
        <v>0</v>
      </c>
      <c r="S41" s="3581"/>
      <c r="T41" s="3581">
        <f>G41</f>
        <v>0</v>
      </c>
      <c r="U41" s="3581"/>
      <c r="V41" s="3581">
        <f>I41</f>
        <v>0</v>
      </c>
      <c r="W41" s="3581"/>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468" t="str">
        <f>A42</f>
        <v>比较价格（元/平方米）</v>
      </c>
      <c r="Q42" s="3468"/>
      <c r="R42" s="3581" t="e">
        <f>IF(F1="售价",ROUND(PRODUCT(R41,AA7:AA40),0),ROUND(PRODUCT(R41,AA7:AA40),1))</f>
        <v>#DIV/0!</v>
      </c>
      <c r="S42" s="3581"/>
      <c r="T42" s="3581" t="e">
        <f>IF(F1="售价",ROUND(PRODUCT(T41,AB7:AB40),0),ROUND(PRODUCT(T41,AB7:AB40),1))</f>
        <v>#DIV/0!</v>
      </c>
      <c r="U42" s="3581"/>
      <c r="V42" s="3581" t="e">
        <f>IF(F1="售价",ROUND(PRODUCT(V41,AC7:AC40),0),ROUND(PRODUCT(V41,AC7:AC40),1))</f>
        <v>#DIV/0!</v>
      </c>
      <c r="W42" s="3581"/>
      <c r="X42" s="1560"/>
      <c r="Y42" s="1560"/>
      <c r="Z42" s="1560"/>
      <c r="AA42" s="1560"/>
      <c r="AB42" s="1560"/>
      <c r="AC42" s="1560"/>
    </row>
    <row r="43" spans="1:29" ht="15.75" thickBot="1">
      <c r="A43" s="621" t="s">
        <v>2939</v>
      </c>
      <c r="B43" s="622"/>
      <c r="C43" s="2638" t="e">
        <f>R43</f>
        <v>#DIV/0!</v>
      </c>
      <c r="D43" s="2638"/>
      <c r="E43" s="2638"/>
      <c r="F43" s="2638"/>
      <c r="G43" s="2638"/>
      <c r="H43" s="2638"/>
      <c r="I43" s="2638"/>
      <c r="J43" s="2638"/>
      <c r="K43" s="1614"/>
      <c r="L43" s="2146"/>
      <c r="M43" s="2147"/>
      <c r="N43" s="2147"/>
      <c r="O43" s="2147"/>
      <c r="P43" s="3489" t="str">
        <f>A43</f>
        <v>估价对象XX用房的比较价格（楼面单价，元/平方米）</v>
      </c>
      <c r="Q43" s="3490"/>
      <c r="R43" s="3580" t="e">
        <f>IF(F1="售价",ROUND(AVERAGE(R42:V42),0),ROUND(AVERAGE(R42:V42),1))</f>
        <v>#DIV/0!</v>
      </c>
      <c r="S43" s="3580"/>
      <c r="T43" s="3580"/>
      <c r="U43" s="3580"/>
      <c r="V43" s="3580"/>
      <c r="W43" s="3580"/>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2018-11</v>
      </c>
      <c r="D52" s="2806">
        <f>EDATE(C52,-1)</f>
        <v>43374</v>
      </c>
      <c r="E52" s="2806">
        <f t="shared" ref="E52:O52" si="16">EDATE(D52,-1)</f>
        <v>43344</v>
      </c>
      <c r="F52" s="2806">
        <f t="shared" si="16"/>
        <v>43313</v>
      </c>
      <c r="G52" s="2806">
        <f t="shared" si="16"/>
        <v>43282</v>
      </c>
      <c r="H52" s="2806">
        <f t="shared" si="16"/>
        <v>43252</v>
      </c>
      <c r="I52" s="2806">
        <f t="shared" si="16"/>
        <v>43221</v>
      </c>
      <c r="J52" s="2806">
        <f t="shared" si="16"/>
        <v>43191</v>
      </c>
      <c r="K52" s="2806">
        <f t="shared" si="16"/>
        <v>43160</v>
      </c>
      <c r="L52" s="2806">
        <f t="shared" si="16"/>
        <v>43132</v>
      </c>
      <c r="M52" s="2806">
        <f t="shared" si="16"/>
        <v>43101</v>
      </c>
      <c r="N52" s="2806">
        <f t="shared" si="16"/>
        <v>43070</v>
      </c>
      <c r="O52" s="2806">
        <f t="shared" si="16"/>
        <v>43040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受贵公司委托，我公司对北京市海淀区清河安宁庄东路1号出让国有建设用地使用权市场价格进行了预评估。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金隅股份有限公司使用的、位于北京市海淀区清河安宁庄东路1号出让国有建设用地使用权。根据《国有土地使用证》[]，估价对象（分摊）出让国有建设用地使用权面积为130380.53平方米。根据《建设工程规划许可证》[]、《出让合同》[]，估价对象规划建筑面积为57196.5平方米。</v>
      </c>
    </row>
    <row r="7" spans="1:4" ht="93.75">
      <c r="A7" s="2875"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2018年11月6日（评估专业人员勘察现场之日）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根据《国有土地使用证》[]，本次评估估价对象证载（地类）用途为工交。</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根据《国有土地使用证》[]，估价对象（分摊）出让国有建设用地使用权面积为130380.53平方米。根据《建设工程规划许可证》[]、《出让合同》[]，估价对象规划建筑面积为57196.5平方米。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74" t="s">
        <v>798</v>
      </c>
      <c r="D4" s="3475"/>
      <c r="E4" s="3474" t="s">
        <v>799</v>
      </c>
      <c r="F4" s="3475"/>
      <c r="G4" s="3474" t="s">
        <v>800</v>
      </c>
      <c r="H4" s="3475"/>
      <c r="I4" s="3474" t="s">
        <v>801</v>
      </c>
      <c r="J4" s="3475"/>
      <c r="K4" s="514" t="s">
        <v>802</v>
      </c>
      <c r="L4" s="2135"/>
      <c r="M4" s="2136"/>
      <c r="N4" s="2136"/>
      <c r="O4" s="2136"/>
      <c r="P4" s="3476" t="s">
        <v>803</v>
      </c>
      <c r="Q4" s="3477"/>
      <c r="R4" s="3462" t="s">
        <v>799</v>
      </c>
      <c r="S4" s="3463"/>
      <c r="T4" s="3462" t="s">
        <v>800</v>
      </c>
      <c r="U4" s="3463"/>
      <c r="V4" s="3482" t="s">
        <v>801</v>
      </c>
      <c r="W4" s="3482"/>
      <c r="X4" s="1568"/>
      <c r="Y4" s="3462" t="s">
        <v>803</v>
      </c>
      <c r="Z4" s="3463"/>
      <c r="AA4" s="3457" t="s">
        <v>799</v>
      </c>
      <c r="AB4" s="3458" t="s">
        <v>800</v>
      </c>
      <c r="AC4" s="3457" t="s">
        <v>801</v>
      </c>
    </row>
    <row r="5" spans="1:29" ht="15">
      <c r="A5" s="515"/>
      <c r="B5" s="516"/>
      <c r="C5" s="3485" t="s">
        <v>2933</v>
      </c>
      <c r="D5" s="3486"/>
      <c r="E5" s="3485" t="s">
        <v>2934</v>
      </c>
      <c r="F5" s="3486"/>
      <c r="G5" s="3485" t="s">
        <v>2935</v>
      </c>
      <c r="H5" s="3486"/>
      <c r="I5" s="3485" t="s">
        <v>2936</v>
      </c>
      <c r="J5" s="3486"/>
      <c r="K5" s="514"/>
      <c r="L5" s="2135"/>
      <c r="M5" s="2136"/>
      <c r="N5" s="2136"/>
      <c r="O5" s="2136"/>
      <c r="P5" s="3478"/>
      <c r="Q5" s="3479"/>
      <c r="R5" s="3464"/>
      <c r="S5" s="3465"/>
      <c r="T5" s="3464"/>
      <c r="U5" s="3465"/>
      <c r="V5" s="3482"/>
      <c r="W5" s="3482"/>
      <c r="X5" s="1568"/>
      <c r="Y5" s="3464"/>
      <c r="Z5" s="3465"/>
      <c r="AA5" s="3458"/>
      <c r="AB5" s="3458"/>
      <c r="AC5" s="3458"/>
    </row>
    <row r="6" spans="1:29" ht="15.75" thickBot="1">
      <c r="A6" s="517"/>
      <c r="B6" s="518"/>
      <c r="C6" s="3483" t="s">
        <v>2937</v>
      </c>
      <c r="D6" s="3484"/>
      <c r="E6" s="3487" t="s">
        <v>2937</v>
      </c>
      <c r="F6" s="3488"/>
      <c r="G6" s="3483" t="s">
        <v>2937</v>
      </c>
      <c r="H6" s="3484"/>
      <c r="I6" s="3483" t="s">
        <v>2937</v>
      </c>
      <c r="J6" s="3484"/>
      <c r="K6" s="514" t="s">
        <v>528</v>
      </c>
      <c r="L6" s="2135"/>
      <c r="M6" s="2136"/>
      <c r="N6" s="2136"/>
      <c r="O6" s="2136"/>
      <c r="P6" s="3480"/>
      <c r="Q6" s="3481"/>
      <c r="R6" s="3464"/>
      <c r="S6" s="3465"/>
      <c r="T6" s="3466"/>
      <c r="U6" s="3467"/>
      <c r="V6" s="3482"/>
      <c r="W6" s="3482"/>
      <c r="X6" s="1568"/>
      <c r="Y6" s="3466"/>
      <c r="Z6" s="3467"/>
      <c r="AA6" s="3459"/>
      <c r="AB6" s="3459"/>
      <c r="AC6" s="3459"/>
    </row>
    <row r="7" spans="1:29" s="1220" customFormat="1" ht="15.75" thickBot="1">
      <c r="A7" s="2914"/>
      <c r="B7" s="2921" t="s">
        <v>529</v>
      </c>
      <c r="C7" s="519">
        <f>'数据-取费表'!B2</f>
        <v>43410</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60" t="s">
        <v>530</v>
      </c>
      <c r="Q7" s="3469"/>
      <c r="R7" s="1569" t="s">
        <v>8</v>
      </c>
      <c r="S7" s="1570">
        <f t="shared" ref="S7:S14" si="0">F7</f>
        <v>0</v>
      </c>
      <c r="T7" s="1569" t="s">
        <v>8</v>
      </c>
      <c r="U7" s="1570">
        <f t="shared" ref="U7:U14" si="1">H7</f>
        <v>0</v>
      </c>
      <c r="V7" s="1569" t="s">
        <v>8</v>
      </c>
      <c r="W7" s="1570">
        <f t="shared" ref="W7:W14" si="2">J7</f>
        <v>0</v>
      </c>
      <c r="X7" s="1571"/>
      <c r="Y7" s="3460" t="s">
        <v>530</v>
      </c>
      <c r="Z7" s="3461"/>
      <c r="AA7" s="1572" t="e">
        <f>D7/F7</f>
        <v>#DIV/0!</v>
      </c>
      <c r="AB7" s="1572" t="e">
        <f>D7/H7</f>
        <v>#DIV/0!</v>
      </c>
      <c r="AC7" s="1572" t="e">
        <f>D7/J7</f>
        <v>#DIV/0!</v>
      </c>
    </row>
    <row r="8" spans="1:29" s="1220" customFormat="1" ht="15.75" thickBot="1">
      <c r="A8" s="2915"/>
      <c r="B8" s="2922"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60" t="s">
        <v>533</v>
      </c>
      <c r="Q8" s="3461"/>
      <c r="R8" s="1569" t="s">
        <v>8</v>
      </c>
      <c r="S8" s="1570">
        <f t="shared" si="0"/>
        <v>0</v>
      </c>
      <c r="T8" s="1569" t="s">
        <v>8</v>
      </c>
      <c r="U8" s="1570">
        <f t="shared" si="1"/>
        <v>0</v>
      </c>
      <c r="V8" s="1569" t="s">
        <v>8</v>
      </c>
      <c r="W8" s="1570">
        <f t="shared" si="2"/>
        <v>0</v>
      </c>
      <c r="X8" s="1571"/>
      <c r="Y8" s="3460" t="s">
        <v>533</v>
      </c>
      <c r="Z8" s="3461"/>
      <c r="AA8" s="1572" t="e">
        <f t="shared" ref="AA8:AA36" si="3">D8/F8</f>
        <v>#DIV/0!</v>
      </c>
      <c r="AB8" s="1572" t="e">
        <f t="shared" ref="AB8:AB36" si="4">D8/H8</f>
        <v>#DIV/0!</v>
      </c>
      <c r="AC8" s="1572" t="e">
        <f t="shared" ref="AC8:AC36" si="5">D8/J8</f>
        <v>#DIV/0!</v>
      </c>
    </row>
    <row r="9" spans="1:29" s="1220" customFormat="1" ht="15">
      <c r="A9" s="2916"/>
      <c r="B9" s="2923"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68" t="s">
        <v>535</v>
      </c>
      <c r="Q9" s="1151" t="str">
        <f t="shared" ref="Q9:Q14" si="6">B9</f>
        <v>用途</v>
      </c>
      <c r="R9" s="1569" t="s">
        <v>8</v>
      </c>
      <c r="S9" s="1570">
        <f t="shared" si="0"/>
        <v>100</v>
      </c>
      <c r="T9" s="1569" t="s">
        <v>8</v>
      </c>
      <c r="U9" s="1570">
        <f t="shared" si="1"/>
        <v>100</v>
      </c>
      <c r="V9" s="1569" t="s">
        <v>8</v>
      </c>
      <c r="W9" s="1570">
        <f t="shared" si="2"/>
        <v>100</v>
      </c>
      <c r="X9" s="1571"/>
      <c r="Y9" s="3425"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68"/>
      <c r="Q10" s="1151" t="str">
        <f t="shared" si="6"/>
        <v>土地使用年限（年）</v>
      </c>
      <c r="R10" s="1569" t="s">
        <v>8</v>
      </c>
      <c r="S10" s="1570">
        <f t="shared" si="0"/>
        <v>100</v>
      </c>
      <c r="T10" s="1569" t="s">
        <v>8</v>
      </c>
      <c r="U10" s="1570">
        <f t="shared" si="1"/>
        <v>100</v>
      </c>
      <c r="V10" s="1569" t="s">
        <v>8</v>
      </c>
      <c r="W10" s="1570">
        <f t="shared" si="2"/>
        <v>100</v>
      </c>
      <c r="X10" s="1571"/>
      <c r="Y10" s="3425"/>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68"/>
      <c r="Q11" s="1151">
        <f t="shared" si="6"/>
        <v>111</v>
      </c>
      <c r="R11" s="1569" t="s">
        <v>8</v>
      </c>
      <c r="S11" s="1570">
        <f t="shared" si="0"/>
        <v>100</v>
      </c>
      <c r="T11" s="1569" t="s">
        <v>8</v>
      </c>
      <c r="U11" s="1570">
        <f t="shared" si="1"/>
        <v>100</v>
      </c>
      <c r="V11" s="1569" t="s">
        <v>8</v>
      </c>
      <c r="W11" s="1570">
        <f t="shared" si="2"/>
        <v>100</v>
      </c>
      <c r="X11" s="1571"/>
      <c r="Y11" s="3425"/>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68"/>
      <c r="Q12" s="1151">
        <f t="shared" si="6"/>
        <v>111</v>
      </c>
      <c r="R12" s="1569" t="s">
        <v>8</v>
      </c>
      <c r="S12" s="1570">
        <f t="shared" si="0"/>
        <v>100</v>
      </c>
      <c r="T12" s="1569" t="s">
        <v>8</v>
      </c>
      <c r="U12" s="1570">
        <f t="shared" si="1"/>
        <v>100</v>
      </c>
      <c r="V12" s="1569" t="s">
        <v>8</v>
      </c>
      <c r="W12" s="1570">
        <f t="shared" si="2"/>
        <v>100</v>
      </c>
      <c r="X12" s="1571"/>
      <c r="Y12" s="3425"/>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68"/>
      <c r="Q13" s="1151">
        <f t="shared" si="6"/>
        <v>111</v>
      </c>
      <c r="R13" s="1569" t="s">
        <v>8</v>
      </c>
      <c r="S13" s="1570">
        <f t="shared" si="0"/>
        <v>100</v>
      </c>
      <c r="T13" s="1569" t="s">
        <v>8</v>
      </c>
      <c r="U13" s="1570">
        <f t="shared" si="1"/>
        <v>100</v>
      </c>
      <c r="V13" s="1569" t="s">
        <v>8</v>
      </c>
      <c r="W13" s="1570">
        <f t="shared" si="2"/>
        <v>100</v>
      </c>
      <c r="X13" s="1571"/>
      <c r="Y13" s="3425"/>
      <c r="Z13" s="1150">
        <f t="shared" si="7"/>
        <v>111</v>
      </c>
      <c r="AA13" s="1572">
        <f t="shared" si="3"/>
        <v>1</v>
      </c>
      <c r="AB13" s="1572">
        <f t="shared" si="4"/>
        <v>1</v>
      </c>
      <c r="AC13" s="1572">
        <f t="shared" si="5"/>
        <v>1</v>
      </c>
    </row>
    <row r="14" spans="1:29" ht="85.5">
      <c r="A14" s="2912"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70" t="s">
        <v>540</v>
      </c>
      <c r="Q14" s="1573" t="str">
        <f t="shared" si="6"/>
        <v>交通便捷度</v>
      </c>
      <c r="R14" s="1574" t="s">
        <v>8</v>
      </c>
      <c r="S14" s="1575">
        <f t="shared" si="0"/>
        <v>100</v>
      </c>
      <c r="T14" s="1574" t="s">
        <v>8</v>
      </c>
      <c r="U14" s="1575">
        <f t="shared" si="1"/>
        <v>100</v>
      </c>
      <c r="V14" s="1574" t="s">
        <v>8</v>
      </c>
      <c r="W14" s="1575">
        <f t="shared" si="2"/>
        <v>100</v>
      </c>
      <c r="X14" s="1568"/>
      <c r="Y14" s="347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71"/>
      <c r="Q15" s="1573"/>
      <c r="R15" s="1574"/>
      <c r="S15" s="1575"/>
      <c r="T15" s="1574"/>
      <c r="U15" s="1575"/>
      <c r="V15" s="1574"/>
      <c r="W15" s="1575"/>
      <c r="X15" s="1568"/>
      <c r="Y15" s="3471"/>
      <c r="Z15" s="1576"/>
      <c r="AA15" s="1577">
        <v>1</v>
      </c>
      <c r="AB15" s="1577">
        <v>1</v>
      </c>
      <c r="AC15" s="1577">
        <v>1</v>
      </c>
    </row>
    <row r="16" spans="1:29" ht="42.75">
      <c r="A16" s="515"/>
      <c r="B16" s="2605"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71"/>
      <c r="Q16" s="1573" t="str">
        <f>B16</f>
        <v>公共配套设施</v>
      </c>
      <c r="R16" s="1574" t="s">
        <v>8</v>
      </c>
      <c r="S16" s="1575">
        <f>F16</f>
        <v>100</v>
      </c>
      <c r="T16" s="1574" t="s">
        <v>8</v>
      </c>
      <c r="U16" s="1575">
        <f>H16</f>
        <v>100</v>
      </c>
      <c r="V16" s="1574" t="s">
        <v>8</v>
      </c>
      <c r="W16" s="1575">
        <f>J16</f>
        <v>100</v>
      </c>
      <c r="X16" s="1568"/>
      <c r="Y16" s="347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71"/>
      <c r="Q17" s="1573"/>
      <c r="R17" s="1574"/>
      <c r="S17" s="1575"/>
      <c r="T17" s="1574"/>
      <c r="U17" s="1575"/>
      <c r="V17" s="1574"/>
      <c r="W17" s="1575"/>
      <c r="X17" s="1568"/>
      <c r="Y17" s="3471"/>
      <c r="Z17" s="1576"/>
      <c r="AA17" s="1577">
        <v>1</v>
      </c>
      <c r="AB17" s="1577">
        <v>1</v>
      </c>
      <c r="AC17" s="1577">
        <v>1</v>
      </c>
    </row>
    <row r="18" spans="1:29" ht="28.5">
      <c r="A18" s="515"/>
      <c r="B18" s="2593"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71"/>
      <c r="Q18" s="2581" t="str">
        <f>B18</f>
        <v>基础设施水平</v>
      </c>
      <c r="R18" s="1574" t="s">
        <v>8</v>
      </c>
      <c r="S18" s="1575">
        <f>F18</f>
        <v>100</v>
      </c>
      <c r="T18" s="1574" t="s">
        <v>8</v>
      </c>
      <c r="U18" s="1575">
        <f>H18</f>
        <v>100</v>
      </c>
      <c r="V18" s="1574" t="s">
        <v>8</v>
      </c>
      <c r="W18" s="1575">
        <f>J18</f>
        <v>100</v>
      </c>
      <c r="X18" s="2583"/>
      <c r="Y18" s="3471"/>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71"/>
      <c r="Q19" s="2581"/>
      <c r="R19" s="1574"/>
      <c r="S19" s="1575"/>
      <c r="T19" s="1574"/>
      <c r="U19" s="1575"/>
      <c r="V19" s="1574"/>
      <c r="W19" s="1575"/>
      <c r="X19" s="2583"/>
      <c r="Y19" s="3471"/>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71"/>
      <c r="Q20" s="1573" t="str">
        <f>B20</f>
        <v>自然及人文环境</v>
      </c>
      <c r="R20" s="1574" t="s">
        <v>8</v>
      </c>
      <c r="S20" s="1575">
        <f>F20</f>
        <v>100</v>
      </c>
      <c r="T20" s="1574" t="s">
        <v>8</v>
      </c>
      <c r="U20" s="1575">
        <f>H20</f>
        <v>100</v>
      </c>
      <c r="V20" s="1574" t="s">
        <v>8</v>
      </c>
      <c r="W20" s="1575">
        <f>J20</f>
        <v>100</v>
      </c>
      <c r="X20" s="1568"/>
      <c r="Y20" s="347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71"/>
      <c r="Q21" s="1573"/>
      <c r="R21" s="1574"/>
      <c r="S21" s="1575"/>
      <c r="T21" s="1574"/>
      <c r="U21" s="1575"/>
      <c r="V21" s="1574"/>
      <c r="W21" s="1575"/>
      <c r="X21" s="1568"/>
      <c r="Y21" s="347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71"/>
      <c r="Q22" s="1573" t="str">
        <f>B22</f>
        <v>楼层</v>
      </c>
      <c r="R22" s="1574" t="s">
        <v>8</v>
      </c>
      <c r="S22" s="1575">
        <f>F22</f>
        <v>100</v>
      </c>
      <c r="T22" s="1574" t="s">
        <v>8</v>
      </c>
      <c r="U22" s="1575">
        <f>H22</f>
        <v>100</v>
      </c>
      <c r="V22" s="1574" t="s">
        <v>8</v>
      </c>
      <c r="W22" s="1575">
        <f>J22</f>
        <v>100</v>
      </c>
      <c r="X22" s="1568"/>
      <c r="Y22" s="347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71"/>
      <c r="Q23" s="1573">
        <f>B23</f>
        <v>111</v>
      </c>
      <c r="R23" s="1574" t="s">
        <v>8</v>
      </c>
      <c r="S23" s="1575">
        <f>F23</f>
        <v>100</v>
      </c>
      <c r="T23" s="1574" t="s">
        <v>8</v>
      </c>
      <c r="U23" s="1575">
        <f>H23</f>
        <v>100</v>
      </c>
      <c r="V23" s="1574" t="s">
        <v>8</v>
      </c>
      <c r="W23" s="1575">
        <f>J23</f>
        <v>100</v>
      </c>
      <c r="X23" s="1568"/>
      <c r="Y23" s="347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71"/>
      <c r="Q24" s="1573">
        <f t="shared" ref="Q24:Q36" si="11">B24</f>
        <v>111</v>
      </c>
      <c r="R24" s="1574" t="s">
        <v>8</v>
      </c>
      <c r="S24" s="1575">
        <f>F24</f>
        <v>100</v>
      </c>
      <c r="T24" s="1574" t="s">
        <v>8</v>
      </c>
      <c r="U24" s="1575">
        <f>H24</f>
        <v>100</v>
      </c>
      <c r="V24" s="1574" t="s">
        <v>8</v>
      </c>
      <c r="W24" s="1575">
        <f>J24</f>
        <v>100</v>
      </c>
      <c r="X24" s="1568"/>
      <c r="Y24" s="347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71"/>
      <c r="Q25" s="1151">
        <f t="shared" si="11"/>
        <v>111</v>
      </c>
      <c r="R25" s="1569" t="s">
        <v>8</v>
      </c>
      <c r="S25" s="1570">
        <f>F25</f>
        <v>100</v>
      </c>
      <c r="T25" s="1569" t="s">
        <v>8</v>
      </c>
      <c r="U25" s="1570">
        <f>H25</f>
        <v>100</v>
      </c>
      <c r="V25" s="1569" t="s">
        <v>8</v>
      </c>
      <c r="W25" s="1570">
        <f>J25</f>
        <v>100</v>
      </c>
      <c r="X25" s="1571"/>
      <c r="Y25" s="3471"/>
      <c r="Z25" s="1150">
        <f>Q25</f>
        <v>111</v>
      </c>
      <c r="AA25" s="1577">
        <f>D25/F25</f>
        <v>1</v>
      </c>
      <c r="AB25" s="1577">
        <f>D25/H25</f>
        <v>1</v>
      </c>
      <c r="AC25" s="1577">
        <f>D25/J25</f>
        <v>1</v>
      </c>
    </row>
    <row r="26" spans="1:29" ht="15">
      <c r="A26" s="2909"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7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7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73"/>
      <c r="Q27" s="1606" t="str">
        <f t="shared" si="11"/>
        <v>项目停车位配比</v>
      </c>
      <c r="R27" s="1578" t="s">
        <v>8</v>
      </c>
      <c r="S27" s="1579">
        <f t="shared" si="12"/>
        <v>100</v>
      </c>
      <c r="T27" s="1578" t="s">
        <v>8</v>
      </c>
      <c r="U27" s="1579">
        <f t="shared" si="13"/>
        <v>100</v>
      </c>
      <c r="V27" s="1578" t="s">
        <v>8</v>
      </c>
      <c r="W27" s="1579">
        <f t="shared" si="14"/>
        <v>100</v>
      </c>
      <c r="X27" s="1580"/>
      <c r="Y27" s="3473"/>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73"/>
      <c r="Q28" s="1573" t="str">
        <f t="shared" si="11"/>
        <v>公共部分装修</v>
      </c>
      <c r="R28" s="1574" t="s">
        <v>8</v>
      </c>
      <c r="S28" s="1575">
        <f t="shared" si="12"/>
        <v>100</v>
      </c>
      <c r="T28" s="1574" t="s">
        <v>8</v>
      </c>
      <c r="U28" s="1575">
        <f t="shared" si="13"/>
        <v>100</v>
      </c>
      <c r="V28" s="1574" t="s">
        <v>8</v>
      </c>
      <c r="W28" s="1575">
        <f t="shared" si="14"/>
        <v>100</v>
      </c>
      <c r="X28" s="1568"/>
      <c r="Y28" s="3473"/>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73"/>
      <c r="Q29" s="1573" t="str">
        <f t="shared" si="11"/>
        <v>成新率</v>
      </c>
      <c r="R29" s="1574" t="s">
        <v>8</v>
      </c>
      <c r="S29" s="1575" t="e">
        <f t="shared" si="12"/>
        <v>#N/A</v>
      </c>
      <c r="T29" s="1574" t="s">
        <v>8</v>
      </c>
      <c r="U29" s="1575" t="e">
        <f t="shared" si="13"/>
        <v>#N/A</v>
      </c>
      <c r="V29" s="1574" t="s">
        <v>8</v>
      </c>
      <c r="W29" s="1575" t="e">
        <f t="shared" si="14"/>
        <v>#N/A</v>
      </c>
      <c r="X29" s="1568"/>
      <c r="Y29" s="3473"/>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73"/>
      <c r="Q30" s="1573" t="str">
        <f t="shared" si="11"/>
        <v>物业等级</v>
      </c>
      <c r="R30" s="1574" t="s">
        <v>8</v>
      </c>
      <c r="S30" s="1575">
        <f t="shared" si="12"/>
        <v>100</v>
      </c>
      <c r="T30" s="1574" t="s">
        <v>8</v>
      </c>
      <c r="U30" s="1575">
        <f t="shared" si="13"/>
        <v>100</v>
      </c>
      <c r="V30" s="1574" t="s">
        <v>8</v>
      </c>
      <c r="W30" s="1575">
        <f t="shared" si="14"/>
        <v>100</v>
      </c>
      <c r="X30" s="1568"/>
      <c r="Y30" s="347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73"/>
      <c r="Q31" s="1151" t="str">
        <f t="shared" si="11"/>
        <v>停车位面积</v>
      </c>
      <c r="R31" s="1569" t="s">
        <v>8</v>
      </c>
      <c r="S31" s="1570" t="e">
        <f t="shared" si="12"/>
        <v>#N/A</v>
      </c>
      <c r="T31" s="1569" t="s">
        <v>8</v>
      </c>
      <c r="U31" s="1570" t="e">
        <f t="shared" si="13"/>
        <v>#N/A</v>
      </c>
      <c r="V31" s="1569" t="s">
        <v>8</v>
      </c>
      <c r="W31" s="1570" t="e">
        <f t="shared" si="14"/>
        <v>#N/A</v>
      </c>
      <c r="X31" s="1571"/>
      <c r="Y31" s="3473"/>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73" t="s">
        <v>550</v>
      </c>
      <c r="Q32" s="1573" t="str">
        <f t="shared" si="11"/>
        <v>车位类型</v>
      </c>
      <c r="R32" s="1574" t="s">
        <v>8</v>
      </c>
      <c r="S32" s="1575">
        <f t="shared" si="12"/>
        <v>100</v>
      </c>
      <c r="T32" s="1574" t="s">
        <v>8</v>
      </c>
      <c r="U32" s="1575">
        <f t="shared" si="13"/>
        <v>100</v>
      </c>
      <c r="V32" s="1574" t="s">
        <v>8</v>
      </c>
      <c r="W32" s="1575">
        <f t="shared" si="14"/>
        <v>100</v>
      </c>
      <c r="X32" s="1568"/>
      <c r="Y32" s="3473"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73"/>
      <c r="Q33" s="1573" t="str">
        <f t="shared" si="11"/>
        <v>是否直接入户</v>
      </c>
      <c r="R33" s="1574" t="s">
        <v>8</v>
      </c>
      <c r="S33" s="1575">
        <f t="shared" si="12"/>
        <v>100</v>
      </c>
      <c r="T33" s="1574" t="s">
        <v>8</v>
      </c>
      <c r="U33" s="1575">
        <f t="shared" si="13"/>
        <v>100</v>
      </c>
      <c r="V33" s="1574" t="s">
        <v>8</v>
      </c>
      <c r="W33" s="1575">
        <f t="shared" si="14"/>
        <v>100</v>
      </c>
      <c r="X33" s="1568"/>
      <c r="Y33" s="347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73"/>
      <c r="Q34" s="1573">
        <f t="shared" si="11"/>
        <v>111</v>
      </c>
      <c r="R34" s="1574" t="s">
        <v>8</v>
      </c>
      <c r="S34" s="1575">
        <f t="shared" si="12"/>
        <v>100</v>
      </c>
      <c r="T34" s="1574" t="s">
        <v>8</v>
      </c>
      <c r="U34" s="1575">
        <f t="shared" si="13"/>
        <v>100</v>
      </c>
      <c r="V34" s="1574" t="s">
        <v>8</v>
      </c>
      <c r="W34" s="1575">
        <f t="shared" si="14"/>
        <v>100</v>
      </c>
      <c r="X34" s="1568"/>
      <c r="Y34" s="347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73"/>
      <c r="Q35" s="1606">
        <f t="shared" si="11"/>
        <v>111</v>
      </c>
      <c r="R35" s="1578" t="s">
        <v>8</v>
      </c>
      <c r="S35" s="1579">
        <f t="shared" si="12"/>
        <v>100</v>
      </c>
      <c r="T35" s="1578" t="s">
        <v>8</v>
      </c>
      <c r="U35" s="1579">
        <f t="shared" si="13"/>
        <v>100</v>
      </c>
      <c r="V35" s="1578" t="s">
        <v>8</v>
      </c>
      <c r="W35" s="1579">
        <f t="shared" si="14"/>
        <v>100</v>
      </c>
      <c r="X35" s="1580"/>
      <c r="Y35" s="347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73"/>
      <c r="Q36" s="1573">
        <f t="shared" si="11"/>
        <v>111</v>
      </c>
      <c r="R36" s="1574" t="s">
        <v>8</v>
      </c>
      <c r="S36" s="1575">
        <f t="shared" si="12"/>
        <v>100</v>
      </c>
      <c r="T36" s="1574" t="s">
        <v>8</v>
      </c>
      <c r="U36" s="1575">
        <f t="shared" si="13"/>
        <v>100</v>
      </c>
      <c r="V36" s="1574" t="s">
        <v>8</v>
      </c>
      <c r="W36" s="1575">
        <f t="shared" si="14"/>
        <v>100</v>
      </c>
      <c r="X36" s="1568"/>
      <c r="Y36" s="3473"/>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468" t="str">
        <f>A37</f>
        <v>成交单价</v>
      </c>
      <c r="Q37" s="3468"/>
      <c r="R37" s="3581">
        <f>E37</f>
        <v>0</v>
      </c>
      <c r="S37" s="3581"/>
      <c r="T37" s="3581">
        <f>G37</f>
        <v>0</v>
      </c>
      <c r="U37" s="3581"/>
      <c r="V37" s="3581">
        <f>I37</f>
        <v>0</v>
      </c>
      <c r="W37" s="3581"/>
      <c r="X37" s="1560"/>
      <c r="Y37" s="1582"/>
      <c r="Z37" s="1560"/>
      <c r="AA37" s="1560"/>
      <c r="AB37" s="1560"/>
      <c r="AC37" s="1560"/>
    </row>
    <row r="38" spans="1:29" ht="15.75" thickBot="1">
      <c r="A38" s="615" t="s">
        <v>2763</v>
      </c>
      <c r="B38" s="888"/>
      <c r="C38" s="2635" t="e">
        <f>R39</f>
        <v>#DIV/0!</v>
      </c>
      <c r="D38" s="2636"/>
      <c r="E38" s="2637" t="e">
        <f>R38</f>
        <v>#DIV/0!</v>
      </c>
      <c r="F38" s="2637"/>
      <c r="G38" s="2635" t="e">
        <f>T38</f>
        <v>#DIV/0!</v>
      </c>
      <c r="H38" s="2636"/>
      <c r="I38" s="2637" t="e">
        <f>V38</f>
        <v>#DIV/0!</v>
      </c>
      <c r="J38" s="2636"/>
      <c r="K38" s="1613"/>
      <c r="L38" s="2146"/>
      <c r="M38" s="2147"/>
      <c r="N38" s="2147"/>
      <c r="O38" s="2147"/>
      <c r="P38" s="3468" t="str">
        <f>A38</f>
        <v>比较价格（元/平方米）</v>
      </c>
      <c r="Q38" s="3468"/>
      <c r="R38" s="3581" t="e">
        <f>IF(F1="售价",ROUND(PRODUCT(R37,AA7:AA36),0),ROUND(PRODUCT(R37,AA7:AA36),1))</f>
        <v>#DIV/0!</v>
      </c>
      <c r="S38" s="3581"/>
      <c r="T38" s="3581" t="e">
        <f>IF(F1="售价",ROUND(PRODUCT(T37,AB7:AB36),0),ROUND(PRODUCT(T37,AB7:AB36),1))</f>
        <v>#DIV/0!</v>
      </c>
      <c r="U38" s="3581"/>
      <c r="V38" s="3581" t="e">
        <f>IF(F1="售价",ROUND(PRODUCT(V37,AC7:AC36),0),ROUND(PRODUCT(V37,AC7:AC36),1))</f>
        <v>#DIV/0!</v>
      </c>
      <c r="W38" s="3581"/>
      <c r="X38" s="1560"/>
      <c r="Y38" s="1560"/>
      <c r="Z38" s="1560"/>
      <c r="AA38" s="1560"/>
      <c r="AB38" s="1560"/>
      <c r="AC38" s="1560"/>
    </row>
    <row r="39" spans="1:29" ht="15.75" thickBot="1">
      <c r="A39" s="621" t="s">
        <v>2939</v>
      </c>
      <c r="B39" s="622"/>
      <c r="C39" s="2638" t="e">
        <f>R39</f>
        <v>#DIV/0!</v>
      </c>
      <c r="D39" s="2638"/>
      <c r="E39" s="2638"/>
      <c r="F39" s="2638"/>
      <c r="G39" s="2638"/>
      <c r="H39" s="2638"/>
      <c r="I39" s="2638"/>
      <c r="J39" s="2638"/>
      <c r="K39" s="1614"/>
      <c r="L39" s="2146"/>
      <c r="M39" s="2147"/>
      <c r="N39" s="2147"/>
      <c r="O39" s="2147"/>
      <c r="P39" s="3489" t="str">
        <f>A39</f>
        <v>估价对象XX用房的比较价格（楼面单价，元/平方米）</v>
      </c>
      <c r="Q39" s="3490"/>
      <c r="R39" s="3580" t="e">
        <f>IF(F1="售价",ROUND(AVERAGE(R38:V38),0),ROUND(AVERAGE(R38:V38),1))</f>
        <v>#DIV/0!</v>
      </c>
      <c r="S39" s="3580"/>
      <c r="T39" s="3580"/>
      <c r="U39" s="3580"/>
      <c r="V39" s="3580"/>
      <c r="W39" s="3580"/>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2018-11</v>
      </c>
      <c r="D48" s="2806">
        <f>EDATE(C48,-1)</f>
        <v>43374</v>
      </c>
      <c r="E48" s="2806">
        <f t="shared" ref="E48:O48" si="16">EDATE(D48,-1)</f>
        <v>43344</v>
      </c>
      <c r="F48" s="2806">
        <f t="shared" si="16"/>
        <v>43313</v>
      </c>
      <c r="G48" s="2806">
        <f t="shared" si="16"/>
        <v>43282</v>
      </c>
      <c r="H48" s="2806">
        <f t="shared" si="16"/>
        <v>43252</v>
      </c>
      <c r="I48" s="2806">
        <f t="shared" si="16"/>
        <v>43221</v>
      </c>
      <c r="J48" s="2806">
        <f t="shared" si="16"/>
        <v>43191</v>
      </c>
      <c r="K48" s="2806">
        <f t="shared" si="16"/>
        <v>43160</v>
      </c>
      <c r="L48" s="2806">
        <f t="shared" si="16"/>
        <v>43132</v>
      </c>
      <c r="M48" s="2806">
        <f t="shared" si="16"/>
        <v>43101</v>
      </c>
      <c r="N48" s="2806">
        <f t="shared" si="16"/>
        <v>43070</v>
      </c>
      <c r="O48" s="2806">
        <f t="shared" si="16"/>
        <v>43040</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74" t="s">
        <v>798</v>
      </c>
      <c r="D4" s="3475"/>
      <c r="E4" s="3498" t="s">
        <v>799</v>
      </c>
      <c r="F4" s="3499"/>
      <c r="G4" s="3474" t="s">
        <v>800</v>
      </c>
      <c r="H4" s="3475"/>
      <c r="I4" s="3474" t="s">
        <v>801</v>
      </c>
      <c r="J4" s="3475"/>
      <c r="K4" s="514" t="s">
        <v>802</v>
      </c>
      <c r="L4" s="2135"/>
      <c r="M4" s="2136"/>
      <c r="N4" s="2136"/>
      <c r="O4" s="2136"/>
      <c r="P4" s="3476" t="s">
        <v>803</v>
      </c>
      <c r="Q4" s="3477"/>
      <c r="R4" s="3462" t="s">
        <v>799</v>
      </c>
      <c r="S4" s="3463"/>
      <c r="T4" s="3462" t="s">
        <v>800</v>
      </c>
      <c r="U4" s="3463"/>
      <c r="V4" s="3482" t="s">
        <v>801</v>
      </c>
      <c r="W4" s="3482"/>
      <c r="X4" s="1568"/>
      <c r="Y4" s="3462" t="s">
        <v>803</v>
      </c>
      <c r="Z4" s="3463"/>
      <c r="AA4" s="3457" t="s">
        <v>799</v>
      </c>
      <c r="AB4" s="3458" t="s">
        <v>800</v>
      </c>
      <c r="AC4" s="3457" t="s">
        <v>801</v>
      </c>
    </row>
    <row r="5" spans="1:29" ht="15">
      <c r="A5" s="515"/>
      <c r="B5" s="516"/>
      <c r="C5" s="3485" t="s">
        <v>2933</v>
      </c>
      <c r="D5" s="3486"/>
      <c r="E5" s="3500" t="s">
        <v>2934</v>
      </c>
      <c r="F5" s="3501"/>
      <c r="G5" s="3485" t="s">
        <v>2935</v>
      </c>
      <c r="H5" s="3486"/>
      <c r="I5" s="3485" t="s">
        <v>2936</v>
      </c>
      <c r="J5" s="3486"/>
      <c r="K5" s="514"/>
      <c r="L5" s="2135"/>
      <c r="M5" s="2136"/>
      <c r="N5" s="2136"/>
      <c r="O5" s="2136"/>
      <c r="P5" s="3478"/>
      <c r="Q5" s="3479"/>
      <c r="R5" s="3464"/>
      <c r="S5" s="3465"/>
      <c r="T5" s="3464"/>
      <c r="U5" s="3465"/>
      <c r="V5" s="3482"/>
      <c r="W5" s="3482"/>
      <c r="X5" s="1568"/>
      <c r="Y5" s="3464"/>
      <c r="Z5" s="3465"/>
      <c r="AA5" s="3458"/>
      <c r="AB5" s="3458"/>
      <c r="AC5" s="3458"/>
    </row>
    <row r="6" spans="1:29" ht="15.75" thickBot="1">
      <c r="A6" s="517"/>
      <c r="B6" s="518"/>
      <c r="C6" s="3483" t="s">
        <v>2937</v>
      </c>
      <c r="D6" s="3484"/>
      <c r="E6" s="3502" t="s">
        <v>2937</v>
      </c>
      <c r="F6" s="3503"/>
      <c r="G6" s="3483" t="s">
        <v>2937</v>
      </c>
      <c r="H6" s="3484"/>
      <c r="I6" s="3483" t="s">
        <v>2937</v>
      </c>
      <c r="J6" s="3484"/>
      <c r="K6" s="514" t="s">
        <v>528</v>
      </c>
      <c r="L6" s="2135"/>
      <c r="M6" s="2136"/>
      <c r="N6" s="2136"/>
      <c r="O6" s="2136"/>
      <c r="P6" s="3480"/>
      <c r="Q6" s="3481"/>
      <c r="R6" s="3464"/>
      <c r="S6" s="3465"/>
      <c r="T6" s="3466"/>
      <c r="U6" s="3467"/>
      <c r="V6" s="3482"/>
      <c r="W6" s="3482"/>
      <c r="X6" s="1568"/>
      <c r="Y6" s="3466"/>
      <c r="Z6" s="3467"/>
      <c r="AA6" s="3459"/>
      <c r="AB6" s="3459"/>
      <c r="AC6" s="3459"/>
    </row>
    <row r="7" spans="1:29" s="1220" customFormat="1" ht="15.75" thickBot="1">
      <c r="A7" s="2914"/>
      <c r="B7" s="2921" t="s">
        <v>529</v>
      </c>
      <c r="C7" s="519">
        <f>'数据-取费表'!B2</f>
        <v>43410</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60" t="s">
        <v>530</v>
      </c>
      <c r="Q7" s="3469"/>
      <c r="R7" s="1569" t="s">
        <v>8</v>
      </c>
      <c r="S7" s="1570">
        <f t="shared" ref="S7:S14" si="0">F7</f>
        <v>0</v>
      </c>
      <c r="T7" s="1569" t="s">
        <v>8</v>
      </c>
      <c r="U7" s="1570">
        <f t="shared" ref="U7:U14" si="1">H7</f>
        <v>0</v>
      </c>
      <c r="V7" s="1569" t="s">
        <v>8</v>
      </c>
      <c r="W7" s="1570">
        <f t="shared" ref="W7:W14" si="2">J7</f>
        <v>0</v>
      </c>
      <c r="X7" s="1571"/>
      <c r="Y7" s="3460" t="s">
        <v>530</v>
      </c>
      <c r="Z7" s="3461"/>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60" t="s">
        <v>533</v>
      </c>
      <c r="Q8" s="3461"/>
      <c r="R8" s="1569" t="s">
        <v>8</v>
      </c>
      <c r="S8" s="1570">
        <f t="shared" si="0"/>
        <v>0</v>
      </c>
      <c r="T8" s="1569" t="s">
        <v>8</v>
      </c>
      <c r="U8" s="1570">
        <f t="shared" si="1"/>
        <v>0</v>
      </c>
      <c r="V8" s="1569" t="s">
        <v>8</v>
      </c>
      <c r="W8" s="1570">
        <f t="shared" si="2"/>
        <v>0</v>
      </c>
      <c r="X8" s="1571"/>
      <c r="Y8" s="3460" t="s">
        <v>533</v>
      </c>
      <c r="Z8" s="3461"/>
      <c r="AA8" s="1572" t="e">
        <f t="shared" ref="AA8:AA34" si="3">D8/F8</f>
        <v>#DIV/0!</v>
      </c>
      <c r="AB8" s="1572" t="e">
        <f t="shared" ref="AB8:AB34" si="4">D8/H8</f>
        <v>#DIV/0!</v>
      </c>
      <c r="AC8" s="1572" t="e">
        <f t="shared" ref="AC8:AC34" si="5">D8/J8</f>
        <v>#DIV/0!</v>
      </c>
    </row>
    <row r="9" spans="1:29" s="1220" customFormat="1" ht="15">
      <c r="A9" s="2916"/>
      <c r="B9" s="2923"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68" t="s">
        <v>535</v>
      </c>
      <c r="Q9" s="1151" t="str">
        <f t="shared" ref="Q9:Q14" si="6">B9</f>
        <v>用途</v>
      </c>
      <c r="R9" s="1569" t="s">
        <v>8</v>
      </c>
      <c r="S9" s="1570">
        <f t="shared" si="0"/>
        <v>100</v>
      </c>
      <c r="T9" s="1569" t="s">
        <v>8</v>
      </c>
      <c r="U9" s="1570">
        <f t="shared" si="1"/>
        <v>100</v>
      </c>
      <c r="V9" s="1569" t="s">
        <v>8</v>
      </c>
      <c r="W9" s="1570">
        <f t="shared" si="2"/>
        <v>100</v>
      </c>
      <c r="X9" s="1571"/>
      <c r="Y9" s="3425"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68"/>
      <c r="Q10" s="1151" t="str">
        <f t="shared" si="6"/>
        <v>土地使用年限（年）</v>
      </c>
      <c r="R10" s="1569" t="s">
        <v>8</v>
      </c>
      <c r="S10" s="1570">
        <f t="shared" si="0"/>
        <v>100</v>
      </c>
      <c r="T10" s="1569" t="s">
        <v>8</v>
      </c>
      <c r="U10" s="1570">
        <f t="shared" si="1"/>
        <v>100</v>
      </c>
      <c r="V10" s="1569" t="s">
        <v>8</v>
      </c>
      <c r="W10" s="1570">
        <f t="shared" si="2"/>
        <v>100</v>
      </c>
      <c r="X10" s="1571"/>
      <c r="Y10" s="3425"/>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68"/>
      <c r="Q11" s="1151">
        <f t="shared" si="6"/>
        <v>111</v>
      </c>
      <c r="R11" s="1569" t="s">
        <v>8</v>
      </c>
      <c r="S11" s="1570">
        <f t="shared" si="0"/>
        <v>100</v>
      </c>
      <c r="T11" s="1569" t="s">
        <v>8</v>
      </c>
      <c r="U11" s="1570">
        <f t="shared" si="1"/>
        <v>100</v>
      </c>
      <c r="V11" s="1569" t="s">
        <v>8</v>
      </c>
      <c r="W11" s="1570">
        <f t="shared" si="2"/>
        <v>100</v>
      </c>
      <c r="X11" s="1571"/>
      <c r="Y11" s="3425"/>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68"/>
      <c r="Q12" s="1151">
        <f t="shared" si="6"/>
        <v>111</v>
      </c>
      <c r="R12" s="1569" t="s">
        <v>8</v>
      </c>
      <c r="S12" s="1570">
        <f t="shared" si="0"/>
        <v>100</v>
      </c>
      <c r="T12" s="1569" t="s">
        <v>8</v>
      </c>
      <c r="U12" s="1570">
        <f t="shared" si="1"/>
        <v>100</v>
      </c>
      <c r="V12" s="1569" t="s">
        <v>8</v>
      </c>
      <c r="W12" s="1570">
        <f t="shared" si="2"/>
        <v>100</v>
      </c>
      <c r="X12" s="1571"/>
      <c r="Y12" s="3425"/>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68"/>
      <c r="Q13" s="1151">
        <f t="shared" si="6"/>
        <v>111</v>
      </c>
      <c r="R13" s="1569" t="s">
        <v>8</v>
      </c>
      <c r="S13" s="1570">
        <f t="shared" si="0"/>
        <v>100</v>
      </c>
      <c r="T13" s="1569" t="s">
        <v>8</v>
      </c>
      <c r="U13" s="1570">
        <f t="shared" si="1"/>
        <v>100</v>
      </c>
      <c r="V13" s="1569" t="s">
        <v>8</v>
      </c>
      <c r="W13" s="1570">
        <f t="shared" si="2"/>
        <v>100</v>
      </c>
      <c r="X13" s="1571"/>
      <c r="Y13" s="3425"/>
      <c r="Z13" s="1150">
        <f t="shared" si="7"/>
        <v>111</v>
      </c>
      <c r="AA13" s="1572">
        <f t="shared" si="3"/>
        <v>1</v>
      </c>
      <c r="AB13" s="1572">
        <f t="shared" si="4"/>
        <v>1</v>
      </c>
      <c r="AC13" s="1572">
        <f t="shared" si="5"/>
        <v>1</v>
      </c>
    </row>
    <row r="14" spans="1:29" ht="85.5">
      <c r="A14" s="2912"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70" t="s">
        <v>540</v>
      </c>
      <c r="Q14" s="1573" t="str">
        <f t="shared" si="6"/>
        <v>交通便捷度</v>
      </c>
      <c r="R14" s="1574" t="s">
        <v>8</v>
      </c>
      <c r="S14" s="1575">
        <f t="shared" si="0"/>
        <v>100</v>
      </c>
      <c r="T14" s="1574" t="s">
        <v>8</v>
      </c>
      <c r="U14" s="1575">
        <f t="shared" si="1"/>
        <v>100</v>
      </c>
      <c r="V14" s="1574" t="s">
        <v>8</v>
      </c>
      <c r="W14" s="1575">
        <f t="shared" si="2"/>
        <v>100</v>
      </c>
      <c r="X14" s="1568"/>
      <c r="Y14" s="347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71"/>
      <c r="Q15" s="1573"/>
      <c r="R15" s="1574"/>
      <c r="S15" s="1575"/>
      <c r="T15" s="1574"/>
      <c r="U15" s="1575"/>
      <c r="V15" s="1574"/>
      <c r="W15" s="1575"/>
      <c r="X15" s="1568"/>
      <c r="Y15" s="3471"/>
      <c r="Z15" s="1576"/>
      <c r="AA15" s="1577">
        <v>1</v>
      </c>
      <c r="AB15" s="1577">
        <v>1</v>
      </c>
      <c r="AC15" s="1577">
        <v>1</v>
      </c>
    </row>
    <row r="16" spans="1:29" ht="42.75">
      <c r="A16" s="532"/>
      <c r="B16" s="2605"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71"/>
      <c r="Q16" s="1573" t="str">
        <f>B16</f>
        <v>公共配套设施</v>
      </c>
      <c r="R16" s="1574" t="s">
        <v>8</v>
      </c>
      <c r="S16" s="1575">
        <f>F16</f>
        <v>100</v>
      </c>
      <c r="T16" s="1574" t="s">
        <v>8</v>
      </c>
      <c r="U16" s="1575">
        <f>H16</f>
        <v>100</v>
      </c>
      <c r="V16" s="1574" t="s">
        <v>8</v>
      </c>
      <c r="W16" s="1575">
        <f>J16</f>
        <v>100</v>
      </c>
      <c r="X16" s="1568"/>
      <c r="Y16" s="347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71"/>
      <c r="Q17" s="1573"/>
      <c r="R17" s="1574"/>
      <c r="S17" s="1575"/>
      <c r="T17" s="1574"/>
      <c r="U17" s="1575"/>
      <c r="V17" s="1574"/>
      <c r="W17" s="1575"/>
      <c r="X17" s="1568"/>
      <c r="Y17" s="3471"/>
      <c r="Z17" s="1576"/>
      <c r="AA17" s="1577">
        <v>1</v>
      </c>
      <c r="AB17" s="1577">
        <v>1</v>
      </c>
      <c r="AC17" s="1577">
        <v>1</v>
      </c>
    </row>
    <row r="18" spans="1:29" ht="28.5">
      <c r="A18" s="532"/>
      <c r="B18" s="2593"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71"/>
      <c r="Q18" s="2581" t="str">
        <f>B18</f>
        <v>基础设施水平</v>
      </c>
      <c r="R18" s="1574" t="s">
        <v>8</v>
      </c>
      <c r="S18" s="1575">
        <f>F18</f>
        <v>100</v>
      </c>
      <c r="T18" s="1574" t="s">
        <v>8</v>
      </c>
      <c r="U18" s="1575">
        <f>H18</f>
        <v>100</v>
      </c>
      <c r="V18" s="1574" t="s">
        <v>8</v>
      </c>
      <c r="W18" s="1575">
        <f>J18</f>
        <v>100</v>
      </c>
      <c r="X18" s="2583"/>
      <c r="Y18" s="3471"/>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71"/>
      <c r="Q19" s="2581"/>
      <c r="R19" s="1574"/>
      <c r="S19" s="1575"/>
      <c r="T19" s="1574"/>
      <c r="U19" s="1575"/>
      <c r="V19" s="1574"/>
      <c r="W19" s="1575"/>
      <c r="X19" s="2583"/>
      <c r="Y19" s="3471"/>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71"/>
      <c r="Q20" s="1573" t="str">
        <f>B20</f>
        <v>自然及人文环境</v>
      </c>
      <c r="R20" s="1574" t="s">
        <v>8</v>
      </c>
      <c r="S20" s="1575">
        <f>F20</f>
        <v>100</v>
      </c>
      <c r="T20" s="1574" t="s">
        <v>8</v>
      </c>
      <c r="U20" s="1575">
        <f>H20</f>
        <v>100</v>
      </c>
      <c r="V20" s="1574" t="s">
        <v>8</v>
      </c>
      <c r="W20" s="1575">
        <f>J20</f>
        <v>100</v>
      </c>
      <c r="X20" s="1568"/>
      <c r="Y20" s="347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71"/>
      <c r="Q21" s="1573"/>
      <c r="R21" s="1574"/>
      <c r="S21" s="1575"/>
      <c r="T21" s="1574"/>
      <c r="U21" s="1575"/>
      <c r="V21" s="1574"/>
      <c r="W21" s="1575"/>
      <c r="X21" s="1568"/>
      <c r="Y21" s="347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71"/>
      <c r="Q22" s="1573" t="str">
        <f>B22</f>
        <v>楼层</v>
      </c>
      <c r="R22" s="1574" t="s">
        <v>8</v>
      </c>
      <c r="S22" s="1575">
        <f>F22</f>
        <v>100</v>
      </c>
      <c r="T22" s="1574" t="s">
        <v>8</v>
      </c>
      <c r="U22" s="1575">
        <f>H22</f>
        <v>100</v>
      </c>
      <c r="V22" s="1574" t="s">
        <v>8</v>
      </c>
      <c r="W22" s="1575">
        <f>J22</f>
        <v>100</v>
      </c>
      <c r="X22" s="1568"/>
      <c r="Y22" s="347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71"/>
      <c r="Q23" s="1573">
        <f>B23</f>
        <v>111</v>
      </c>
      <c r="R23" s="1574" t="s">
        <v>8</v>
      </c>
      <c r="S23" s="1575">
        <f>F23</f>
        <v>100</v>
      </c>
      <c r="T23" s="1574" t="s">
        <v>8</v>
      </c>
      <c r="U23" s="1575">
        <f>H23</f>
        <v>100</v>
      </c>
      <c r="V23" s="1574" t="s">
        <v>8</v>
      </c>
      <c r="W23" s="1575">
        <f>J23</f>
        <v>100</v>
      </c>
      <c r="X23" s="1568"/>
      <c r="Y23" s="347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71"/>
      <c r="Q24" s="1573">
        <f t="shared" ref="Q24:Q34" si="11">B24</f>
        <v>111</v>
      </c>
      <c r="R24" s="1574" t="s">
        <v>8</v>
      </c>
      <c r="S24" s="1575">
        <f>F24</f>
        <v>100</v>
      </c>
      <c r="T24" s="1574" t="s">
        <v>8</v>
      </c>
      <c r="U24" s="1575">
        <f>H24</f>
        <v>100</v>
      </c>
      <c r="V24" s="1574" t="s">
        <v>8</v>
      </c>
      <c r="W24" s="1575">
        <f>J24</f>
        <v>100</v>
      </c>
      <c r="X24" s="1568"/>
      <c r="Y24" s="347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71"/>
      <c r="Q25" s="1151">
        <f t="shared" si="11"/>
        <v>111</v>
      </c>
      <c r="R25" s="1569" t="s">
        <v>8</v>
      </c>
      <c r="S25" s="1570">
        <f>F25</f>
        <v>100</v>
      </c>
      <c r="T25" s="1569" t="s">
        <v>8</v>
      </c>
      <c r="U25" s="1570">
        <f>H25</f>
        <v>100</v>
      </c>
      <c r="V25" s="1569" t="s">
        <v>8</v>
      </c>
      <c r="W25" s="1570">
        <f>J25</f>
        <v>100</v>
      </c>
      <c r="X25" s="1571"/>
      <c r="Y25" s="3471"/>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7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7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73"/>
      <c r="Q27" s="1606" t="str">
        <f t="shared" si="11"/>
        <v>成新率</v>
      </c>
      <c r="R27" s="1578" t="s">
        <v>8</v>
      </c>
      <c r="S27" s="1579" t="e">
        <f t="shared" si="12"/>
        <v>#N/A</v>
      </c>
      <c r="T27" s="1578" t="s">
        <v>8</v>
      </c>
      <c r="U27" s="1579" t="e">
        <f t="shared" si="13"/>
        <v>#N/A</v>
      </c>
      <c r="V27" s="1578" t="s">
        <v>8</v>
      </c>
      <c r="W27" s="1579" t="e">
        <f t="shared" si="14"/>
        <v>#N/A</v>
      </c>
      <c r="X27" s="1580"/>
      <c r="Y27" s="347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73"/>
      <c r="Q28" s="1573" t="str">
        <f t="shared" si="11"/>
        <v>物业等级</v>
      </c>
      <c r="R28" s="1574" t="s">
        <v>8</v>
      </c>
      <c r="S28" s="1575">
        <f t="shared" si="12"/>
        <v>100</v>
      </c>
      <c r="T28" s="1574" t="s">
        <v>8</v>
      </c>
      <c r="U28" s="1575">
        <f t="shared" si="13"/>
        <v>100</v>
      </c>
      <c r="V28" s="1574" t="s">
        <v>8</v>
      </c>
      <c r="W28" s="1575">
        <f t="shared" si="14"/>
        <v>100</v>
      </c>
      <c r="X28" s="1568"/>
      <c r="Y28" s="347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73"/>
      <c r="Q29" s="1573" t="str">
        <f t="shared" si="11"/>
        <v>有无电梯</v>
      </c>
      <c r="R29" s="1574" t="s">
        <v>8</v>
      </c>
      <c r="S29" s="1575">
        <f t="shared" si="12"/>
        <v>100</v>
      </c>
      <c r="T29" s="1574" t="s">
        <v>8</v>
      </c>
      <c r="U29" s="1575">
        <f t="shared" si="13"/>
        <v>100</v>
      </c>
      <c r="V29" s="1574" t="s">
        <v>8</v>
      </c>
      <c r="W29" s="1575">
        <f t="shared" si="14"/>
        <v>100</v>
      </c>
      <c r="X29" s="1568"/>
      <c r="Y29" s="347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73"/>
      <c r="Q30" s="1573" t="str">
        <f t="shared" si="11"/>
        <v>建筑面积</v>
      </c>
      <c r="R30" s="1574" t="s">
        <v>8</v>
      </c>
      <c r="S30" s="1575" t="e">
        <f t="shared" si="12"/>
        <v>#N/A</v>
      </c>
      <c r="T30" s="1574" t="s">
        <v>8</v>
      </c>
      <c r="U30" s="1575" t="e">
        <f t="shared" si="13"/>
        <v>#N/A</v>
      </c>
      <c r="V30" s="1574" t="s">
        <v>8</v>
      </c>
      <c r="W30" s="1575" t="e">
        <f t="shared" si="14"/>
        <v>#N/A</v>
      </c>
      <c r="X30" s="1568"/>
      <c r="Y30" s="347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73"/>
      <c r="Q31" s="1151" t="str">
        <f t="shared" si="11"/>
        <v>是否封闭</v>
      </c>
      <c r="R31" s="1569" t="s">
        <v>8</v>
      </c>
      <c r="S31" s="1570">
        <f t="shared" si="12"/>
        <v>100</v>
      </c>
      <c r="T31" s="1569" t="s">
        <v>8</v>
      </c>
      <c r="U31" s="1570">
        <f t="shared" si="13"/>
        <v>100</v>
      </c>
      <c r="V31" s="1569" t="s">
        <v>8</v>
      </c>
      <c r="W31" s="1570">
        <f t="shared" si="14"/>
        <v>100</v>
      </c>
      <c r="X31" s="1571"/>
      <c r="Y31" s="347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73" t="s">
        <v>550</v>
      </c>
      <c r="Q32" s="1573">
        <f t="shared" si="11"/>
        <v>111</v>
      </c>
      <c r="R32" s="1574" t="s">
        <v>8</v>
      </c>
      <c r="S32" s="1575">
        <f t="shared" si="12"/>
        <v>100</v>
      </c>
      <c r="T32" s="1574" t="s">
        <v>8</v>
      </c>
      <c r="U32" s="1575">
        <f t="shared" si="13"/>
        <v>100</v>
      </c>
      <c r="V32" s="1574" t="s">
        <v>8</v>
      </c>
      <c r="W32" s="1575">
        <f t="shared" si="14"/>
        <v>100</v>
      </c>
      <c r="X32" s="1568"/>
      <c r="Y32" s="347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73"/>
      <c r="Q33" s="1573">
        <f t="shared" si="11"/>
        <v>111</v>
      </c>
      <c r="R33" s="1574" t="s">
        <v>8</v>
      </c>
      <c r="S33" s="1575">
        <f t="shared" si="12"/>
        <v>100</v>
      </c>
      <c r="T33" s="1574" t="s">
        <v>8</v>
      </c>
      <c r="U33" s="1575">
        <f t="shared" si="13"/>
        <v>100</v>
      </c>
      <c r="V33" s="1574" t="s">
        <v>8</v>
      </c>
      <c r="W33" s="1575">
        <f t="shared" si="14"/>
        <v>100</v>
      </c>
      <c r="X33" s="1568"/>
      <c r="Y33" s="347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73"/>
      <c r="Q34" s="1573">
        <f t="shared" si="11"/>
        <v>111</v>
      </c>
      <c r="R34" s="1574" t="s">
        <v>8</v>
      </c>
      <c r="S34" s="1575">
        <f t="shared" si="12"/>
        <v>100</v>
      </c>
      <c r="T34" s="1574" t="s">
        <v>8</v>
      </c>
      <c r="U34" s="1575">
        <f t="shared" si="13"/>
        <v>100</v>
      </c>
      <c r="V34" s="1574" t="s">
        <v>8</v>
      </c>
      <c r="W34" s="1575">
        <f t="shared" si="14"/>
        <v>100</v>
      </c>
      <c r="X34" s="1568"/>
      <c r="Y34" s="3473"/>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468" t="str">
        <f>A35</f>
        <v>成交单价（元/平方米）</v>
      </c>
      <c r="Q35" s="3468"/>
      <c r="R35" s="3581">
        <f>E35</f>
        <v>0</v>
      </c>
      <c r="S35" s="3581"/>
      <c r="T35" s="3581">
        <f>G35</f>
        <v>0</v>
      </c>
      <c r="U35" s="3581"/>
      <c r="V35" s="3581">
        <f>I35</f>
        <v>0</v>
      </c>
      <c r="W35" s="3581"/>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468" t="str">
        <f>A36</f>
        <v>比较价格（元/平方米）</v>
      </c>
      <c r="Q36" s="3468"/>
      <c r="R36" s="3581" t="e">
        <f>IF(F1="售价",ROUND(PRODUCT(R35,AA7:AA34),0),ROUND(PRODUCT(R35,AA7:AA34),1))</f>
        <v>#DIV/0!</v>
      </c>
      <c r="S36" s="3581"/>
      <c r="T36" s="3581" t="e">
        <f>IF(F1="售价",ROUND(PRODUCT(T35,AB7:AB34),0),ROUND(PRODUCT(T35,AB7:AB34),1))</f>
        <v>#DIV/0!</v>
      </c>
      <c r="U36" s="3581"/>
      <c r="V36" s="3581" t="e">
        <f>IF(F1="售价",ROUND(PRODUCT(V35,AC7:AC34),0),ROUND(PRODUCT(V35,AC7:AC34),1))</f>
        <v>#DIV/0!</v>
      </c>
      <c r="W36" s="3581"/>
      <c r="X36" s="1560"/>
      <c r="Y36" s="1560"/>
      <c r="Z36" s="1560"/>
      <c r="AA36" s="1560"/>
      <c r="AB36" s="1560"/>
      <c r="AC36" s="1560"/>
    </row>
    <row r="37" spans="1:29" ht="15.75" thickBot="1">
      <c r="A37" s="621" t="s">
        <v>2939</v>
      </c>
      <c r="B37" s="622"/>
      <c r="C37" s="2638" t="e">
        <f>R37</f>
        <v>#DIV/0!</v>
      </c>
      <c r="D37" s="2638"/>
      <c r="E37" s="2638"/>
      <c r="F37" s="2638"/>
      <c r="G37" s="2638"/>
      <c r="H37" s="2638"/>
      <c r="I37" s="2638"/>
      <c r="J37" s="2638"/>
      <c r="K37" s="1614"/>
      <c r="L37" s="2146"/>
      <c r="M37" s="2147"/>
      <c r="N37" s="2147"/>
      <c r="O37" s="2147"/>
      <c r="P37" s="3489" t="str">
        <f>A37</f>
        <v>估价对象XX用房的比较价格（楼面单价，元/平方米）</v>
      </c>
      <c r="Q37" s="3490"/>
      <c r="R37" s="3580" t="e">
        <f>IF(F1="售价",ROUND(AVERAGE(R36:V36),0),ROUND(AVERAGE(R36:V36),1))</f>
        <v>#DIV/0!</v>
      </c>
      <c r="S37" s="3580"/>
      <c r="T37" s="3580"/>
      <c r="U37" s="3580"/>
      <c r="V37" s="3580"/>
      <c r="W37" s="3580"/>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2018-11</v>
      </c>
      <c r="D46" s="2806">
        <f>EDATE(C46,-1)</f>
        <v>43374</v>
      </c>
      <c r="E46" s="2806">
        <f t="shared" ref="E46:O46" si="16">EDATE(D46,-1)</f>
        <v>43344</v>
      </c>
      <c r="F46" s="2806">
        <f t="shared" si="16"/>
        <v>43313</v>
      </c>
      <c r="G46" s="2806">
        <f t="shared" si="16"/>
        <v>43282</v>
      </c>
      <c r="H46" s="2806">
        <f t="shared" si="16"/>
        <v>43252</v>
      </c>
      <c r="I46" s="2806">
        <f t="shared" si="16"/>
        <v>43221</v>
      </c>
      <c r="J46" s="2806">
        <f t="shared" si="16"/>
        <v>43191</v>
      </c>
      <c r="K46" s="2806">
        <f t="shared" si="16"/>
        <v>43160</v>
      </c>
      <c r="L46" s="2806">
        <f t="shared" si="16"/>
        <v>43132</v>
      </c>
      <c r="M46" s="2806">
        <f t="shared" si="16"/>
        <v>43101</v>
      </c>
      <c r="N46" s="2806">
        <f t="shared" si="16"/>
        <v>43070</v>
      </c>
      <c r="O46" s="2806">
        <f t="shared" si="16"/>
        <v>43040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97" sqref="C97:F102"/>
      <selection pane="bottomLeft" activeCell="C97" sqref="C97:F102"/>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590" t="s">
        <v>2307</v>
      </c>
      <c r="D1" s="3591"/>
      <c r="E1" s="3591"/>
      <c r="F1" s="3591"/>
      <c r="G1" s="3591"/>
      <c r="H1" s="3591"/>
      <c r="I1" s="3591"/>
      <c r="J1" s="3591"/>
      <c r="K1" s="3591"/>
      <c r="L1" s="3591"/>
      <c r="M1" s="3591"/>
      <c r="N1" s="3591"/>
      <c r="O1" s="3591"/>
      <c r="P1" s="3591"/>
      <c r="Q1" s="3591"/>
      <c r="R1" s="3591"/>
      <c r="S1" s="3592"/>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2943</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87" t="s">
        <v>20</v>
      </c>
      <c r="D22" s="3588"/>
      <c r="E22" s="3588"/>
      <c r="F22" s="3588"/>
      <c r="G22" s="3588"/>
      <c r="H22" s="3588"/>
      <c r="I22" s="3588"/>
      <c r="J22" s="3588"/>
      <c r="K22" s="3588"/>
      <c r="L22" s="3588"/>
      <c r="M22" s="3588"/>
      <c r="N22" s="3588"/>
      <c r="O22" s="3588"/>
      <c r="P22" s="3588"/>
      <c r="Q22" s="3589"/>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2790</v>
      </c>
      <c r="C1" s="3006">
        <f>项目基本情况!D3</f>
        <v>43410</v>
      </c>
      <c r="H1" s="2940">
        <f>IF(C1&gt;C13,0,MATCH(C1,C$13:C$100,-1))+IF(SUMIF(C13:C100,C1,D13:D100)=0,13,12)</f>
        <v>13</v>
      </c>
      <c r="I1" s="2940">
        <f ca="1">MATCH(C2,H3:H7,1)+IF(SUMIF(H3:H7,C2,I3:I7)=0,2,1)</f>
        <v>5</v>
      </c>
      <c r="J1" s="2999">
        <f>MATCH(C3,H3:H7,1)+IF(SUMIF(H3:H7,C3,J3:J7)=0,2,1)</f>
        <v>5</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2821</v>
      </c>
      <c r="C2" s="3007">
        <f>'数据-取费表'!B22</f>
        <v>3</v>
      </c>
      <c r="D2" s="3002" t="s">
        <v>2791</v>
      </c>
      <c r="E2" s="3005">
        <f ca="1">INDIRECT("I"&amp;$I$1)/100</f>
        <v>4.7500000000000001E-2</v>
      </c>
      <c r="G2" s="2942"/>
      <c r="H2" s="2942"/>
      <c r="I2" s="2942" t="s">
        <v>2792</v>
      </c>
      <c r="K2" s="2942"/>
      <c r="L2" s="2942"/>
      <c r="M2" s="2942"/>
      <c r="N2" s="2942" t="s">
        <v>2793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2823</v>
      </c>
      <c r="C3" s="3004">
        <f>'数据-取费表'!B19</f>
        <v>2</v>
      </c>
      <c r="D3" s="3002" t="s">
        <v>2791</v>
      </c>
      <c r="E3" s="3005">
        <f ca="1">INDIRECT("J"&amp;$J$1)/100</f>
        <v>4.7500000000000001E-2</v>
      </c>
      <c r="G3" s="2944" t="s">
        <v>2794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2822</v>
      </c>
      <c r="C4" s="3005">
        <f ca="1">N4/100</f>
        <v>1.4999999999999999E-2</v>
      </c>
      <c r="G4" s="2950" t="s">
        <v>2795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2800</v>
      </c>
      <c r="C10" s="2969"/>
      <c r="D10" s="2969"/>
      <c r="E10" s="2969"/>
      <c r="F10" s="2969"/>
      <c r="G10" s="2969"/>
      <c r="H10" s="2969"/>
      <c r="I10" s="2943"/>
      <c r="J10" s="2943"/>
      <c r="K10" s="2969"/>
      <c r="L10" s="2970" t="s">
        <v>2801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2802</v>
      </c>
      <c r="C11" s="2974" t="s">
        <v>2803</v>
      </c>
      <c r="D11" s="2975" t="s">
        <v>2804</v>
      </c>
      <c r="E11" s="2976"/>
      <c r="F11" s="2975" t="s">
        <v>2805</v>
      </c>
      <c r="G11" s="2977"/>
      <c r="H11" s="2976"/>
      <c r="I11" s="2975" t="s">
        <v>2806</v>
      </c>
      <c r="J11" s="2976"/>
      <c r="K11" s="2972"/>
      <c r="L11" s="2973" t="s">
        <v>2802</v>
      </c>
      <c r="M11" s="2974" t="s">
        <v>2803</v>
      </c>
      <c r="N11" s="2973" t="s">
        <v>2807</v>
      </c>
      <c r="O11" s="2975" t="s">
        <v>2808</v>
      </c>
      <c r="P11" s="2977"/>
      <c r="Q11" s="2977"/>
      <c r="R11" s="2977"/>
      <c r="S11" s="2977"/>
      <c r="T11" s="2976"/>
      <c r="U11" s="2975" t="s">
        <v>2809</v>
      </c>
      <c r="V11" s="2977"/>
      <c r="W11" s="2976"/>
      <c r="X11" s="2973" t="s">
        <v>2810</v>
      </c>
      <c r="Y11" s="2973" t="s">
        <v>2811</v>
      </c>
      <c r="Z11" s="2973" t="s">
        <v>2812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2813</v>
      </c>
      <c r="E12" s="2982" t="s">
        <v>2814</v>
      </c>
      <c r="F12" s="2982" t="s">
        <v>2815</v>
      </c>
      <c r="G12" s="2982" t="s">
        <v>2816</v>
      </c>
      <c r="H12" s="2982" t="s">
        <v>2798</v>
      </c>
      <c r="I12" s="2983" t="s">
        <v>2817</v>
      </c>
      <c r="J12" s="2983" t="s">
        <v>2817</v>
      </c>
      <c r="K12" s="2979"/>
      <c r="L12" s="2980"/>
      <c r="M12" s="2981"/>
      <c r="N12" s="2980"/>
      <c r="O12" s="2983" t="s">
        <v>2818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2819</v>
      </c>
      <c r="C13" s="2987">
        <v>42301</v>
      </c>
      <c r="D13" s="2988">
        <v>4.3499999999999996</v>
      </c>
      <c r="E13" s="2988">
        <v>4.3499999999999996</v>
      </c>
      <c r="F13" s="2988">
        <v>4.75</v>
      </c>
      <c r="G13" s="2988">
        <v>4.75</v>
      </c>
      <c r="H13" s="2988">
        <v>4.9000000000000004</v>
      </c>
      <c r="I13" s="2988">
        <v>2.75</v>
      </c>
      <c r="J13" s="2988">
        <v>3.25</v>
      </c>
      <c r="K13" s="2985"/>
      <c r="L13" s="2986" t="s">
        <v>2819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2820</v>
      </c>
      <c r="Y42" s="2992" t="s">
        <v>2820</v>
      </c>
      <c r="Z42" s="2992" t="s">
        <v>2820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2820</v>
      </c>
      <c r="Y43" s="2992" t="s">
        <v>2820</v>
      </c>
      <c r="Z43" s="2992" t="s">
        <v>2820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2820</v>
      </c>
      <c r="Y44" s="2992" t="s">
        <v>2820</v>
      </c>
      <c r="Z44" s="2992" t="s">
        <v>2820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2820</v>
      </c>
      <c r="Y45" s="2992" t="s">
        <v>2820</v>
      </c>
      <c r="Z45" s="2992" t="s">
        <v>2820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2820</v>
      </c>
      <c r="Y46" s="2992" t="s">
        <v>2820</v>
      </c>
      <c r="Z46" s="2992" t="s">
        <v>2820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2820</v>
      </c>
      <c r="Y47" s="2992" t="s">
        <v>2820</v>
      </c>
      <c r="Z47" s="2992" t="s">
        <v>2820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2820</v>
      </c>
      <c r="Y48" s="2992" t="s">
        <v>2820</v>
      </c>
      <c r="Z48" s="2992" t="s">
        <v>2820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2820</v>
      </c>
      <c r="Y49" s="2992" t="s">
        <v>2820</v>
      </c>
      <c r="Z49" s="2992" t="s">
        <v>2820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2820</v>
      </c>
      <c r="Y50" s="2992" t="s">
        <v>2820</v>
      </c>
      <c r="Z50" s="2992" t="s">
        <v>2820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2820</v>
      </c>
      <c r="V51" s="2992" t="s">
        <v>2820</v>
      </c>
      <c r="W51" s="2992" t="s">
        <v>2820</v>
      </c>
      <c r="X51" s="2992" t="s">
        <v>2820</v>
      </c>
      <c r="Y51" s="2992" t="s">
        <v>2820</v>
      </c>
      <c r="Z51" s="2992" t="s">
        <v>2820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2820</v>
      </c>
      <c r="J55" s="2992" t="s">
        <v>2820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53"/>
  <sheetViews>
    <sheetView zoomScale="115" zoomScaleNormal="115" workbookViewId="0">
      <selection activeCell="I29" sqref="I29:I30"/>
    </sheetView>
  </sheetViews>
  <sheetFormatPr defaultColWidth="9" defaultRowHeight="13.5"/>
  <cols>
    <col min="1" max="1" width="11.75" style="3261" customWidth="1"/>
    <col min="2" max="2" width="18.375" style="3261" customWidth="1"/>
    <col min="3" max="3" width="9" style="3261"/>
    <col min="4" max="4" width="11.5" style="3261" customWidth="1"/>
    <col min="5" max="6" width="9" style="3261"/>
    <col min="7" max="7" width="13.25" style="3261" customWidth="1"/>
    <col min="8" max="16384" width="9" style="3189"/>
  </cols>
  <sheetData>
    <row r="1" spans="1:19" s="3190" customFormat="1" ht="22.5" customHeight="1">
      <c r="A1" s="3253" t="s">
        <v>3192</v>
      </c>
      <c r="B1" s="3253" t="s">
        <v>3193</v>
      </c>
      <c r="C1" s="3253" t="s">
        <v>3194</v>
      </c>
      <c r="D1" s="3253" t="s">
        <v>3195</v>
      </c>
      <c r="E1" s="3253" t="s">
        <v>3196</v>
      </c>
      <c r="F1" s="3253" t="s">
        <v>3197</v>
      </c>
      <c r="G1" s="3253" t="s">
        <v>3198</v>
      </c>
      <c r="H1" s="3189"/>
      <c r="I1" s="3189"/>
      <c r="J1" s="3189"/>
      <c r="K1" s="3189"/>
      <c r="L1" s="3189"/>
      <c r="M1" s="3189"/>
      <c r="N1" s="3189"/>
      <c r="O1" s="3189"/>
      <c r="P1" s="3189"/>
      <c r="Q1" s="3189"/>
      <c r="S1" s="3191"/>
    </row>
    <row r="2" spans="1:19" s="3259" customFormat="1">
      <c r="A2" s="3257">
        <v>1</v>
      </c>
      <c r="B2" s="3258" t="s">
        <v>3231</v>
      </c>
      <c r="C2" s="3258" t="s">
        <v>3232</v>
      </c>
      <c r="D2" s="3269">
        <f>'[3]附属物-树木'!E44</f>
        <v>1631</v>
      </c>
      <c r="E2" s="3257"/>
      <c r="F2" s="3257"/>
      <c r="G2" s="3255"/>
    </row>
    <row r="3" spans="1:19">
      <c r="A3" s="3254">
        <v>2</v>
      </c>
      <c r="B3" s="3254" t="s">
        <v>3199</v>
      </c>
      <c r="C3" s="3254" t="s">
        <v>3227</v>
      </c>
      <c r="D3" s="3268">
        <f>G35</f>
        <v>5411</v>
      </c>
      <c r="E3" s="3256">
        <v>1.0900000000000001</v>
      </c>
      <c r="F3" s="3255">
        <v>0.6</v>
      </c>
      <c r="G3" s="3255">
        <f t="shared" ref="G3:G8" si="0">ROUND(D3*E3*F3*$B$13/10000,2)</f>
        <v>109.2</v>
      </c>
    </row>
    <row r="4" spans="1:19" s="3259" customFormat="1">
      <c r="A4" s="3257">
        <v>3</v>
      </c>
      <c r="B4" s="3258" t="s">
        <v>3200</v>
      </c>
      <c r="C4" s="3258" t="s">
        <v>3201</v>
      </c>
      <c r="D4" s="3269">
        <f>F41</f>
        <v>122.42999999999999</v>
      </c>
      <c r="E4" s="3257">
        <v>0.4</v>
      </c>
      <c r="F4" s="3257">
        <v>0.6</v>
      </c>
      <c r="G4" s="3255">
        <f t="shared" si="0"/>
        <v>0.91</v>
      </c>
    </row>
    <row r="5" spans="1:19">
      <c r="A5" s="3254">
        <v>4</v>
      </c>
      <c r="B5" s="3254" t="s">
        <v>3229</v>
      </c>
      <c r="C5" s="3254" t="s">
        <v>3202</v>
      </c>
      <c r="D5" s="3268">
        <f>B19</f>
        <v>47563.72</v>
      </c>
      <c r="E5" s="3256">
        <v>0.21</v>
      </c>
      <c r="F5" s="3255">
        <v>0.6</v>
      </c>
      <c r="G5" s="3255">
        <f t="shared" si="0"/>
        <v>184.93</v>
      </c>
    </row>
    <row r="6" spans="1:19" s="3259" customFormat="1">
      <c r="A6" s="3257">
        <v>5</v>
      </c>
      <c r="B6" s="3258" t="s">
        <v>3230</v>
      </c>
      <c r="C6" s="3258" t="s">
        <v>3202</v>
      </c>
      <c r="D6" s="3269">
        <f>B20+B21+B23+B22+B24</f>
        <v>17434.45</v>
      </c>
      <c r="E6" s="3257">
        <v>0.42</v>
      </c>
      <c r="F6" s="3257">
        <v>0.6</v>
      </c>
      <c r="G6" s="3255">
        <f t="shared" si="0"/>
        <v>135.57</v>
      </c>
    </row>
    <row r="7" spans="1:19">
      <c r="A7" s="3254">
        <v>6</v>
      </c>
      <c r="B7" s="3254" t="s">
        <v>3203</v>
      </c>
      <c r="C7" s="3254" t="s">
        <v>3204</v>
      </c>
      <c r="D7" s="3268">
        <f>B18</f>
        <v>10297.370000000001</v>
      </c>
      <c r="E7" s="3256">
        <v>0.37</v>
      </c>
      <c r="F7" s="3255">
        <v>0.6</v>
      </c>
      <c r="G7" s="3255">
        <f t="shared" si="0"/>
        <v>70.540000000000006</v>
      </c>
    </row>
    <row r="8" spans="1:19" s="3259" customFormat="1">
      <c r="A8" s="3257">
        <v>7</v>
      </c>
      <c r="B8" s="3270" t="str">
        <f>D48</f>
        <v>普通铁门</v>
      </c>
      <c r="C8" s="3258" t="s">
        <v>3227</v>
      </c>
      <c r="D8" s="3269">
        <f>I35</f>
        <v>75.55</v>
      </c>
      <c r="E8" s="3257">
        <v>1.58</v>
      </c>
      <c r="F8" s="3257">
        <v>0.6</v>
      </c>
      <c r="G8" s="3255">
        <f t="shared" si="0"/>
        <v>2.21</v>
      </c>
    </row>
    <row r="9" spans="1:19">
      <c r="A9" s="3254">
        <v>8</v>
      </c>
      <c r="B9" s="3271" t="str">
        <f>D49</f>
        <v>电子伸缩门</v>
      </c>
      <c r="C9" s="3254" t="s">
        <v>3228</v>
      </c>
      <c r="D9" s="3268">
        <f>I52</f>
        <v>60.4</v>
      </c>
      <c r="E9" s="3256">
        <v>750</v>
      </c>
      <c r="F9" s="3255">
        <v>0.6</v>
      </c>
      <c r="G9" s="3255">
        <f>ROUND(D9*E9*F9/10000,2)</f>
        <v>2.72</v>
      </c>
    </row>
    <row r="10" spans="1:19">
      <c r="A10" s="3254" t="s">
        <v>3205</v>
      </c>
      <c r="B10" s="3255"/>
      <c r="C10" s="3255"/>
      <c r="D10" s="3255"/>
      <c r="E10" s="3255"/>
      <c r="F10" s="3255"/>
      <c r="G10" s="3255">
        <f>SUM(G3:G6)</f>
        <v>430.61</v>
      </c>
    </row>
    <row r="13" spans="1:19">
      <c r="A13" s="3260" t="s">
        <v>3206</v>
      </c>
      <c r="B13" s="3261">
        <f>295*1.046</f>
        <v>308.57</v>
      </c>
    </row>
    <row r="14" spans="1:19">
      <c r="J14" s="3261"/>
      <c r="K14" s="3261"/>
      <c r="L14" s="3261"/>
    </row>
    <row r="15" spans="1:19">
      <c r="J15" s="3260"/>
      <c r="K15" s="3260"/>
      <c r="L15" s="3260"/>
    </row>
    <row r="17" spans="1:11">
      <c r="A17" s="3262" t="s">
        <v>3207</v>
      </c>
      <c r="B17" s="3262" t="s">
        <v>3208</v>
      </c>
      <c r="D17" s="3595" t="s">
        <v>3216</v>
      </c>
      <c r="E17" s="3596"/>
      <c r="F17" s="3596"/>
      <c r="G17" s="3263"/>
      <c r="H17" s="3593" t="s">
        <v>3253</v>
      </c>
      <c r="I17" s="3593" t="s">
        <v>3254</v>
      </c>
      <c r="J17" s="3593" t="s">
        <v>3255</v>
      </c>
      <c r="K17" s="3593" t="s">
        <v>3256</v>
      </c>
    </row>
    <row r="18" spans="1:11">
      <c r="A18" s="3262" t="s">
        <v>3209</v>
      </c>
      <c r="B18" s="3263">
        <v>10297.370000000001</v>
      </c>
      <c r="D18" s="3264" t="s">
        <v>3217</v>
      </c>
      <c r="E18" s="3263" t="s">
        <v>3218</v>
      </c>
      <c r="F18" s="3263" t="s">
        <v>3219</v>
      </c>
      <c r="G18" s="3263"/>
      <c r="H18" s="3593"/>
      <c r="I18" s="3593"/>
      <c r="J18" s="3593"/>
      <c r="K18" s="3593"/>
    </row>
    <row r="19" spans="1:11">
      <c r="A19" s="3262" t="s">
        <v>3210</v>
      </c>
      <c r="B19" s="3263">
        <v>47563.72</v>
      </c>
      <c r="D19" s="3264">
        <v>1.8</v>
      </c>
      <c r="E19" s="3263">
        <v>0.25</v>
      </c>
      <c r="F19" s="3263">
        <v>23.28</v>
      </c>
      <c r="G19" s="3266">
        <f>ROUND(D19*F19,0)</f>
        <v>42</v>
      </c>
      <c r="H19" s="3593" t="s">
        <v>3225</v>
      </c>
      <c r="I19" s="3593">
        <v>3.7</v>
      </c>
      <c r="J19" s="3593">
        <v>2</v>
      </c>
      <c r="K19" s="3593">
        <v>7.4</v>
      </c>
    </row>
    <row r="20" spans="1:11">
      <c r="A20" s="3262" t="s">
        <v>3211</v>
      </c>
      <c r="B20" s="3263">
        <v>6460.46</v>
      </c>
      <c r="D20" s="3264">
        <v>2</v>
      </c>
      <c r="E20" s="3263">
        <v>0.25</v>
      </c>
      <c r="F20" s="3263">
        <v>165.92</v>
      </c>
      <c r="G20" s="3266">
        <f t="shared" ref="G20:G34" si="1">ROUND(D20*F20,0)</f>
        <v>332</v>
      </c>
      <c r="H20" s="3593"/>
      <c r="I20" s="3593"/>
      <c r="J20" s="3593"/>
      <c r="K20" s="3593"/>
    </row>
    <row r="21" spans="1:11">
      <c r="A21" s="3262" t="s">
        <v>3212</v>
      </c>
      <c r="B21" s="3263">
        <v>134.53</v>
      </c>
      <c r="D21" s="3264">
        <v>2.2000000000000002</v>
      </c>
      <c r="E21" s="3263">
        <v>0.25</v>
      </c>
      <c r="F21" s="3263">
        <v>185.33</v>
      </c>
      <c r="G21" s="3266">
        <f t="shared" si="1"/>
        <v>408</v>
      </c>
      <c r="H21" s="3593" t="s">
        <v>3225</v>
      </c>
      <c r="I21" s="3593">
        <v>1.5</v>
      </c>
      <c r="J21" s="3593">
        <v>2.4</v>
      </c>
      <c r="K21" s="3593">
        <v>3.6</v>
      </c>
    </row>
    <row r="22" spans="1:11">
      <c r="A22" s="3262" t="s">
        <v>3213</v>
      </c>
      <c r="B22" s="3263">
        <v>3118.83</v>
      </c>
      <c r="D22" s="3264">
        <v>2.2999999999999998</v>
      </c>
      <c r="E22" s="3263">
        <v>0.25</v>
      </c>
      <c r="F22" s="3263">
        <v>18.62</v>
      </c>
      <c r="G22" s="3266">
        <f t="shared" si="1"/>
        <v>43</v>
      </c>
      <c r="H22" s="3593"/>
      <c r="I22" s="3593"/>
      <c r="J22" s="3593"/>
      <c r="K22" s="3593"/>
    </row>
    <row r="23" spans="1:11">
      <c r="A23" s="3262" t="s">
        <v>3214</v>
      </c>
      <c r="B23" s="3262">
        <v>7163.27</v>
      </c>
      <c r="D23" s="3264">
        <v>2.4</v>
      </c>
      <c r="E23" s="3263">
        <v>0.25</v>
      </c>
      <c r="F23" s="3263">
        <v>157.26</v>
      </c>
      <c r="G23" s="3266">
        <f t="shared" si="1"/>
        <v>377</v>
      </c>
      <c r="H23" s="3593" t="s">
        <v>3225</v>
      </c>
      <c r="I23" s="3593">
        <v>5.3</v>
      </c>
      <c r="J23" s="3593">
        <v>2</v>
      </c>
      <c r="K23" s="3593">
        <v>10.6</v>
      </c>
    </row>
    <row r="24" spans="1:11">
      <c r="A24" s="3262" t="s">
        <v>3215</v>
      </c>
      <c r="B24" s="3262">
        <v>557.36</v>
      </c>
      <c r="D24" s="3264">
        <v>2.5</v>
      </c>
      <c r="E24" s="3263">
        <v>0.25</v>
      </c>
      <c r="F24" s="3263">
        <v>623.74</v>
      </c>
      <c r="G24" s="3266">
        <f t="shared" si="1"/>
        <v>1559</v>
      </c>
      <c r="H24" s="3593"/>
      <c r="I24" s="3593"/>
      <c r="J24" s="3593"/>
      <c r="K24" s="3593"/>
    </row>
    <row r="25" spans="1:11">
      <c r="D25" s="3264">
        <v>2.6</v>
      </c>
      <c r="E25" s="3263">
        <v>0.25</v>
      </c>
      <c r="F25" s="3263">
        <v>172.81</v>
      </c>
      <c r="G25" s="3266">
        <f t="shared" si="1"/>
        <v>449</v>
      </c>
      <c r="H25" s="3593" t="s">
        <v>3225</v>
      </c>
      <c r="I25" s="3593">
        <v>4.95</v>
      </c>
      <c r="J25" s="3593">
        <v>2.2000000000000002</v>
      </c>
      <c r="K25" s="3593">
        <v>10.89</v>
      </c>
    </row>
    <row r="26" spans="1:11">
      <c r="D26" s="3264">
        <v>2.7</v>
      </c>
      <c r="E26" s="3263">
        <v>0.25</v>
      </c>
      <c r="F26" s="3263">
        <v>65.17</v>
      </c>
      <c r="G26" s="3266">
        <f t="shared" si="1"/>
        <v>176</v>
      </c>
      <c r="H26" s="3593"/>
      <c r="I26" s="3593"/>
      <c r="J26" s="3593"/>
      <c r="K26" s="3593"/>
    </row>
    <row r="27" spans="1:11">
      <c r="D27" s="3264">
        <v>2.8</v>
      </c>
      <c r="E27" s="3263">
        <v>0.25</v>
      </c>
      <c r="F27" s="3263">
        <v>26.41</v>
      </c>
      <c r="G27" s="3266">
        <f t="shared" si="1"/>
        <v>74</v>
      </c>
      <c r="H27" s="3593" t="s">
        <v>3225</v>
      </c>
      <c r="I27" s="3593">
        <v>3.9</v>
      </c>
      <c r="J27" s="3593">
        <v>2.2000000000000002</v>
      </c>
      <c r="K27" s="3593">
        <v>8.58</v>
      </c>
    </row>
    <row r="28" spans="1:11">
      <c r="D28" s="3264">
        <v>3</v>
      </c>
      <c r="E28" s="3263">
        <v>0.25</v>
      </c>
      <c r="F28" s="3263">
        <v>104.83</v>
      </c>
      <c r="G28" s="3266">
        <f t="shared" si="1"/>
        <v>314</v>
      </c>
      <c r="H28" s="3593"/>
      <c r="I28" s="3593"/>
      <c r="J28" s="3593"/>
      <c r="K28" s="3593"/>
    </row>
    <row r="29" spans="1:11">
      <c r="D29" s="3264">
        <v>3.2</v>
      </c>
      <c r="E29" s="3263">
        <v>0.25</v>
      </c>
      <c r="F29" s="3263">
        <v>151.18</v>
      </c>
      <c r="G29" s="3266">
        <f t="shared" si="1"/>
        <v>484</v>
      </c>
      <c r="H29" s="3593" t="s">
        <v>3225</v>
      </c>
      <c r="I29" s="3593">
        <v>4.7</v>
      </c>
      <c r="J29" s="3593">
        <v>2.8</v>
      </c>
      <c r="K29" s="3593">
        <v>13.16</v>
      </c>
    </row>
    <row r="30" spans="1:11">
      <c r="D30" s="3264">
        <v>3.3</v>
      </c>
      <c r="E30" s="3263">
        <v>0.25</v>
      </c>
      <c r="F30" s="3263">
        <v>138.22999999999999</v>
      </c>
      <c r="G30" s="3266">
        <f t="shared" si="1"/>
        <v>456</v>
      </c>
      <c r="H30" s="3593"/>
      <c r="I30" s="3593"/>
      <c r="J30" s="3593"/>
      <c r="K30" s="3593"/>
    </row>
    <row r="31" spans="1:11">
      <c r="D31" s="3264">
        <v>3.4</v>
      </c>
      <c r="E31" s="3263">
        <v>0.25</v>
      </c>
      <c r="F31" s="3263">
        <v>27.98</v>
      </c>
      <c r="G31" s="3266">
        <f t="shared" si="1"/>
        <v>95</v>
      </c>
      <c r="H31" s="3593" t="s">
        <v>3225</v>
      </c>
      <c r="I31" s="3593">
        <v>4</v>
      </c>
      <c r="J31" s="3593">
        <v>2</v>
      </c>
      <c r="K31" s="3593">
        <v>8</v>
      </c>
    </row>
    <row r="32" spans="1:11">
      <c r="D32" s="3264">
        <v>4.2</v>
      </c>
      <c r="E32" s="3263">
        <v>0.25</v>
      </c>
      <c r="F32" s="3263">
        <v>32.1</v>
      </c>
      <c r="G32" s="3266">
        <f t="shared" si="1"/>
        <v>135</v>
      </c>
      <c r="H32" s="3593"/>
      <c r="I32" s="3593"/>
      <c r="J32" s="3593"/>
      <c r="K32" s="3593"/>
    </row>
    <row r="33" spans="4:11">
      <c r="D33" s="3264">
        <v>4.5</v>
      </c>
      <c r="E33" s="3263">
        <v>0.25</v>
      </c>
      <c r="F33" s="3263">
        <v>54.57</v>
      </c>
      <c r="G33" s="3266">
        <f t="shared" si="1"/>
        <v>246</v>
      </c>
      <c r="H33" s="3593" t="s">
        <v>3225</v>
      </c>
      <c r="I33" s="3593">
        <v>5.55</v>
      </c>
      <c r="J33" s="3593">
        <v>2.4</v>
      </c>
      <c r="K33" s="3593">
        <v>13.32</v>
      </c>
    </row>
    <row r="34" spans="4:11">
      <c r="D34" s="3264">
        <v>5.56</v>
      </c>
      <c r="E34" s="3263">
        <v>0.4</v>
      </c>
      <c r="F34" s="3263">
        <v>39.659999999999997</v>
      </c>
      <c r="G34" s="3266">
        <f t="shared" si="1"/>
        <v>221</v>
      </c>
      <c r="H34" s="3593"/>
      <c r="I34" s="3593"/>
      <c r="J34" s="3593"/>
      <c r="K34" s="3593"/>
    </row>
    <row r="35" spans="4:11">
      <c r="D35" s="3264"/>
      <c r="E35" s="3263"/>
      <c r="F35" s="3272">
        <f>SUM(F19:F34)</f>
        <v>1987.0900000000001</v>
      </c>
      <c r="G35" s="3267">
        <f>SUM(G19:G34)</f>
        <v>5411</v>
      </c>
      <c r="H35" s="3593" t="s">
        <v>3257</v>
      </c>
      <c r="I35" s="3594">
        <v>75.55</v>
      </c>
      <c r="J35" s="3594"/>
      <c r="K35" s="3594"/>
    </row>
    <row r="36" spans="4:11">
      <c r="D36" s="3264" t="s">
        <v>27</v>
      </c>
      <c r="E36" s="3263"/>
      <c r="F36" s="3263">
        <v>662.07</v>
      </c>
      <c r="G36" s="3263"/>
      <c r="H36" s="3593"/>
      <c r="I36" s="3594"/>
      <c r="J36" s="3594"/>
      <c r="K36" s="3594"/>
    </row>
    <row r="37" spans="4:11">
      <c r="D37" s="3595" t="s">
        <v>3220</v>
      </c>
      <c r="E37" s="3595"/>
      <c r="F37" s="3595"/>
      <c r="G37" s="3264"/>
      <c r="H37" s="3262"/>
      <c r="I37" s="3262"/>
    </row>
    <row r="38" spans="4:11">
      <c r="D38" s="3264" t="s">
        <v>3217</v>
      </c>
      <c r="E38" s="3263" t="s">
        <v>3218</v>
      </c>
      <c r="F38" s="3263" t="s">
        <v>3219</v>
      </c>
      <c r="G38" s="3263"/>
      <c r="H38" s="3593" t="s">
        <v>3253</v>
      </c>
      <c r="I38" s="3593" t="s">
        <v>3258</v>
      </c>
      <c r="J38" s="3593"/>
      <c r="K38" s="3593"/>
    </row>
    <row r="39" spans="4:11">
      <c r="D39" s="3264">
        <v>2</v>
      </c>
      <c r="E39" s="3265" t="s">
        <v>3221</v>
      </c>
      <c r="F39" s="3263">
        <v>74.489999999999995</v>
      </c>
      <c r="G39" s="3263"/>
      <c r="H39" s="3593"/>
      <c r="I39" s="3593"/>
      <c r="J39" s="3593"/>
      <c r="K39" s="3593"/>
    </row>
    <row r="40" spans="4:11">
      <c r="D40" s="3264">
        <v>2.2000000000000002</v>
      </c>
      <c r="E40" s="3265" t="s">
        <v>3221</v>
      </c>
      <c r="F40" s="3263">
        <v>47.94</v>
      </c>
      <c r="G40" s="3263"/>
      <c r="H40" s="3593" t="s">
        <v>3259</v>
      </c>
      <c r="I40" s="3593">
        <v>13</v>
      </c>
      <c r="J40" s="3593"/>
      <c r="K40" s="3593"/>
    </row>
    <row r="41" spans="4:11">
      <c r="D41" s="3264"/>
      <c r="E41" s="3263"/>
      <c r="F41" s="3267">
        <f>SUM(F39:F40)</f>
        <v>122.42999999999999</v>
      </c>
      <c r="G41" s="3263"/>
      <c r="H41" s="3593"/>
      <c r="I41" s="3593"/>
      <c r="J41" s="3593"/>
      <c r="K41" s="3593"/>
    </row>
    <row r="42" spans="4:11">
      <c r="D42" s="3264" t="s">
        <v>27</v>
      </c>
      <c r="E42" s="3263"/>
      <c r="F42" s="3263">
        <v>53.76</v>
      </c>
      <c r="G42" s="3263"/>
      <c r="H42" s="3593" t="s">
        <v>3259</v>
      </c>
      <c r="I42" s="3593">
        <v>7.7</v>
      </c>
      <c r="J42" s="3593"/>
      <c r="K42" s="3593"/>
    </row>
    <row r="43" spans="4:11">
      <c r="D43" s="3264"/>
      <c r="E43" s="3263"/>
      <c r="F43" s="3263"/>
      <c r="G43" s="3263"/>
      <c r="H43" s="3593"/>
      <c r="I43" s="3593"/>
      <c r="J43" s="3593"/>
      <c r="K43" s="3593"/>
    </row>
    <row r="44" spans="4:11">
      <c r="D44" s="3264"/>
      <c r="E44" s="3263"/>
      <c r="F44" s="3263"/>
      <c r="G44" s="3263"/>
      <c r="H44" s="3593" t="s">
        <v>3259</v>
      </c>
      <c r="I44" s="3593">
        <v>7.6</v>
      </c>
      <c r="J44" s="3593"/>
      <c r="K44" s="3593"/>
    </row>
    <row r="45" spans="4:11">
      <c r="D45" s="3264"/>
      <c r="E45" s="3263"/>
      <c r="F45" s="3263"/>
      <c r="G45" s="3263"/>
      <c r="H45" s="3593"/>
      <c r="I45" s="3593"/>
      <c r="J45" s="3593"/>
      <c r="K45" s="3593"/>
    </row>
    <row r="46" spans="4:11">
      <c r="D46" s="3595" t="s">
        <v>3222</v>
      </c>
      <c r="E46" s="3595"/>
      <c r="F46" s="3595"/>
      <c r="G46" s="3264"/>
      <c r="H46" s="3593" t="s">
        <v>3259</v>
      </c>
      <c r="I46" s="3593">
        <v>8.1999999999999993</v>
      </c>
      <c r="J46" s="3593"/>
      <c r="K46" s="3593"/>
    </row>
    <row r="47" spans="4:11">
      <c r="D47" s="3264" t="s">
        <v>3223</v>
      </c>
      <c r="E47" s="3263"/>
      <c r="F47" s="3266" t="s">
        <v>3224</v>
      </c>
      <c r="G47" s="3266"/>
      <c r="H47" s="3593"/>
      <c r="I47" s="3593"/>
      <c r="J47" s="3593"/>
      <c r="K47" s="3593"/>
    </row>
    <row r="48" spans="4:11">
      <c r="D48" s="3264" t="s">
        <v>3225</v>
      </c>
      <c r="E48" s="3263"/>
      <c r="F48" s="3266">
        <v>8</v>
      </c>
      <c r="G48" s="3266"/>
      <c r="H48" s="3593" t="s">
        <v>3259</v>
      </c>
      <c r="I48" s="3593">
        <v>8.1999999999999993</v>
      </c>
      <c r="J48" s="3593"/>
      <c r="K48" s="3593"/>
    </row>
    <row r="49" spans="4:11">
      <c r="D49" s="3264" t="s">
        <v>3226</v>
      </c>
      <c r="E49" s="3263"/>
      <c r="F49" s="3266">
        <v>6</v>
      </c>
      <c r="G49" s="3266"/>
      <c r="H49" s="3593"/>
      <c r="I49" s="3593"/>
      <c r="J49" s="3593"/>
      <c r="K49" s="3593"/>
    </row>
    <row r="50" spans="4:11">
      <c r="D50" s="3264"/>
      <c r="E50" s="3263"/>
      <c r="F50" s="3266"/>
      <c r="G50" s="3266"/>
      <c r="H50" s="3593" t="s">
        <v>3259</v>
      </c>
      <c r="I50" s="3593">
        <v>15.7</v>
      </c>
      <c r="J50" s="3593"/>
      <c r="K50" s="3593"/>
    </row>
    <row r="51" spans="4:11">
      <c r="D51" s="3264" t="s">
        <v>27</v>
      </c>
      <c r="E51" s="3263"/>
      <c r="F51" s="3266">
        <v>14</v>
      </c>
      <c r="G51" s="3266"/>
      <c r="H51" s="3593"/>
      <c r="I51" s="3593"/>
      <c r="J51" s="3593"/>
      <c r="K51" s="3593"/>
    </row>
    <row r="52" spans="4:11">
      <c r="D52" s="3264"/>
      <c r="E52" s="3263"/>
      <c r="F52" s="3266"/>
      <c r="G52" s="3266"/>
      <c r="H52" s="3593" t="s">
        <v>3260</v>
      </c>
      <c r="I52" s="3593">
        <v>60.4</v>
      </c>
      <c r="J52" s="3593"/>
      <c r="K52" s="3593"/>
    </row>
    <row r="53" spans="4:11">
      <c r="H53" s="3593"/>
      <c r="I53" s="3593"/>
      <c r="J53" s="3593"/>
      <c r="K53" s="3593"/>
    </row>
  </sheetData>
  <mergeCells count="57">
    <mergeCell ref="D17:F17"/>
    <mergeCell ref="D37:F37"/>
    <mergeCell ref="D46:F46"/>
    <mergeCell ref="J27:J28"/>
    <mergeCell ref="J29:J30"/>
    <mergeCell ref="J31:J32"/>
    <mergeCell ref="J33:J34"/>
    <mergeCell ref="I17:I18"/>
    <mergeCell ref="I19:I20"/>
    <mergeCell ref="I21:I22"/>
    <mergeCell ref="I23:I24"/>
    <mergeCell ref="I25:I26"/>
    <mergeCell ref="I27:I28"/>
    <mergeCell ref="I29:I30"/>
    <mergeCell ref="I31:I32"/>
    <mergeCell ref="I33:I34"/>
    <mergeCell ref="K17:K18"/>
    <mergeCell ref="K19:K20"/>
    <mergeCell ref="K21:K22"/>
    <mergeCell ref="K23:K24"/>
    <mergeCell ref="K25:K26"/>
    <mergeCell ref="J17:J18"/>
    <mergeCell ref="J19:J20"/>
    <mergeCell ref="J21:J22"/>
    <mergeCell ref="J23:J24"/>
    <mergeCell ref="J25:J26"/>
    <mergeCell ref="I35:K36"/>
    <mergeCell ref="H27:H28"/>
    <mergeCell ref="H29:H30"/>
    <mergeCell ref="H31:H32"/>
    <mergeCell ref="H33:H34"/>
    <mergeCell ref="H35:H36"/>
    <mergeCell ref="K27:K28"/>
    <mergeCell ref="K29:K30"/>
    <mergeCell ref="K31:K32"/>
    <mergeCell ref="K33:K34"/>
    <mergeCell ref="H17:H18"/>
    <mergeCell ref="H19:H20"/>
    <mergeCell ref="H21:H22"/>
    <mergeCell ref="H23:H24"/>
    <mergeCell ref="H25:H26"/>
    <mergeCell ref="H48:H49"/>
    <mergeCell ref="H50:H51"/>
    <mergeCell ref="H52:H53"/>
    <mergeCell ref="I38:K39"/>
    <mergeCell ref="I40:K41"/>
    <mergeCell ref="I42:K43"/>
    <mergeCell ref="H38:H39"/>
    <mergeCell ref="H40:H41"/>
    <mergeCell ref="H42:H43"/>
    <mergeCell ref="H44:H45"/>
    <mergeCell ref="H46:H47"/>
    <mergeCell ref="I44:K45"/>
    <mergeCell ref="I46:K47"/>
    <mergeCell ref="I48:K49"/>
    <mergeCell ref="I50:K51"/>
    <mergeCell ref="I52:K53"/>
  </mergeCells>
  <phoneticPr fontId="2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tabSelected="1" topLeftCell="A43" workbookViewId="0">
      <selection activeCell="E65" sqref="E65"/>
    </sheetView>
  </sheetViews>
  <sheetFormatPr defaultRowHeight="13.5"/>
  <cols>
    <col min="1" max="1" width="8.875" style="3276"/>
    <col min="2" max="2" width="11.75" style="3276" customWidth="1"/>
    <col min="3" max="3" width="13.25" style="3276" customWidth="1"/>
    <col min="4" max="4" width="15.375" style="3276" customWidth="1"/>
    <col min="5" max="5" width="11.75" style="3276" customWidth="1"/>
    <col min="6" max="6" width="12.5" style="3276" customWidth="1"/>
  </cols>
  <sheetData>
    <row r="1" spans="1:6" ht="33.75" customHeight="1">
      <c r="A1" s="3273" t="s">
        <v>3233</v>
      </c>
      <c r="B1" s="3273" t="s">
        <v>3234</v>
      </c>
      <c r="C1" s="3274" t="s">
        <v>3235</v>
      </c>
      <c r="D1" s="3274" t="s">
        <v>3236</v>
      </c>
      <c r="E1" s="3275" t="s">
        <v>3237</v>
      </c>
      <c r="F1" s="3274" t="s">
        <v>3238</v>
      </c>
    </row>
    <row r="2" spans="1:6">
      <c r="A2" s="3598">
        <v>1</v>
      </c>
      <c r="B2" s="3597" t="s">
        <v>3242</v>
      </c>
      <c r="C2" s="3277" t="s">
        <v>3239</v>
      </c>
      <c r="D2" s="3278">
        <f>5*6</f>
        <v>30</v>
      </c>
      <c r="E2" s="3278">
        <v>6</v>
      </c>
      <c r="F2" s="3278">
        <f>D2*E2</f>
        <v>180</v>
      </c>
    </row>
    <row r="3" spans="1:6">
      <c r="A3" s="3598"/>
      <c r="B3" s="3597"/>
      <c r="C3" s="3277" t="s">
        <v>3240</v>
      </c>
      <c r="D3" s="3278">
        <f>15*12</f>
        <v>180</v>
      </c>
      <c r="E3" s="3278">
        <v>2</v>
      </c>
      <c r="F3" s="3278">
        <f t="shared" ref="F3:F64" si="0">D3*E3</f>
        <v>360</v>
      </c>
    </row>
    <row r="4" spans="1:6">
      <c r="A4" s="3598"/>
      <c r="B4" s="3597"/>
      <c r="C4" s="3277" t="s">
        <v>3241</v>
      </c>
      <c r="D4" s="3278">
        <f>25*20</f>
        <v>500</v>
      </c>
      <c r="E4" s="3278">
        <v>4</v>
      </c>
      <c r="F4" s="3278">
        <f t="shared" si="0"/>
        <v>2000</v>
      </c>
    </row>
    <row r="5" spans="1:6">
      <c r="A5" s="3598"/>
      <c r="B5" s="3597"/>
      <c r="C5" s="3277" t="s">
        <v>3243</v>
      </c>
      <c r="D5" s="3278">
        <f>35*32</f>
        <v>1120</v>
      </c>
      <c r="E5" s="3278">
        <v>5</v>
      </c>
      <c r="F5" s="3278">
        <f t="shared" si="0"/>
        <v>5600</v>
      </c>
    </row>
    <row r="6" spans="1:6">
      <c r="A6" s="3598"/>
      <c r="B6" s="3597"/>
      <c r="C6" s="3279" t="s">
        <v>3244</v>
      </c>
      <c r="D6" s="3278">
        <f>45*56</f>
        <v>2520</v>
      </c>
      <c r="E6" s="3278">
        <v>7</v>
      </c>
      <c r="F6" s="3278">
        <f t="shared" si="0"/>
        <v>17640</v>
      </c>
    </row>
    <row r="7" spans="1:6">
      <c r="A7" s="3598"/>
      <c r="B7" s="3597"/>
      <c r="C7" s="3279" t="s">
        <v>3245</v>
      </c>
      <c r="D7" s="3278">
        <f>55*56</f>
        <v>3080</v>
      </c>
      <c r="E7" s="3278">
        <v>53</v>
      </c>
      <c r="F7" s="3278">
        <f t="shared" si="0"/>
        <v>163240</v>
      </c>
    </row>
    <row r="8" spans="1:6">
      <c r="A8" s="3598"/>
      <c r="B8" s="3597"/>
      <c r="C8" s="3279" t="s">
        <v>3246</v>
      </c>
      <c r="D8" s="3278">
        <f>65*56</f>
        <v>3640</v>
      </c>
      <c r="E8" s="3278">
        <v>11</v>
      </c>
      <c r="F8" s="3278">
        <f t="shared" si="0"/>
        <v>40040</v>
      </c>
    </row>
    <row r="9" spans="1:6">
      <c r="A9" s="3598"/>
      <c r="B9" s="3597"/>
      <c r="C9" s="3279" t="s">
        <v>3247</v>
      </c>
      <c r="D9" s="3278">
        <f>75*56</f>
        <v>4200</v>
      </c>
      <c r="E9" s="3278">
        <v>6</v>
      </c>
      <c r="F9" s="3278">
        <f t="shared" si="0"/>
        <v>25200</v>
      </c>
    </row>
    <row r="10" spans="1:6">
      <c r="A10" s="3598"/>
      <c r="B10" s="3597"/>
      <c r="C10" s="3279" t="s">
        <v>3248</v>
      </c>
      <c r="D10" s="3278">
        <f>85*56</f>
        <v>4760</v>
      </c>
      <c r="E10" s="3278">
        <v>1</v>
      </c>
      <c r="F10" s="3278">
        <f t="shared" si="0"/>
        <v>4760</v>
      </c>
    </row>
    <row r="11" spans="1:6">
      <c r="A11" s="3598">
        <v>2</v>
      </c>
      <c r="B11" s="3597" t="s">
        <v>3249</v>
      </c>
      <c r="C11" s="3277" t="s">
        <v>3239</v>
      </c>
      <c r="D11" s="3278">
        <f>5*12</f>
        <v>60</v>
      </c>
      <c r="E11" s="3278">
        <v>14</v>
      </c>
      <c r="F11" s="3278">
        <f t="shared" si="0"/>
        <v>840</v>
      </c>
    </row>
    <row r="12" spans="1:6">
      <c r="A12" s="3598"/>
      <c r="B12" s="3597"/>
      <c r="C12" s="3277" t="s">
        <v>3240</v>
      </c>
      <c r="D12" s="3278">
        <f>15*20</f>
        <v>300</v>
      </c>
      <c r="E12" s="3278">
        <v>88</v>
      </c>
      <c r="F12" s="3278">
        <f t="shared" si="0"/>
        <v>26400</v>
      </c>
    </row>
    <row r="13" spans="1:6">
      <c r="A13" s="3598"/>
      <c r="B13" s="3597"/>
      <c r="C13" s="3277" t="s">
        <v>3241</v>
      </c>
      <c r="D13" s="3278">
        <f>25*32</f>
        <v>800</v>
      </c>
      <c r="E13" s="3278">
        <v>136</v>
      </c>
      <c r="F13" s="3278">
        <f t="shared" si="0"/>
        <v>108800</v>
      </c>
    </row>
    <row r="14" spans="1:6">
      <c r="A14" s="3598"/>
      <c r="B14" s="3597"/>
      <c r="C14" s="3277" t="s">
        <v>3243</v>
      </c>
      <c r="D14" s="3278">
        <f>35*48</f>
        <v>1680</v>
      </c>
      <c r="E14" s="3278">
        <v>32</v>
      </c>
      <c r="F14" s="3278">
        <f t="shared" si="0"/>
        <v>53760</v>
      </c>
    </row>
    <row r="15" spans="1:6">
      <c r="A15" s="3598"/>
      <c r="B15" s="3597"/>
      <c r="C15" s="3279" t="s">
        <v>3245</v>
      </c>
      <c r="D15" s="3278">
        <f>55*100</f>
        <v>5500</v>
      </c>
      <c r="E15" s="3278">
        <v>4</v>
      </c>
      <c r="F15" s="3278">
        <f t="shared" si="0"/>
        <v>22000</v>
      </c>
    </row>
    <row r="16" spans="1:6">
      <c r="A16" s="3598">
        <v>3</v>
      </c>
      <c r="B16" s="3597" t="s">
        <v>3250</v>
      </c>
      <c r="C16" s="3277" t="s">
        <v>3239</v>
      </c>
      <c r="D16" s="3278">
        <f>5*6</f>
        <v>30</v>
      </c>
      <c r="E16" s="3278">
        <v>13</v>
      </c>
      <c r="F16" s="3278">
        <f t="shared" si="0"/>
        <v>390</v>
      </c>
    </row>
    <row r="17" spans="1:6">
      <c r="A17" s="3598"/>
      <c r="B17" s="3597"/>
      <c r="C17" s="3277" t="s">
        <v>3240</v>
      </c>
      <c r="D17" s="3278">
        <f>15*12</f>
        <v>180</v>
      </c>
      <c r="E17" s="3278">
        <v>8</v>
      </c>
      <c r="F17" s="3278">
        <f t="shared" si="0"/>
        <v>1440</v>
      </c>
    </row>
    <row r="18" spans="1:6">
      <c r="A18" s="3598"/>
      <c r="B18" s="3597"/>
      <c r="C18" s="3277" t="s">
        <v>3241</v>
      </c>
      <c r="D18" s="3278">
        <f>25*20</f>
        <v>500</v>
      </c>
      <c r="E18" s="3278">
        <v>2</v>
      </c>
      <c r="F18" s="3278">
        <f t="shared" si="0"/>
        <v>1000</v>
      </c>
    </row>
    <row r="19" spans="1:6">
      <c r="A19" s="3598"/>
      <c r="B19" s="3597"/>
      <c r="C19" s="3277" t="s">
        <v>3243</v>
      </c>
      <c r="D19" s="3278">
        <f>35*32</f>
        <v>1120</v>
      </c>
      <c r="E19" s="3278">
        <v>2</v>
      </c>
      <c r="F19" s="3278">
        <f t="shared" si="0"/>
        <v>2240</v>
      </c>
    </row>
    <row r="20" spans="1:6">
      <c r="A20" s="3598"/>
      <c r="B20" s="3597"/>
      <c r="C20" s="3279" t="s">
        <v>3244</v>
      </c>
      <c r="D20" s="3278">
        <f>45*56</f>
        <v>2520</v>
      </c>
      <c r="E20" s="3278">
        <v>4</v>
      </c>
      <c r="F20" s="3278">
        <f t="shared" si="0"/>
        <v>10080</v>
      </c>
    </row>
    <row r="21" spans="1:6">
      <c r="A21" s="3598"/>
      <c r="B21" s="3597"/>
      <c r="C21" s="3279" t="s">
        <v>3245</v>
      </c>
      <c r="D21" s="3278">
        <f>55*56</f>
        <v>3080</v>
      </c>
      <c r="E21" s="3278">
        <v>1</v>
      </c>
      <c r="F21" s="3278">
        <f t="shared" si="0"/>
        <v>3080</v>
      </c>
    </row>
    <row r="22" spans="1:6">
      <c r="A22" s="3598">
        <v>4</v>
      </c>
      <c r="B22" s="3597" t="s">
        <v>3251</v>
      </c>
      <c r="C22" s="3277" t="s">
        <v>3239</v>
      </c>
      <c r="D22" s="3278">
        <f>5*12</f>
        <v>60</v>
      </c>
      <c r="E22" s="3278">
        <v>1</v>
      </c>
      <c r="F22" s="3278">
        <f t="shared" si="0"/>
        <v>60</v>
      </c>
    </row>
    <row r="23" spans="1:6">
      <c r="A23" s="3598"/>
      <c r="B23" s="3597"/>
      <c r="C23" s="3277" t="s">
        <v>3240</v>
      </c>
      <c r="D23" s="3278">
        <f>15*20</f>
        <v>300</v>
      </c>
      <c r="E23" s="3278">
        <v>31</v>
      </c>
      <c r="F23" s="3278">
        <f t="shared" si="0"/>
        <v>9300</v>
      </c>
    </row>
    <row r="24" spans="1:6">
      <c r="A24" s="3598"/>
      <c r="B24" s="3597"/>
      <c r="C24" s="3277" t="s">
        <v>3241</v>
      </c>
      <c r="D24" s="3278">
        <f>25*32</f>
        <v>800</v>
      </c>
      <c r="E24" s="3278">
        <v>23</v>
      </c>
      <c r="F24" s="3278">
        <f t="shared" si="0"/>
        <v>18400</v>
      </c>
    </row>
    <row r="25" spans="1:6">
      <c r="A25" s="3598"/>
      <c r="B25" s="3597"/>
      <c r="C25" s="3277" t="s">
        <v>3243</v>
      </c>
      <c r="D25" s="3278">
        <f>35*48</f>
        <v>1680</v>
      </c>
      <c r="E25" s="3278">
        <v>9</v>
      </c>
      <c r="F25" s="3278">
        <f t="shared" si="0"/>
        <v>15120</v>
      </c>
    </row>
    <row r="26" spans="1:6">
      <c r="A26" s="3598"/>
      <c r="B26" s="3597"/>
      <c r="C26" s="3279" t="s">
        <v>3244</v>
      </c>
      <c r="D26" s="3278">
        <f>45*100</f>
        <v>4500</v>
      </c>
      <c r="E26" s="3278">
        <v>5</v>
      </c>
      <c r="F26" s="3278">
        <f t="shared" si="0"/>
        <v>22500</v>
      </c>
    </row>
    <row r="27" spans="1:6">
      <c r="A27" s="3598"/>
      <c r="B27" s="3597"/>
      <c r="C27" s="3279" t="s">
        <v>3245</v>
      </c>
      <c r="D27" s="3278">
        <f>55*100</f>
        <v>5500</v>
      </c>
      <c r="E27" s="3278">
        <v>2</v>
      </c>
      <c r="F27" s="3278">
        <f t="shared" si="0"/>
        <v>11000</v>
      </c>
    </row>
    <row r="28" spans="1:6">
      <c r="A28" s="3598">
        <v>5</v>
      </c>
      <c r="B28" s="3597" t="s">
        <v>3252</v>
      </c>
      <c r="C28" s="3277" t="s">
        <v>3240</v>
      </c>
      <c r="D28" s="3278">
        <f>15*52</f>
        <v>780</v>
      </c>
      <c r="E28" s="3278">
        <v>5</v>
      </c>
      <c r="F28" s="3278">
        <f t="shared" si="0"/>
        <v>3900</v>
      </c>
    </row>
    <row r="29" spans="1:6">
      <c r="A29" s="3598"/>
      <c r="B29" s="3597"/>
      <c r="C29" s="3277" t="s">
        <v>3241</v>
      </c>
      <c r="D29" s="3278">
        <f>25*76</f>
        <v>1900</v>
      </c>
      <c r="E29" s="3278">
        <v>2</v>
      </c>
      <c r="F29" s="3278">
        <f t="shared" si="0"/>
        <v>3800</v>
      </c>
    </row>
    <row r="30" spans="1:6">
      <c r="A30" s="3598">
        <v>6</v>
      </c>
      <c r="B30" s="3597" t="s">
        <v>3298</v>
      </c>
      <c r="C30" s="3277" t="s">
        <v>3239</v>
      </c>
      <c r="D30" s="3278">
        <f>5*12</f>
        <v>60</v>
      </c>
      <c r="E30" s="3278">
        <v>1</v>
      </c>
      <c r="F30" s="3278">
        <f t="shared" si="0"/>
        <v>60</v>
      </c>
    </row>
    <row r="31" spans="1:6" ht="18.600000000000001" customHeight="1">
      <c r="A31" s="3598"/>
      <c r="B31" s="3597"/>
      <c r="C31" s="3277" t="s">
        <v>3240</v>
      </c>
      <c r="D31" s="3278">
        <f>15*20</f>
        <v>300</v>
      </c>
      <c r="E31" s="3278">
        <v>10</v>
      </c>
      <c r="F31" s="3278">
        <f t="shared" si="0"/>
        <v>3000</v>
      </c>
    </row>
    <row r="32" spans="1:6">
      <c r="A32" s="3598"/>
      <c r="B32" s="3597"/>
      <c r="C32" s="3277" t="s">
        <v>3241</v>
      </c>
      <c r="D32" s="3278">
        <f>25*32</f>
        <v>800</v>
      </c>
      <c r="E32" s="3278">
        <v>1</v>
      </c>
      <c r="F32" s="3278">
        <f t="shared" si="0"/>
        <v>800</v>
      </c>
    </row>
    <row r="33" spans="1:6">
      <c r="A33" s="3598"/>
      <c r="B33" s="3597"/>
      <c r="C33" s="3277" t="s">
        <v>3243</v>
      </c>
      <c r="D33" s="3278">
        <f>35*48</f>
        <v>1680</v>
      </c>
      <c r="E33" s="3278">
        <v>1</v>
      </c>
      <c r="F33" s="3278">
        <f t="shared" si="0"/>
        <v>1680</v>
      </c>
    </row>
    <row r="34" spans="1:6">
      <c r="A34" s="3598">
        <v>7</v>
      </c>
      <c r="B34" s="3597" t="s">
        <v>3277</v>
      </c>
      <c r="C34" s="3277" t="s">
        <v>3240</v>
      </c>
      <c r="D34" s="3278">
        <f>15*20</f>
        <v>300</v>
      </c>
      <c r="E34" s="3278">
        <v>22</v>
      </c>
      <c r="F34" s="3278">
        <f t="shared" si="0"/>
        <v>6600</v>
      </c>
    </row>
    <row r="35" spans="1:6">
      <c r="A35" s="3598"/>
      <c r="B35" s="3597"/>
      <c r="C35" s="3277" t="s">
        <v>3241</v>
      </c>
      <c r="D35" s="3278">
        <f>25*32</f>
        <v>800</v>
      </c>
      <c r="E35" s="3278">
        <v>5</v>
      </c>
      <c r="F35" s="3278">
        <f t="shared" si="0"/>
        <v>4000</v>
      </c>
    </row>
    <row r="36" spans="1:6">
      <c r="A36" s="3598">
        <v>8</v>
      </c>
      <c r="B36" s="3597" t="s">
        <v>3278</v>
      </c>
      <c r="C36" s="3277" t="s">
        <v>3241</v>
      </c>
      <c r="D36" s="3278">
        <f>25*84</f>
        <v>2100</v>
      </c>
      <c r="E36" s="3278">
        <v>4</v>
      </c>
      <c r="F36" s="3278">
        <f t="shared" si="0"/>
        <v>8400</v>
      </c>
    </row>
    <row r="37" spans="1:6">
      <c r="A37" s="3598"/>
      <c r="B37" s="3597"/>
      <c r="C37" s="3277" t="s">
        <v>3243</v>
      </c>
      <c r="D37" s="3278">
        <f>35*144</f>
        <v>5040</v>
      </c>
      <c r="E37" s="3278">
        <v>1</v>
      </c>
      <c r="F37" s="3278">
        <f t="shared" si="0"/>
        <v>5040</v>
      </c>
    </row>
    <row r="38" spans="1:6">
      <c r="A38" s="3598"/>
      <c r="B38" s="3597"/>
      <c r="C38" s="3279" t="s">
        <v>3244</v>
      </c>
      <c r="D38" s="3278">
        <f>45*240</f>
        <v>10800</v>
      </c>
      <c r="E38" s="3278">
        <v>5</v>
      </c>
      <c r="F38" s="3278">
        <f t="shared" si="0"/>
        <v>54000</v>
      </c>
    </row>
    <row r="39" spans="1:6">
      <c r="A39" s="3598"/>
      <c r="B39" s="3597"/>
      <c r="C39" s="3279" t="s">
        <v>3245</v>
      </c>
      <c r="D39" s="3278">
        <f>55*240</f>
        <v>13200</v>
      </c>
      <c r="E39" s="3278">
        <v>1</v>
      </c>
      <c r="F39" s="3278">
        <f t="shared" si="0"/>
        <v>13200</v>
      </c>
    </row>
    <row r="40" spans="1:6">
      <c r="A40" s="3278">
        <v>9</v>
      </c>
      <c r="B40" s="3278" t="s">
        <v>3261</v>
      </c>
      <c r="C40" s="3278" t="s">
        <v>3241</v>
      </c>
      <c r="D40" s="3278">
        <f>25*76</f>
        <v>1900</v>
      </c>
      <c r="E40" s="3279">
        <v>1</v>
      </c>
      <c r="F40" s="3278">
        <f t="shared" si="0"/>
        <v>1900</v>
      </c>
    </row>
    <row r="41" spans="1:6">
      <c r="A41" s="3598">
        <v>10</v>
      </c>
      <c r="B41" s="3598" t="s">
        <v>3262</v>
      </c>
      <c r="C41" s="3278" t="s">
        <v>3239</v>
      </c>
      <c r="D41" s="3278">
        <f>5*12</f>
        <v>60</v>
      </c>
      <c r="E41" s="3278">
        <v>51</v>
      </c>
      <c r="F41" s="3278">
        <f t="shared" si="0"/>
        <v>3060</v>
      </c>
    </row>
    <row r="42" spans="1:6">
      <c r="A42" s="3598"/>
      <c r="B42" s="3598"/>
      <c r="C42" s="3278" t="s">
        <v>3264</v>
      </c>
      <c r="D42" s="3278">
        <f>15*20</f>
        <v>300</v>
      </c>
      <c r="E42" s="3278">
        <v>43</v>
      </c>
      <c r="F42" s="3278">
        <f t="shared" si="0"/>
        <v>12900</v>
      </c>
    </row>
    <row r="43" spans="1:6">
      <c r="A43" s="3598"/>
      <c r="B43" s="3598"/>
      <c r="C43" s="3278" t="s">
        <v>3241</v>
      </c>
      <c r="D43" s="3278">
        <f>25*32</f>
        <v>800</v>
      </c>
      <c r="E43" s="3278">
        <v>19</v>
      </c>
      <c r="F43" s="3278">
        <f t="shared" si="0"/>
        <v>15200</v>
      </c>
    </row>
    <row r="44" spans="1:6">
      <c r="A44" s="3598"/>
      <c r="B44" s="3598"/>
      <c r="C44" s="3278" t="s">
        <v>3265</v>
      </c>
      <c r="D44" s="3278">
        <f>35*48</f>
        <v>1680</v>
      </c>
      <c r="E44" s="3278">
        <v>5</v>
      </c>
      <c r="F44" s="3278">
        <f t="shared" si="0"/>
        <v>8400</v>
      </c>
    </row>
    <row r="45" spans="1:6">
      <c r="A45" s="3598"/>
      <c r="B45" s="3598"/>
      <c r="C45" s="3278" t="s">
        <v>3266</v>
      </c>
      <c r="D45" s="3278">
        <f>45*100</f>
        <v>4500</v>
      </c>
      <c r="E45" s="3278">
        <v>14</v>
      </c>
      <c r="F45" s="3278">
        <f t="shared" si="0"/>
        <v>63000</v>
      </c>
    </row>
    <row r="46" spans="1:6">
      <c r="A46" s="3598"/>
      <c r="B46" s="3598"/>
      <c r="C46" s="3278" t="s">
        <v>3267</v>
      </c>
      <c r="D46" s="3278">
        <f>75*100</f>
        <v>7500</v>
      </c>
      <c r="E46" s="3278">
        <v>2</v>
      </c>
      <c r="F46" s="3278">
        <f t="shared" si="0"/>
        <v>15000</v>
      </c>
    </row>
    <row r="47" spans="1:6">
      <c r="A47" s="3598">
        <v>11</v>
      </c>
      <c r="B47" s="3598" t="s">
        <v>3263</v>
      </c>
      <c r="C47" s="3278" t="s">
        <v>3268</v>
      </c>
      <c r="D47" s="3278">
        <f>5*12</f>
        <v>60</v>
      </c>
      <c r="E47" s="3278">
        <v>12</v>
      </c>
      <c r="F47" s="3278">
        <f t="shared" si="0"/>
        <v>720</v>
      </c>
    </row>
    <row r="48" spans="1:6">
      <c r="A48" s="3598"/>
      <c r="B48" s="3598"/>
      <c r="C48" s="3278" t="s">
        <v>3269</v>
      </c>
      <c r="D48" s="3278">
        <f>15*20</f>
        <v>300</v>
      </c>
      <c r="E48" s="3278">
        <v>10</v>
      </c>
      <c r="F48" s="3278">
        <f t="shared" si="0"/>
        <v>3000</v>
      </c>
    </row>
    <row r="49" spans="1:6">
      <c r="A49" s="3598"/>
      <c r="B49" s="3598"/>
      <c r="C49" s="3278" t="s">
        <v>3270</v>
      </c>
      <c r="D49" s="3278">
        <f>25*32</f>
        <v>800</v>
      </c>
      <c r="E49" s="3278">
        <v>2</v>
      </c>
      <c r="F49" s="3278">
        <f t="shared" si="0"/>
        <v>1600</v>
      </c>
    </row>
    <row r="50" spans="1:6">
      <c r="A50" s="3598"/>
      <c r="B50" s="3598"/>
      <c r="C50" s="3278" t="s">
        <v>3265</v>
      </c>
      <c r="D50" s="3278">
        <f>35*48</f>
        <v>1680</v>
      </c>
      <c r="E50" s="3278">
        <v>3</v>
      </c>
      <c r="F50" s="3278">
        <f t="shared" si="0"/>
        <v>5040</v>
      </c>
    </row>
    <row r="51" spans="1:6">
      <c r="A51" s="3598">
        <v>12</v>
      </c>
      <c r="B51" s="3597" t="s">
        <v>3299</v>
      </c>
      <c r="C51" s="3278" t="s">
        <v>3268</v>
      </c>
      <c r="D51" s="3278">
        <f>5*12</f>
        <v>60</v>
      </c>
      <c r="E51" s="3278">
        <v>40</v>
      </c>
      <c r="F51" s="3278">
        <f t="shared" si="0"/>
        <v>2400</v>
      </c>
    </row>
    <row r="52" spans="1:6">
      <c r="A52" s="3598"/>
      <c r="B52" s="3598"/>
      <c r="C52" s="3278" t="s">
        <v>3269</v>
      </c>
      <c r="D52" s="3278">
        <f>15*20</f>
        <v>300</v>
      </c>
      <c r="E52" s="3278">
        <v>2</v>
      </c>
      <c r="F52" s="3278">
        <f t="shared" si="0"/>
        <v>600</v>
      </c>
    </row>
    <row r="53" spans="1:6">
      <c r="A53" s="3598">
        <v>13</v>
      </c>
      <c r="B53" s="3598" t="s">
        <v>3271</v>
      </c>
      <c r="C53" s="3278" t="s">
        <v>3272</v>
      </c>
      <c r="D53" s="3278">
        <f>5*12</f>
        <v>60</v>
      </c>
      <c r="E53" s="3278">
        <v>3</v>
      </c>
      <c r="F53" s="3278">
        <f t="shared" si="0"/>
        <v>180</v>
      </c>
    </row>
    <row r="54" spans="1:6">
      <c r="A54" s="3598"/>
      <c r="B54" s="3598"/>
      <c r="C54" s="3278" t="s">
        <v>3269</v>
      </c>
      <c r="D54" s="3278">
        <f>15*20</f>
        <v>300</v>
      </c>
      <c r="E54" s="3278">
        <v>4</v>
      </c>
      <c r="F54" s="3278">
        <f t="shared" si="0"/>
        <v>1200</v>
      </c>
    </row>
    <row r="55" spans="1:6">
      <c r="A55" s="3598"/>
      <c r="B55" s="3598"/>
      <c r="C55" s="3278" t="s">
        <v>3265</v>
      </c>
      <c r="D55" s="3278">
        <f>35*48</f>
        <v>1680</v>
      </c>
      <c r="E55" s="3278">
        <v>1</v>
      </c>
      <c r="F55" s="3278">
        <f t="shared" si="0"/>
        <v>1680</v>
      </c>
    </row>
    <row r="56" spans="1:6">
      <c r="A56" s="3598">
        <v>14</v>
      </c>
      <c r="B56" s="3598" t="s">
        <v>3273</v>
      </c>
      <c r="C56" s="3278" t="s">
        <v>3272</v>
      </c>
      <c r="D56" s="3278">
        <f>5*6</f>
        <v>30</v>
      </c>
      <c r="E56" s="3278">
        <v>1</v>
      </c>
      <c r="F56" s="3278">
        <f t="shared" si="0"/>
        <v>30</v>
      </c>
    </row>
    <row r="57" spans="1:6">
      <c r="A57" s="3598"/>
      <c r="B57" s="3598"/>
      <c r="C57" s="3278" t="s">
        <v>3269</v>
      </c>
      <c r="D57" s="3278">
        <f>15*12</f>
        <v>180</v>
      </c>
      <c r="E57" s="3278">
        <v>4</v>
      </c>
      <c r="F57" s="3278">
        <f t="shared" si="0"/>
        <v>720</v>
      </c>
    </row>
    <row r="58" spans="1:6">
      <c r="A58" s="3598"/>
      <c r="B58" s="3598"/>
      <c r="C58" s="3278" t="s">
        <v>3274</v>
      </c>
      <c r="D58" s="3278">
        <f>85*56</f>
        <v>4760</v>
      </c>
      <c r="E58" s="3278">
        <v>1</v>
      </c>
      <c r="F58" s="3278">
        <f t="shared" si="0"/>
        <v>4760</v>
      </c>
    </row>
    <row r="59" spans="1:6">
      <c r="A59" s="3598">
        <v>15</v>
      </c>
      <c r="B59" s="3598" t="s">
        <v>3275</v>
      </c>
      <c r="C59" s="3278" t="s">
        <v>3268</v>
      </c>
      <c r="D59" s="3278">
        <f>5*20</f>
        <v>100</v>
      </c>
      <c r="E59" s="3278">
        <v>3</v>
      </c>
      <c r="F59" s="3278">
        <f t="shared" si="0"/>
        <v>300</v>
      </c>
    </row>
    <row r="60" spans="1:6">
      <c r="A60" s="3598"/>
      <c r="B60" s="3598"/>
      <c r="C60" s="3278" t="s">
        <v>3276</v>
      </c>
      <c r="D60" s="3278">
        <f>25*84</f>
        <v>2100</v>
      </c>
      <c r="E60" s="3278">
        <v>2</v>
      </c>
      <c r="F60" s="3278">
        <f t="shared" si="0"/>
        <v>4200</v>
      </c>
    </row>
    <row r="61" spans="1:6">
      <c r="A61" s="3278">
        <v>16</v>
      </c>
      <c r="B61" s="3279" t="s">
        <v>3282</v>
      </c>
      <c r="C61" s="3279" t="s">
        <v>3281</v>
      </c>
      <c r="D61" s="3278">
        <v>150</v>
      </c>
      <c r="E61" s="3278">
        <v>7</v>
      </c>
      <c r="F61" s="3278">
        <f t="shared" si="0"/>
        <v>1050</v>
      </c>
    </row>
    <row r="62" spans="1:6">
      <c r="A62" s="3278">
        <v>17</v>
      </c>
      <c r="B62" s="3279" t="s">
        <v>3283</v>
      </c>
      <c r="C62" s="3279" t="s">
        <v>3281</v>
      </c>
      <c r="D62" s="3278">
        <v>150</v>
      </c>
      <c r="E62" s="3278">
        <v>1</v>
      </c>
      <c r="F62" s="3278">
        <f t="shared" si="0"/>
        <v>150</v>
      </c>
    </row>
    <row r="63" spans="1:6">
      <c r="A63" s="3278">
        <v>18</v>
      </c>
      <c r="B63" s="3279" t="s">
        <v>3279</v>
      </c>
      <c r="C63" s="3279" t="s">
        <v>3281</v>
      </c>
      <c r="D63" s="3279">
        <f>150</f>
        <v>150</v>
      </c>
      <c r="E63" s="3278">
        <f>974+41</f>
        <v>1015</v>
      </c>
      <c r="F63" s="3278">
        <f t="shared" si="0"/>
        <v>152250</v>
      </c>
    </row>
    <row r="64" spans="1:6">
      <c r="A64" s="3278">
        <v>19</v>
      </c>
      <c r="B64" s="3279" t="s">
        <v>3280</v>
      </c>
      <c r="C64" s="3279" t="s">
        <v>3281</v>
      </c>
      <c r="D64" s="3278">
        <v>150</v>
      </c>
      <c r="E64" s="3278">
        <v>10</v>
      </c>
      <c r="F64" s="3278">
        <f t="shared" si="0"/>
        <v>1500</v>
      </c>
    </row>
    <row r="65" spans="1:6">
      <c r="A65" s="3597" t="s">
        <v>3284</v>
      </c>
      <c r="B65" s="3597"/>
      <c r="C65" s="3597"/>
      <c r="D65" s="3597"/>
      <c r="E65" s="3278">
        <f>SUM(E2:E64)</f>
        <v>1784</v>
      </c>
      <c r="F65" s="3280">
        <f>ROUND(SUM(F2:F64)/10000,2)</f>
        <v>97.08</v>
      </c>
    </row>
    <row r="67" spans="1:6">
      <c r="E67" s="3276">
        <f>E65-E63-E64-E62-E61</f>
        <v>751</v>
      </c>
    </row>
  </sheetData>
  <mergeCells count="29">
    <mergeCell ref="A34:A35"/>
    <mergeCell ref="B34:B35"/>
    <mergeCell ref="A36:A39"/>
    <mergeCell ref="B22:B27"/>
    <mergeCell ref="A22:A27"/>
    <mergeCell ref="A28:A29"/>
    <mergeCell ref="B28:B29"/>
    <mergeCell ref="A30:A33"/>
    <mergeCell ref="B30:B33"/>
    <mergeCell ref="B2:B10"/>
    <mergeCell ref="A2:A10"/>
    <mergeCell ref="A11:A15"/>
    <mergeCell ref="B11:B15"/>
    <mergeCell ref="B16:B21"/>
    <mergeCell ref="A16:A21"/>
    <mergeCell ref="B36:B39"/>
    <mergeCell ref="A65:D65"/>
    <mergeCell ref="A41:A46"/>
    <mergeCell ref="B41:B46"/>
    <mergeCell ref="A47:A50"/>
    <mergeCell ref="B47:B50"/>
    <mergeCell ref="B51:B52"/>
    <mergeCell ref="A51:A52"/>
    <mergeCell ref="A53:A55"/>
    <mergeCell ref="B53:B55"/>
    <mergeCell ref="A56:A58"/>
    <mergeCell ref="B56:B58"/>
    <mergeCell ref="B59:B60"/>
    <mergeCell ref="A59:A60"/>
  </mergeCells>
  <phoneticPr fontId="2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workbookViewId="0">
      <selection activeCell="E11" sqref="E11"/>
    </sheetView>
  </sheetViews>
  <sheetFormatPr defaultRowHeight="13.5"/>
  <cols>
    <col min="5" max="5" width="23.25" customWidth="1"/>
    <col min="9" max="9" width="31.25" customWidth="1"/>
  </cols>
  <sheetData>
    <row r="1" spans="1:12">
      <c r="A1" s="3599" t="s">
        <v>2987</v>
      </c>
      <c r="B1" s="3599" t="s">
        <v>2988</v>
      </c>
      <c r="C1" s="3599" t="s">
        <v>2989</v>
      </c>
      <c r="D1" s="3599" t="s">
        <v>2990</v>
      </c>
      <c r="E1" s="3599" t="s">
        <v>2991</v>
      </c>
      <c r="F1" s="3599" t="s">
        <v>2992</v>
      </c>
      <c r="G1" s="3599" t="s">
        <v>2993</v>
      </c>
      <c r="H1" s="3599" t="s">
        <v>2994</v>
      </c>
      <c r="I1" s="3599" t="s">
        <v>2995</v>
      </c>
      <c r="J1" s="3601" t="s">
        <v>2996</v>
      </c>
      <c r="K1" s="3601"/>
      <c r="L1" s="3601"/>
    </row>
    <row r="2" spans="1:12" ht="36">
      <c r="A2" s="3602"/>
      <c r="B2" s="3600"/>
      <c r="C2" s="3600"/>
      <c r="D2" s="3600"/>
      <c r="E2" s="3600"/>
      <c r="F2" s="3600"/>
      <c r="G2" s="3600"/>
      <c r="H2" s="3600"/>
      <c r="I2" s="3600"/>
      <c r="J2" s="3183" t="s">
        <v>24</v>
      </c>
      <c r="K2" s="3183" t="s">
        <v>2997</v>
      </c>
      <c r="L2" s="3183" t="s">
        <v>2998</v>
      </c>
    </row>
    <row r="3" spans="1:12" ht="126" customHeight="1">
      <c r="A3" s="3186">
        <v>2017</v>
      </c>
      <c r="B3" s="3187" t="s">
        <v>3001</v>
      </c>
      <c r="C3" s="3188" t="s">
        <v>3002</v>
      </c>
      <c r="D3" s="3185" t="s">
        <v>3003</v>
      </c>
      <c r="E3" s="3185" t="s">
        <v>3004</v>
      </c>
      <c r="F3" s="3185" t="s">
        <v>3005</v>
      </c>
      <c r="G3" s="3185" t="s">
        <v>2999</v>
      </c>
      <c r="H3" s="3185" t="s">
        <v>3006</v>
      </c>
      <c r="I3" s="3188" t="s">
        <v>3007</v>
      </c>
      <c r="J3" s="3184">
        <v>7121.0435985612075</v>
      </c>
      <c r="K3" s="3184">
        <v>1647.3462982726589</v>
      </c>
      <c r="L3" s="3184">
        <v>5473.6973002885488</v>
      </c>
    </row>
    <row r="4" spans="1:12" ht="126" customHeight="1">
      <c r="A4" s="3186">
        <v>2017</v>
      </c>
      <c r="B4" s="3187" t="s">
        <v>3000</v>
      </c>
      <c r="C4" s="3188" t="s">
        <v>3008</v>
      </c>
      <c r="D4" s="3185" t="s">
        <v>3009</v>
      </c>
      <c r="E4" s="3185" t="s">
        <v>3010</v>
      </c>
      <c r="F4" s="3185" t="s">
        <v>3011</v>
      </c>
      <c r="G4" s="3185" t="s">
        <v>2999</v>
      </c>
      <c r="H4" s="3185" t="s">
        <v>3012</v>
      </c>
      <c r="I4" s="3188" t="s">
        <v>3013</v>
      </c>
      <c r="J4" s="3184">
        <v>10970.676229508195</v>
      </c>
      <c r="K4" s="3184">
        <v>1101.3210382513662</v>
      </c>
      <c r="L4" s="3184">
        <v>9869.3551912568291</v>
      </c>
    </row>
  </sheetData>
  <mergeCells count="10">
    <mergeCell ref="G1:G2"/>
    <mergeCell ref="H1:H2"/>
    <mergeCell ref="I1:I2"/>
    <mergeCell ref="J1:L1"/>
    <mergeCell ref="A1:A2"/>
    <mergeCell ref="B1:B2"/>
    <mergeCell ref="C1:C2"/>
    <mergeCell ref="D1:D2"/>
    <mergeCell ref="E1:E2"/>
    <mergeCell ref="F1:F2"/>
  </mergeCells>
  <phoneticPr fontId="2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topLeftCell="A30" workbookViewId="0">
      <selection activeCell="C44" sqref="C44:E44"/>
    </sheetView>
  </sheetViews>
  <sheetFormatPr defaultRowHeight="13.5"/>
  <sheetData>
    <row r="1" spans="1:7" ht="24">
      <c r="A1" s="3614" t="s">
        <v>3093</v>
      </c>
      <c r="B1" s="3614" t="s">
        <v>3094</v>
      </c>
      <c r="C1" s="3614" t="s">
        <v>3095</v>
      </c>
      <c r="D1" s="3614" t="s">
        <v>3096</v>
      </c>
      <c r="E1" s="3614" t="s">
        <v>3097</v>
      </c>
      <c r="F1" s="3614" t="s">
        <v>3098</v>
      </c>
      <c r="G1" s="3235" t="s">
        <v>3099</v>
      </c>
    </row>
    <row r="2" spans="1:7" ht="24.75" thickBot="1">
      <c r="A2" s="3615"/>
      <c r="B2" s="3615"/>
      <c r="C2" s="3615"/>
      <c r="D2" s="3615"/>
      <c r="E2" s="3615"/>
      <c r="F2" s="3615"/>
      <c r="G2" s="3236" t="s">
        <v>3100</v>
      </c>
    </row>
    <row r="3" spans="1:7" ht="34.5" thickBot="1">
      <c r="A3" s="3237">
        <v>1</v>
      </c>
      <c r="B3" s="3238" t="s">
        <v>3101</v>
      </c>
      <c r="C3" s="3238" t="s">
        <v>3102</v>
      </c>
      <c r="D3" s="3238">
        <v>800</v>
      </c>
      <c r="E3" s="3239" t="s">
        <v>3103</v>
      </c>
      <c r="F3" s="3238">
        <v>2018.8</v>
      </c>
      <c r="G3" s="3238">
        <v>0.8</v>
      </c>
    </row>
    <row r="4" spans="1:7" ht="34.5" thickBot="1">
      <c r="A4" s="3237">
        <v>2</v>
      </c>
      <c r="B4" s="3238" t="s">
        <v>3104</v>
      </c>
      <c r="C4" s="3238" t="s">
        <v>3105</v>
      </c>
      <c r="D4" s="3238">
        <v>360</v>
      </c>
      <c r="E4" s="3239" t="s">
        <v>3103</v>
      </c>
      <c r="F4" s="3238">
        <v>2018.8</v>
      </c>
      <c r="G4" s="3238">
        <v>0.8</v>
      </c>
    </row>
    <row r="5" spans="1:7" ht="34.5" thickBot="1">
      <c r="A5" s="3237">
        <v>3</v>
      </c>
      <c r="B5" s="3238" t="s">
        <v>3106</v>
      </c>
      <c r="C5" s="3238" t="s">
        <v>3107</v>
      </c>
      <c r="D5" s="3238">
        <v>450</v>
      </c>
      <c r="E5" s="3239" t="s">
        <v>3103</v>
      </c>
      <c r="F5" s="3238">
        <v>2018.8</v>
      </c>
      <c r="G5" s="3238">
        <v>1</v>
      </c>
    </row>
    <row r="6" spans="1:7" ht="14.25" thickBot="1"/>
    <row r="7" spans="1:7" ht="14.25" thickBot="1">
      <c r="A7" s="3603"/>
      <c r="B7" s="3604"/>
      <c r="C7" s="3240" t="s">
        <v>3108</v>
      </c>
      <c r="D7" s="3240" t="s">
        <v>3109</v>
      </c>
      <c r="E7" s="3240" t="s">
        <v>3110</v>
      </c>
      <c r="F7" s="3240" t="s">
        <v>3111</v>
      </c>
    </row>
    <row r="8" spans="1:7" ht="24" customHeight="1" thickBot="1">
      <c r="A8" s="3603" t="s">
        <v>3112</v>
      </c>
      <c r="B8" s="3604"/>
      <c r="C8" s="3239" t="s">
        <v>3113</v>
      </c>
      <c r="D8" s="3241">
        <v>0.8</v>
      </c>
      <c r="E8" s="3241">
        <v>0.8</v>
      </c>
      <c r="F8" s="3239">
        <v>1</v>
      </c>
    </row>
    <row r="9" spans="1:7" ht="14.25" thickBot="1">
      <c r="A9" s="3603" t="s">
        <v>3098</v>
      </c>
      <c r="B9" s="3604"/>
      <c r="C9" s="3239">
        <v>2018.8</v>
      </c>
      <c r="D9" s="3239">
        <v>2018.8</v>
      </c>
      <c r="E9" s="3239">
        <v>2018.8</v>
      </c>
      <c r="F9" s="3239">
        <v>2018.8</v>
      </c>
    </row>
    <row r="10" spans="1:7" ht="14.25" thickBot="1">
      <c r="A10" s="3603" t="s">
        <v>3114</v>
      </c>
      <c r="B10" s="3604"/>
      <c r="C10" s="3239" t="s">
        <v>982</v>
      </c>
      <c r="D10" s="3239" t="s">
        <v>982</v>
      </c>
      <c r="E10" s="3239" t="s">
        <v>982</v>
      </c>
      <c r="F10" s="3239" t="s">
        <v>982</v>
      </c>
    </row>
    <row r="11" spans="1:7" ht="14.25" thickBot="1">
      <c r="A11" s="3603" t="s">
        <v>3115</v>
      </c>
      <c r="B11" s="3604"/>
      <c r="C11" s="3239" t="s">
        <v>3116</v>
      </c>
      <c r="D11" s="3239" t="s">
        <v>3116</v>
      </c>
      <c r="E11" s="3239" t="s">
        <v>3116</v>
      </c>
      <c r="F11" s="3239" t="s">
        <v>3116</v>
      </c>
    </row>
    <row r="12" spans="1:7" ht="108.75" thickBot="1">
      <c r="A12" s="3608" t="s">
        <v>3117</v>
      </c>
      <c r="B12" s="3239" t="s">
        <v>3118</v>
      </c>
      <c r="C12" s="3239" t="s">
        <v>3119</v>
      </c>
      <c r="D12" s="3239" t="s">
        <v>3120</v>
      </c>
      <c r="E12" s="3239" t="s">
        <v>3121</v>
      </c>
      <c r="F12" s="3239" t="s">
        <v>3122</v>
      </c>
    </row>
    <row r="13" spans="1:7" ht="156.75" thickBot="1">
      <c r="A13" s="3611"/>
      <c r="B13" s="3239" t="s">
        <v>3123</v>
      </c>
      <c r="C13" s="3239" t="s">
        <v>3124</v>
      </c>
      <c r="D13" s="3239" t="s">
        <v>3125</v>
      </c>
      <c r="E13" s="3239" t="s">
        <v>3126</v>
      </c>
      <c r="F13" s="3239" t="s">
        <v>3127</v>
      </c>
    </row>
    <row r="14" spans="1:7" ht="156.75" thickBot="1">
      <c r="A14" s="3611"/>
      <c r="B14" s="3239" t="s">
        <v>3128</v>
      </c>
      <c r="C14" s="3239" t="s">
        <v>3129</v>
      </c>
      <c r="D14" s="3239" t="s">
        <v>3130</v>
      </c>
      <c r="E14" s="3239" t="s">
        <v>3131</v>
      </c>
      <c r="F14" s="3239" t="s">
        <v>3132</v>
      </c>
    </row>
    <row r="15" spans="1:7" ht="60.75" thickBot="1">
      <c r="A15" s="3611"/>
      <c r="B15" s="3239" t="s">
        <v>3133</v>
      </c>
      <c r="C15" s="3239" t="s">
        <v>3134</v>
      </c>
      <c r="D15" s="3239" t="s">
        <v>3134</v>
      </c>
      <c r="E15" s="3239" t="s">
        <v>3135</v>
      </c>
      <c r="F15" s="3239" t="s">
        <v>3134</v>
      </c>
    </row>
    <row r="16" spans="1:7" ht="24.75" thickBot="1">
      <c r="A16" s="3609"/>
      <c r="B16" s="3239" t="s">
        <v>3136</v>
      </c>
      <c r="C16" s="3248" t="s">
        <v>3191</v>
      </c>
      <c r="D16" s="3239" t="s">
        <v>3137</v>
      </c>
      <c r="E16" s="3239" t="s">
        <v>3137</v>
      </c>
      <c r="F16" s="3239" t="s">
        <v>3137</v>
      </c>
    </row>
    <row r="17" spans="1:12" ht="14.25" thickBot="1">
      <c r="A17" s="3608" t="s">
        <v>3138</v>
      </c>
      <c r="B17" s="3239" t="s">
        <v>3139</v>
      </c>
      <c r="C17" s="3239" t="s">
        <v>3140</v>
      </c>
      <c r="D17" s="3239" t="s">
        <v>3140</v>
      </c>
      <c r="E17" s="3239" t="s">
        <v>3140</v>
      </c>
      <c r="F17" s="3239" t="s">
        <v>3140</v>
      </c>
    </row>
    <row r="18" spans="1:12" ht="24.75" thickBot="1">
      <c r="A18" s="3611"/>
      <c r="B18" s="3239" t="s">
        <v>3141</v>
      </c>
      <c r="C18" s="3248" t="s">
        <v>3142</v>
      </c>
      <c r="D18" s="3239" t="s">
        <v>3143</v>
      </c>
      <c r="E18" s="3239" t="s">
        <v>3144</v>
      </c>
      <c r="F18" s="3239" t="s">
        <v>3145</v>
      </c>
    </row>
    <row r="19" spans="1:12" ht="48.75" thickBot="1">
      <c r="A19" s="3611"/>
      <c r="B19" s="3239" t="s">
        <v>3146</v>
      </c>
      <c r="C19" s="3239" t="s">
        <v>3147</v>
      </c>
      <c r="D19" s="3239" t="s">
        <v>3147</v>
      </c>
      <c r="E19" s="3239" t="s">
        <v>3147</v>
      </c>
      <c r="F19" s="3239" t="s">
        <v>3147</v>
      </c>
    </row>
    <row r="20" spans="1:12" ht="24.75" thickBot="1">
      <c r="A20" s="3611"/>
      <c r="B20" s="3239" t="s">
        <v>3148</v>
      </c>
      <c r="C20" s="3248" t="s">
        <v>3149</v>
      </c>
      <c r="D20" s="3239" t="s">
        <v>3149</v>
      </c>
      <c r="E20" s="3239" t="s">
        <v>3149</v>
      </c>
      <c r="F20" s="3239" t="s">
        <v>3149</v>
      </c>
    </row>
    <row r="21" spans="1:12" ht="14.25" thickBot="1">
      <c r="A21" s="3611"/>
      <c r="B21" s="3239" t="s">
        <v>3150</v>
      </c>
      <c r="C21" s="3239" t="s">
        <v>3103</v>
      </c>
      <c r="D21" s="3239" t="s">
        <v>3103</v>
      </c>
      <c r="E21" s="3239" t="s">
        <v>3103</v>
      </c>
      <c r="F21" s="3239" t="s">
        <v>3103</v>
      </c>
    </row>
    <row r="22" spans="1:12" ht="36.75" thickBot="1">
      <c r="A22" s="3609"/>
      <c r="B22" s="3242" t="s">
        <v>3151</v>
      </c>
      <c r="C22" s="3239" t="s">
        <v>3152</v>
      </c>
      <c r="D22" s="3239" t="s">
        <v>3152</v>
      </c>
      <c r="E22" s="3239" t="s">
        <v>3152</v>
      </c>
      <c r="F22" s="3239" t="s">
        <v>3152</v>
      </c>
    </row>
    <row r="23" spans="1:12" ht="14.25" thickBot="1">
      <c r="A23" s="3612" t="s">
        <v>3153</v>
      </c>
      <c r="B23" s="3239" t="s">
        <v>3154</v>
      </c>
      <c r="C23" s="3239" t="s">
        <v>3155</v>
      </c>
      <c r="D23" s="3239" t="s">
        <v>3155</v>
      </c>
      <c r="E23" s="3239" t="s">
        <v>3155</v>
      </c>
      <c r="F23" s="3239" t="s">
        <v>3155</v>
      </c>
    </row>
    <row r="24" spans="1:12" ht="24.75" thickBot="1">
      <c r="A24" s="3613"/>
      <c r="B24" s="3239" t="s">
        <v>3156</v>
      </c>
      <c r="C24" s="3239" t="s">
        <v>3157</v>
      </c>
      <c r="D24" s="3239" t="s">
        <v>3157</v>
      </c>
      <c r="E24" s="3239" t="s">
        <v>3157</v>
      </c>
      <c r="F24" s="3239" t="s">
        <v>3157</v>
      </c>
    </row>
    <row r="25" spans="1:12" ht="15" thickBot="1">
      <c r="A25" s="3243"/>
    </row>
    <row r="26" spans="1:12" ht="24.75" thickBot="1">
      <c r="A26" s="3603"/>
      <c r="B26" s="3604"/>
      <c r="C26" s="3603" t="s">
        <v>3109</v>
      </c>
      <c r="D26" s="3610"/>
      <c r="E26" s="3604"/>
      <c r="F26" s="3603" t="s">
        <v>3110</v>
      </c>
      <c r="G26" s="3610"/>
      <c r="H26" s="3604"/>
      <c r="I26" s="3603" t="s">
        <v>3111</v>
      </c>
      <c r="J26" s="3610"/>
      <c r="K26" s="3604"/>
      <c r="L26" s="3240" t="s">
        <v>3158</v>
      </c>
    </row>
    <row r="27" spans="1:12" ht="24" customHeight="1" thickBot="1">
      <c r="A27" s="3603" t="s">
        <v>3159</v>
      </c>
      <c r="B27" s="3604"/>
      <c r="C27" s="3603">
        <v>0.8</v>
      </c>
      <c r="D27" s="3610"/>
      <c r="E27" s="3604"/>
      <c r="F27" s="3603">
        <v>0.8</v>
      </c>
      <c r="G27" s="3610"/>
      <c r="H27" s="3604"/>
      <c r="I27" s="3603">
        <v>1</v>
      </c>
      <c r="J27" s="3610"/>
      <c r="K27" s="3604"/>
      <c r="L27" s="3239" t="s">
        <v>2820</v>
      </c>
    </row>
    <row r="28" spans="1:12" ht="96.75" thickBot="1">
      <c r="A28" s="3603" t="s">
        <v>3098</v>
      </c>
      <c r="B28" s="3604"/>
      <c r="C28" s="3245">
        <v>100</v>
      </c>
      <c r="D28" s="3244" t="s">
        <v>3160</v>
      </c>
      <c r="E28" s="3246">
        <v>100</v>
      </c>
      <c r="F28" s="3245">
        <v>100</v>
      </c>
      <c r="G28" s="3244" t="s">
        <v>3160</v>
      </c>
      <c r="H28" s="3246">
        <v>100</v>
      </c>
      <c r="I28" s="3245">
        <v>100</v>
      </c>
      <c r="J28" s="3244" t="s">
        <v>3160</v>
      </c>
      <c r="K28" s="3246">
        <v>100</v>
      </c>
      <c r="L28" s="3246" t="s">
        <v>3161</v>
      </c>
    </row>
    <row r="29" spans="1:12" ht="84.75" thickBot="1">
      <c r="A29" s="3603" t="s">
        <v>3114</v>
      </c>
      <c r="B29" s="3604"/>
      <c r="C29" s="3245">
        <v>100</v>
      </c>
      <c r="D29" s="3244" t="s">
        <v>3160</v>
      </c>
      <c r="E29" s="3246">
        <v>100</v>
      </c>
      <c r="F29" s="3245">
        <v>100</v>
      </c>
      <c r="G29" s="3244" t="s">
        <v>3160</v>
      </c>
      <c r="H29" s="3246">
        <v>100</v>
      </c>
      <c r="I29" s="3245">
        <v>100</v>
      </c>
      <c r="J29" s="3244" t="s">
        <v>3160</v>
      </c>
      <c r="K29" s="3246">
        <v>100</v>
      </c>
      <c r="L29" s="3246" t="s">
        <v>3162</v>
      </c>
    </row>
    <row r="30" spans="1:12" ht="108.75" thickBot="1">
      <c r="A30" s="3603" t="s">
        <v>3115</v>
      </c>
      <c r="B30" s="3604"/>
      <c r="C30" s="3245">
        <v>100</v>
      </c>
      <c r="D30" s="3244" t="s">
        <v>3160</v>
      </c>
      <c r="E30" s="3246">
        <v>100</v>
      </c>
      <c r="F30" s="3245">
        <v>100</v>
      </c>
      <c r="G30" s="3244" t="s">
        <v>3160</v>
      </c>
      <c r="H30" s="3246">
        <v>100</v>
      </c>
      <c r="I30" s="3245">
        <v>100</v>
      </c>
      <c r="J30" s="3244" t="s">
        <v>3160</v>
      </c>
      <c r="K30" s="3246">
        <v>100</v>
      </c>
      <c r="L30" s="3246" t="s">
        <v>3163</v>
      </c>
    </row>
    <row r="31" spans="1:12" ht="96.75" thickBot="1">
      <c r="A31" s="3608" t="s">
        <v>3117</v>
      </c>
      <c r="B31" s="3239" t="s">
        <v>3118</v>
      </c>
      <c r="C31" s="3245">
        <v>100</v>
      </c>
      <c r="D31" s="3244" t="s">
        <v>3160</v>
      </c>
      <c r="E31" s="3246">
        <v>100</v>
      </c>
      <c r="F31" s="3245">
        <v>100</v>
      </c>
      <c r="G31" s="3244" t="s">
        <v>3160</v>
      </c>
      <c r="H31" s="3246">
        <v>100</v>
      </c>
      <c r="I31" s="3245">
        <v>100</v>
      </c>
      <c r="J31" s="3244" t="s">
        <v>3160</v>
      </c>
      <c r="K31" s="3246">
        <v>100</v>
      </c>
      <c r="L31" s="3246" t="s">
        <v>3164</v>
      </c>
    </row>
    <row r="32" spans="1:12" ht="84.75" thickBot="1">
      <c r="A32" s="3611"/>
      <c r="B32" s="3239" t="s">
        <v>3123</v>
      </c>
      <c r="C32" s="3245">
        <v>100</v>
      </c>
      <c r="D32" s="3244" t="s">
        <v>3160</v>
      </c>
      <c r="E32" s="3246">
        <v>97</v>
      </c>
      <c r="F32" s="3245">
        <v>100</v>
      </c>
      <c r="G32" s="3244" t="s">
        <v>3160</v>
      </c>
      <c r="H32" s="3246">
        <v>97</v>
      </c>
      <c r="I32" s="3245">
        <v>100</v>
      </c>
      <c r="J32" s="3244" t="s">
        <v>3160</v>
      </c>
      <c r="K32" s="3246">
        <v>97</v>
      </c>
      <c r="L32" s="3246" t="s">
        <v>3165</v>
      </c>
    </row>
    <row r="33" spans="1:12" ht="108.75" thickBot="1">
      <c r="A33" s="3611"/>
      <c r="B33" s="3239" t="s">
        <v>3128</v>
      </c>
      <c r="C33" s="3245">
        <v>100</v>
      </c>
      <c r="D33" s="3244" t="s">
        <v>3160</v>
      </c>
      <c r="E33" s="3246">
        <v>100</v>
      </c>
      <c r="F33" s="3245">
        <v>100</v>
      </c>
      <c r="G33" s="3244" t="s">
        <v>3160</v>
      </c>
      <c r="H33" s="3246">
        <v>98</v>
      </c>
      <c r="I33" s="3245">
        <v>100</v>
      </c>
      <c r="J33" s="3244" t="s">
        <v>3160</v>
      </c>
      <c r="K33" s="3246">
        <v>98</v>
      </c>
      <c r="L33" s="3246" t="s">
        <v>3166</v>
      </c>
    </row>
    <row r="34" spans="1:12" ht="96.75" thickBot="1">
      <c r="A34" s="3611"/>
      <c r="B34" s="3239" t="s">
        <v>3133</v>
      </c>
      <c r="C34" s="3245">
        <v>100</v>
      </c>
      <c r="D34" s="3244" t="s">
        <v>3160</v>
      </c>
      <c r="E34" s="3246">
        <v>100</v>
      </c>
      <c r="F34" s="3245">
        <v>100</v>
      </c>
      <c r="G34" s="3244" t="s">
        <v>3160</v>
      </c>
      <c r="H34" s="3246">
        <v>98</v>
      </c>
      <c r="I34" s="3245">
        <v>100</v>
      </c>
      <c r="J34" s="3244" t="s">
        <v>3160</v>
      </c>
      <c r="K34" s="3246">
        <v>100</v>
      </c>
      <c r="L34" s="3246" t="s">
        <v>3167</v>
      </c>
    </row>
    <row r="35" spans="1:12" ht="96.75" thickBot="1">
      <c r="A35" s="3609"/>
      <c r="B35" s="3239" t="s">
        <v>3136</v>
      </c>
      <c r="C35" s="3245">
        <v>100</v>
      </c>
      <c r="D35" s="3244" t="s">
        <v>3160</v>
      </c>
      <c r="E35" s="3249">
        <v>102</v>
      </c>
      <c r="F35" s="3245">
        <v>100</v>
      </c>
      <c r="G35" s="3244" t="s">
        <v>3160</v>
      </c>
      <c r="H35" s="3249">
        <v>102</v>
      </c>
      <c r="I35" s="3245">
        <v>100</v>
      </c>
      <c r="J35" s="3244" t="s">
        <v>3160</v>
      </c>
      <c r="K35" s="3249">
        <v>102</v>
      </c>
      <c r="L35" s="3246" t="s">
        <v>3168</v>
      </c>
    </row>
    <row r="36" spans="1:12" ht="72.75" thickBot="1">
      <c r="A36" s="3608" t="s">
        <v>3169</v>
      </c>
      <c r="B36" s="3239" t="s">
        <v>3139</v>
      </c>
      <c r="C36" s="3245">
        <v>100</v>
      </c>
      <c r="D36" s="3244" t="s">
        <v>3160</v>
      </c>
      <c r="E36" s="3246">
        <v>100</v>
      </c>
      <c r="F36" s="3245">
        <v>100</v>
      </c>
      <c r="G36" s="3244" t="s">
        <v>3160</v>
      </c>
      <c r="H36" s="3246">
        <v>100</v>
      </c>
      <c r="I36" s="3245">
        <v>100</v>
      </c>
      <c r="J36" s="3244" t="s">
        <v>3160</v>
      </c>
      <c r="K36" s="3246">
        <v>100</v>
      </c>
      <c r="L36" s="3246" t="s">
        <v>3170</v>
      </c>
    </row>
    <row r="37" spans="1:12" s="3252" customFormat="1" ht="120.75" thickBot="1">
      <c r="A37" s="3611"/>
      <c r="B37" s="3248" t="s">
        <v>3141</v>
      </c>
      <c r="C37" s="3250">
        <v>100</v>
      </c>
      <c r="D37" s="3251" t="s">
        <v>3160</v>
      </c>
      <c r="E37" s="3249">
        <v>104</v>
      </c>
      <c r="F37" s="3250">
        <v>100</v>
      </c>
      <c r="G37" s="3251" t="s">
        <v>3160</v>
      </c>
      <c r="H37" s="3249">
        <v>102</v>
      </c>
      <c r="I37" s="3250">
        <v>100</v>
      </c>
      <c r="J37" s="3251" t="s">
        <v>3160</v>
      </c>
      <c r="K37" s="3249">
        <v>102</v>
      </c>
      <c r="L37" s="3249" t="s">
        <v>3171</v>
      </c>
    </row>
    <row r="38" spans="1:12" ht="96.75" thickBot="1">
      <c r="A38" s="3611"/>
      <c r="B38" s="3239" t="s">
        <v>3146</v>
      </c>
      <c r="C38" s="3245">
        <v>100</v>
      </c>
      <c r="D38" s="3244" t="s">
        <v>3160</v>
      </c>
      <c r="E38" s="3246">
        <v>100</v>
      </c>
      <c r="F38" s="3245">
        <v>100</v>
      </c>
      <c r="G38" s="3244" t="s">
        <v>3160</v>
      </c>
      <c r="H38" s="3246">
        <v>100</v>
      </c>
      <c r="I38" s="3245">
        <v>100</v>
      </c>
      <c r="J38" s="3244" t="s">
        <v>3160</v>
      </c>
      <c r="K38" s="3246">
        <v>100</v>
      </c>
      <c r="L38" s="3246" t="s">
        <v>3172</v>
      </c>
    </row>
    <row r="39" spans="1:12" s="3252" customFormat="1" ht="36.75" thickBot="1">
      <c r="A39" s="3611"/>
      <c r="B39" s="3248" t="s">
        <v>3148</v>
      </c>
      <c r="C39" s="3250">
        <v>100</v>
      </c>
      <c r="D39" s="3251" t="s">
        <v>3160</v>
      </c>
      <c r="E39" s="3249">
        <v>100</v>
      </c>
      <c r="F39" s="3250">
        <v>100</v>
      </c>
      <c r="G39" s="3251" t="s">
        <v>3160</v>
      </c>
      <c r="H39" s="3249">
        <v>100</v>
      </c>
      <c r="I39" s="3250">
        <v>100</v>
      </c>
      <c r="J39" s="3251" t="s">
        <v>3160</v>
      </c>
      <c r="K39" s="3249">
        <v>100</v>
      </c>
      <c r="L39" s="3249" t="s">
        <v>3173</v>
      </c>
    </row>
    <row r="40" spans="1:12" ht="96.75" thickBot="1">
      <c r="A40" s="3611"/>
      <c r="B40" s="3239" t="s">
        <v>3150</v>
      </c>
      <c r="C40" s="3245">
        <v>100</v>
      </c>
      <c r="D40" s="3244" t="s">
        <v>3160</v>
      </c>
      <c r="E40" s="3246">
        <v>100</v>
      </c>
      <c r="F40" s="3245">
        <v>100</v>
      </c>
      <c r="G40" s="3244" t="s">
        <v>3160</v>
      </c>
      <c r="H40" s="3246">
        <v>100</v>
      </c>
      <c r="I40" s="3245">
        <v>100</v>
      </c>
      <c r="J40" s="3244" t="s">
        <v>3160</v>
      </c>
      <c r="K40" s="3246">
        <v>100</v>
      </c>
      <c r="L40" s="3246" t="s">
        <v>3174</v>
      </c>
    </row>
    <row r="41" spans="1:12" ht="96.75" thickBot="1">
      <c r="A41" s="3609"/>
      <c r="B41" s="3239" t="s">
        <v>3151</v>
      </c>
      <c r="C41" s="3245">
        <v>100</v>
      </c>
      <c r="D41" s="3244" t="s">
        <v>3160</v>
      </c>
      <c r="E41" s="3246">
        <v>100</v>
      </c>
      <c r="F41" s="3245">
        <v>100</v>
      </c>
      <c r="G41" s="3244" t="s">
        <v>3160</v>
      </c>
      <c r="H41" s="3246">
        <v>100</v>
      </c>
      <c r="I41" s="3245">
        <v>100</v>
      </c>
      <c r="J41" s="3244" t="s">
        <v>3160</v>
      </c>
      <c r="K41" s="3246">
        <v>100</v>
      </c>
      <c r="L41" s="3246" t="s">
        <v>3175</v>
      </c>
    </row>
    <row r="42" spans="1:12" ht="72.75" thickBot="1">
      <c r="A42" s="3608" t="s">
        <v>3176</v>
      </c>
      <c r="B42" s="3239" t="s">
        <v>3154</v>
      </c>
      <c r="C42" s="3245">
        <v>100</v>
      </c>
      <c r="D42" s="3244" t="s">
        <v>3160</v>
      </c>
      <c r="E42" s="3246">
        <v>100</v>
      </c>
      <c r="F42" s="3245">
        <v>100</v>
      </c>
      <c r="G42" s="3244" t="s">
        <v>3160</v>
      </c>
      <c r="H42" s="3246">
        <v>100</v>
      </c>
      <c r="I42" s="3245">
        <v>100</v>
      </c>
      <c r="J42" s="3244" t="s">
        <v>3160</v>
      </c>
      <c r="K42" s="3246">
        <v>100</v>
      </c>
      <c r="L42" s="3246" t="s">
        <v>3177</v>
      </c>
    </row>
    <row r="43" spans="1:12" ht="72.75" thickBot="1">
      <c r="A43" s="3609"/>
      <c r="B43" s="3239" t="s">
        <v>3156</v>
      </c>
      <c r="C43" s="3245">
        <v>100</v>
      </c>
      <c r="D43" s="3244" t="s">
        <v>3160</v>
      </c>
      <c r="E43" s="3246">
        <v>100</v>
      </c>
      <c r="F43" s="3245">
        <v>100</v>
      </c>
      <c r="G43" s="3244" t="s">
        <v>3160</v>
      </c>
      <c r="H43" s="3246">
        <v>100</v>
      </c>
      <c r="I43" s="3245">
        <v>100</v>
      </c>
      <c r="J43" s="3244" t="s">
        <v>3160</v>
      </c>
      <c r="K43" s="3246">
        <v>100</v>
      </c>
      <c r="L43" s="3246" t="s">
        <v>3178</v>
      </c>
    </row>
    <row r="44" spans="1:12" ht="14.25" thickBot="1">
      <c r="A44" s="3605" t="s">
        <v>3179</v>
      </c>
      <c r="B44" s="3607"/>
      <c r="C44" s="3605">
        <v>0.99129999999999996</v>
      </c>
      <c r="D44" s="3606"/>
      <c r="E44" s="3607"/>
      <c r="F44" s="3605">
        <v>1.0524</v>
      </c>
      <c r="G44" s="3606"/>
      <c r="H44" s="3607"/>
      <c r="I44" s="3605">
        <v>1.0313000000000001</v>
      </c>
      <c r="J44" s="3606"/>
      <c r="K44" s="3607"/>
      <c r="L44" s="3242" t="s">
        <v>2820</v>
      </c>
    </row>
    <row r="45" spans="1:12" ht="14.25" thickBot="1">
      <c r="A45" s="3605" t="s">
        <v>3180</v>
      </c>
      <c r="B45" s="3607"/>
      <c r="C45" s="3605">
        <v>0.79</v>
      </c>
      <c r="D45" s="3606"/>
      <c r="E45" s="3607"/>
      <c r="F45" s="3605">
        <v>0.84</v>
      </c>
      <c r="G45" s="3606"/>
      <c r="H45" s="3607"/>
      <c r="I45" s="3605">
        <v>1.03</v>
      </c>
      <c r="J45" s="3606"/>
      <c r="K45" s="3607"/>
      <c r="L45" s="3242" t="s">
        <v>2820</v>
      </c>
    </row>
    <row r="46" spans="1:12" ht="24" customHeight="1" thickBot="1">
      <c r="A46" s="3603" t="s">
        <v>3181</v>
      </c>
      <c r="B46" s="3604"/>
      <c r="C46" s="3605">
        <v>0.9</v>
      </c>
      <c r="D46" s="3606"/>
      <c r="E46" s="3606"/>
      <c r="F46" s="3606"/>
      <c r="G46" s="3606"/>
      <c r="H46" s="3606"/>
      <c r="I46" s="3606"/>
      <c r="J46" s="3606"/>
      <c r="K46" s="3607"/>
      <c r="L46" s="3242" t="s">
        <v>3182</v>
      </c>
    </row>
  </sheetData>
  <mergeCells count="38">
    <mergeCell ref="F1:F2"/>
    <mergeCell ref="A1:A2"/>
    <mergeCell ref="B1:B2"/>
    <mergeCell ref="C1:C2"/>
    <mergeCell ref="D1:D2"/>
    <mergeCell ref="E1:E2"/>
    <mergeCell ref="A17:A22"/>
    <mergeCell ref="A23:A24"/>
    <mergeCell ref="A7:B7"/>
    <mergeCell ref="A8:B8"/>
    <mergeCell ref="A9:B9"/>
    <mergeCell ref="A10:B10"/>
    <mergeCell ref="A11:B11"/>
    <mergeCell ref="A12:A16"/>
    <mergeCell ref="A42:A43"/>
    <mergeCell ref="A26:B26"/>
    <mergeCell ref="C26:E26"/>
    <mergeCell ref="F26:H26"/>
    <mergeCell ref="I26:K26"/>
    <mergeCell ref="A27:B27"/>
    <mergeCell ref="C27:E27"/>
    <mergeCell ref="F27:H27"/>
    <mergeCell ref="I27:K27"/>
    <mergeCell ref="A28:B28"/>
    <mergeCell ref="A29:B29"/>
    <mergeCell ref="A30:B30"/>
    <mergeCell ref="A31:A35"/>
    <mergeCell ref="A36:A41"/>
    <mergeCell ref="A46:B46"/>
    <mergeCell ref="C46:K46"/>
    <mergeCell ref="A44:B44"/>
    <mergeCell ref="C44:E44"/>
    <mergeCell ref="F44:H44"/>
    <mergeCell ref="I44:K44"/>
    <mergeCell ref="A45:B45"/>
    <mergeCell ref="C45:E45"/>
    <mergeCell ref="F45:H45"/>
    <mergeCell ref="I45:K45"/>
  </mergeCells>
  <phoneticPr fontId="2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C5" sqref="C5"/>
    </sheetView>
  </sheetViews>
  <sheetFormatPr defaultRowHeight="13.5"/>
  <cols>
    <col min="2" max="2" width="23.5" customWidth="1"/>
    <col min="3" max="3" width="22.375" customWidth="1"/>
    <col min="4" max="4" width="15.875" customWidth="1"/>
  </cols>
  <sheetData>
    <row r="1" spans="1:4" ht="14.25">
      <c r="A1" s="3616" t="s">
        <v>2378</v>
      </c>
      <c r="B1" s="3616" t="s">
        <v>2379</v>
      </c>
      <c r="C1" s="3281" t="s">
        <v>3285</v>
      </c>
      <c r="D1" s="3616" t="s">
        <v>3287</v>
      </c>
    </row>
    <row r="2" spans="1:4" ht="15" thickBot="1">
      <c r="A2" s="3617"/>
      <c r="B2" s="3617"/>
      <c r="C2" s="3282" t="s">
        <v>3286</v>
      </c>
      <c r="D2" s="3617"/>
    </row>
    <row r="3" spans="1:4" ht="43.5" thickBot="1">
      <c r="A3" s="3283">
        <v>1</v>
      </c>
      <c r="B3" s="3284" t="s">
        <v>3288</v>
      </c>
      <c r="C3" s="3285">
        <f ca="1">结果表!G19</f>
        <v>95292</v>
      </c>
      <c r="D3" s="3284" t="s">
        <v>3289</v>
      </c>
    </row>
    <row r="4" spans="1:4" ht="29.25" thickBot="1">
      <c r="A4" s="3283">
        <v>2</v>
      </c>
      <c r="B4" s="3284" t="s">
        <v>3290</v>
      </c>
      <c r="C4" s="3285">
        <v>9383.4500000000007</v>
      </c>
      <c r="D4" s="3284" t="s">
        <v>3291</v>
      </c>
    </row>
    <row r="5" spans="1:4" ht="29.25" thickBot="1">
      <c r="A5" s="3283">
        <v>3</v>
      </c>
      <c r="B5" s="3284" t="s">
        <v>3292</v>
      </c>
      <c r="C5" s="3285">
        <f>树木!F65+'附属物-墙地泉'!G10</f>
        <v>527.69000000000005</v>
      </c>
      <c r="D5" s="3284" t="s">
        <v>3291</v>
      </c>
    </row>
    <row r="6" spans="1:4" ht="29.25" thickBot="1">
      <c r="A6" s="3283">
        <v>4</v>
      </c>
      <c r="B6" s="3284" t="s">
        <v>3293</v>
      </c>
      <c r="C6" s="3285">
        <v>0</v>
      </c>
      <c r="D6" s="3284" t="s">
        <v>3291</v>
      </c>
    </row>
    <row r="7" spans="1:4" ht="15.75" thickBot="1">
      <c r="A7" s="3283">
        <v>5</v>
      </c>
      <c r="B7" s="3284" t="s">
        <v>3294</v>
      </c>
      <c r="C7" s="3285">
        <v>1297.21</v>
      </c>
      <c r="D7" s="3284" t="s">
        <v>3295</v>
      </c>
    </row>
    <row r="8" spans="1:4" ht="15.75" thickBot="1">
      <c r="A8" s="3283">
        <v>6</v>
      </c>
      <c r="B8" s="3284" t="s">
        <v>3296</v>
      </c>
      <c r="C8" s="3285">
        <v>285.98</v>
      </c>
      <c r="D8" s="3284" t="s">
        <v>3295</v>
      </c>
    </row>
    <row r="9" spans="1:4" ht="15.75" thickBot="1">
      <c r="A9" s="3283">
        <v>7</v>
      </c>
      <c r="B9" s="3284" t="s">
        <v>3297</v>
      </c>
      <c r="C9" s="3286">
        <f ca="1">SUM(C3:C8)</f>
        <v>106786.33</v>
      </c>
      <c r="D9" s="3285">
        <f>1+2+3+4+5+6</f>
        <v>21</v>
      </c>
    </row>
  </sheetData>
  <mergeCells count="3">
    <mergeCell ref="A1:A2"/>
    <mergeCell ref="B1:B2"/>
    <mergeCell ref="D1:D2"/>
  </mergeCells>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2" t="s">
        <v>2041</v>
      </c>
      <c r="B1" s="3292"/>
      <c r="C1" s="3292"/>
      <c r="D1" s="3292"/>
      <c r="E1" s="3292"/>
      <c r="F1" s="3292"/>
      <c r="G1" s="3292"/>
      <c r="H1" s="3292"/>
      <c r="I1" s="3292"/>
      <c r="J1" s="3292"/>
      <c r="K1" s="3292"/>
      <c r="L1" s="3292"/>
      <c r="M1" s="3292"/>
      <c r="N1" s="3292"/>
      <c r="O1" s="3292"/>
      <c r="P1" s="3292"/>
      <c r="Q1" s="3292"/>
      <c r="R1" s="3292"/>
    </row>
    <row r="2" spans="1:18">
      <c r="A2" s="1809" t="s">
        <v>2043</v>
      </c>
      <c r="B2" s="1809"/>
      <c r="C2" s="1809"/>
      <c r="D2" s="1809"/>
      <c r="E2" s="1809"/>
      <c r="F2" s="1809"/>
      <c r="G2" s="1809"/>
      <c r="H2" s="1809"/>
      <c r="I2" s="1810"/>
      <c r="J2" s="1810"/>
      <c r="K2" s="1811" t="str">
        <f>"估价期日："&amp;TEXT(项目基本情况!D3,"yyyy年m月d日;;")</f>
        <v>估价期日：2018年11月6日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93" t="s">
        <v>2032</v>
      </c>
      <c r="B3" s="3293" t="s">
        <v>2734</v>
      </c>
      <c r="C3" s="3294" t="s">
        <v>2033</v>
      </c>
      <c r="D3" s="3293" t="s">
        <v>2738</v>
      </c>
      <c r="E3" s="3288" t="s">
        <v>2034</v>
      </c>
      <c r="F3" s="3288"/>
      <c r="G3" s="3288"/>
      <c r="H3" s="3288" t="s">
        <v>2035</v>
      </c>
      <c r="I3" s="3288"/>
      <c r="J3" s="3288"/>
      <c r="K3" s="3294" t="s">
        <v>2036</v>
      </c>
      <c r="L3" s="3294" t="s">
        <v>2037</v>
      </c>
      <c r="M3" s="3293" t="s">
        <v>2735</v>
      </c>
      <c r="N3" s="3295" t="str">
        <f>"（分摊）"&amp;项目基本情况!B16&amp;"国有建设用地使用权面积/㎡"</f>
        <v>（分摊）出让国有建设用地使用权面积/㎡</v>
      </c>
      <c r="O3" s="3293" t="s">
        <v>2066</v>
      </c>
      <c r="P3" s="3294" t="s">
        <v>2046</v>
      </c>
      <c r="Q3" s="3294" t="s">
        <v>2067</v>
      </c>
      <c r="R3" s="3294" t="s">
        <v>2038</v>
      </c>
    </row>
    <row r="4" spans="1:18" ht="36.75" customHeight="1">
      <c r="A4" s="3293"/>
      <c r="B4" s="3293"/>
      <c r="C4" s="3294"/>
      <c r="D4" s="3293"/>
      <c r="E4" s="2651" t="s">
        <v>2045</v>
      </c>
      <c r="F4" s="2651" t="s">
        <v>2747</v>
      </c>
      <c r="G4" s="2651" t="s">
        <v>2039</v>
      </c>
      <c r="H4" s="2651" t="s">
        <v>2040</v>
      </c>
      <c r="I4" s="2651" t="s">
        <v>2748</v>
      </c>
      <c r="J4" s="2651" t="s">
        <v>2039</v>
      </c>
      <c r="K4" s="3294"/>
      <c r="L4" s="3294"/>
      <c r="M4" s="3293"/>
      <c r="N4" s="3295"/>
      <c r="O4" s="3293"/>
      <c r="P4" s="3294"/>
      <c r="Q4" s="3294"/>
      <c r="R4" s="3294"/>
    </row>
    <row r="5" spans="1:18" ht="135" customHeight="1">
      <c r="A5" s="1945" t="s">
        <v>2658</v>
      </c>
      <c r="B5" s="2869" t="s">
        <v>2656</v>
      </c>
      <c r="C5" s="2650">
        <v>22</v>
      </c>
      <c r="D5" s="2649" t="s">
        <v>2657</v>
      </c>
      <c r="E5" s="1812" t="str">
        <f>项目基本情况!B12</f>
        <v>工交</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130380.53</v>
      </c>
      <c r="O5" s="1812">
        <f>项目基本情况!C21</f>
        <v>57196.500000000007</v>
      </c>
      <c r="P5" s="1812">
        <f ca="1">结果表!E42</f>
        <v>7309</v>
      </c>
      <c r="Q5" s="1812">
        <f ca="1">结果表!D42</f>
        <v>16660</v>
      </c>
      <c r="R5" s="1813">
        <f ca="1">结果表!C42</f>
        <v>95292</v>
      </c>
    </row>
    <row r="6" spans="1:18">
      <c r="A6" s="3289" t="str">
        <f>IF(项目基本情况!B9="市场价格","——","抵押价格")</f>
        <v>——</v>
      </c>
      <c r="B6" s="3290"/>
      <c r="C6" s="3290"/>
      <c r="D6" s="3290"/>
      <c r="E6" s="3290"/>
      <c r="F6" s="3290"/>
      <c r="G6" s="3290"/>
      <c r="H6" s="3290"/>
      <c r="I6" s="3290"/>
      <c r="J6" s="3290"/>
      <c r="K6" s="3290"/>
      <c r="L6" s="3290"/>
      <c r="M6" s="3290"/>
      <c r="N6" s="3290"/>
      <c r="O6" s="3290"/>
      <c r="P6" s="3290"/>
      <c r="Q6" s="3291"/>
      <c r="R6" s="1814" t="str">
        <f>结果表!O39</f>
        <v>——</v>
      </c>
    </row>
    <row r="7" spans="1:18">
      <c r="A7" s="3289" t="str">
        <f>IF(项目基本情况!B9="市场价格","——",IF(项目基本情况!E8="已注销及未注销","抵押担保权已注销时的抵押价格","——"))</f>
        <v>——</v>
      </c>
      <c r="B7" s="3290"/>
      <c r="C7" s="3290"/>
      <c r="D7" s="3290"/>
      <c r="E7" s="3290"/>
      <c r="F7" s="3290"/>
      <c r="G7" s="3290"/>
      <c r="H7" s="3290"/>
      <c r="I7" s="3290"/>
      <c r="J7" s="3290"/>
      <c r="K7" s="3290"/>
      <c r="L7" s="3290"/>
      <c r="M7" s="3290"/>
      <c r="N7" s="3290"/>
      <c r="O7" s="3290"/>
      <c r="P7" s="3290"/>
      <c r="Q7" s="3291"/>
      <c r="R7" s="1814" t="str">
        <f>结果表!O40</f>
        <v>——</v>
      </c>
    </row>
    <row r="8" spans="1:18">
      <c r="A8" s="3289" t="str">
        <f>IF(项目基本情况!B9="市场价格","——",项目基本情况!E9)</f>
        <v>——</v>
      </c>
      <c r="B8" s="3290"/>
      <c r="C8" s="3290"/>
      <c r="D8" s="3290"/>
      <c r="E8" s="3290"/>
      <c r="F8" s="3290"/>
      <c r="G8" s="3290"/>
      <c r="H8" s="3290"/>
      <c r="I8" s="3290"/>
      <c r="J8" s="3290"/>
      <c r="K8" s="3290"/>
      <c r="L8" s="3290"/>
      <c r="M8" s="3290"/>
      <c r="N8" s="3290"/>
      <c r="O8" s="3290"/>
      <c r="P8" s="3290"/>
      <c r="Q8" s="3291"/>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4" customWidth="1"/>
    <col min="2" max="3" width="21.375" style="1804" customWidth="1"/>
    <col min="4" max="4" width="19.875" style="1804" customWidth="1"/>
    <col min="5" max="16384" width="9" style="1804"/>
  </cols>
  <sheetData>
    <row r="1" spans="1:4">
      <c r="A1" s="3296" t="s">
        <v>2068</v>
      </c>
      <c r="B1" s="3296"/>
      <c r="C1" s="3296"/>
      <c r="D1" s="3296"/>
    </row>
    <row r="2" spans="1:4" ht="47.25" customHeight="1">
      <c r="A2" s="3300" t="str">
        <f>"1.权利限制："&amp;项目基本情况!L24&amp;"未设定租赁等其他他项权利。"</f>
        <v>1.权利限制：根据估价对象《不动产权证书》原件、《国有土地使用权》复印件，截至估价期日，估价对象抵押权未见登记。未设定租赁等其他他项权利。</v>
      </c>
      <c r="B2" s="3300"/>
      <c r="C2" s="3300"/>
      <c r="D2" s="3300"/>
    </row>
    <row r="3" spans="1:4" ht="48" customHeight="1">
      <c r="A3" s="32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6"/>
      <c r="C3" s="3296"/>
      <c r="D3" s="3296"/>
    </row>
    <row r="4" spans="1:4" ht="36.75" customHeight="1">
      <c r="A4" s="3296" t="str">
        <f>"3.估价规划限制条件：详见"&amp;项目基本情况!E21&amp;"。"</f>
        <v>3.估价规划限制条件：详见《建设工程规划许可证》[]、《出让合同》[]。</v>
      </c>
      <c r="B4" s="3296"/>
      <c r="C4" s="3296"/>
      <c r="D4" s="3296"/>
    </row>
    <row r="5" spans="1:4">
      <c r="A5" s="3299" t="s">
        <v>2069</v>
      </c>
      <c r="B5" s="3299"/>
      <c r="C5" s="3299"/>
      <c r="D5" s="3299"/>
    </row>
    <row r="6" spans="1:4">
      <c r="A6" s="3296" t="s">
        <v>2047</v>
      </c>
      <c r="B6" s="3296"/>
      <c r="C6" s="3296"/>
      <c r="D6" s="3296"/>
    </row>
    <row r="7" spans="1:4" ht="33" customHeight="1">
      <c r="A7" s="3296" t="s">
        <v>2578</v>
      </c>
      <c r="B7" s="3296"/>
      <c r="C7" s="3296"/>
      <c r="D7" s="3296"/>
    </row>
    <row r="8" spans="1:4" ht="32.25" customHeight="1">
      <c r="A8" s="32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6"/>
      <c r="C8" s="3296"/>
      <c r="D8" s="3296"/>
    </row>
    <row r="9" spans="1:4" ht="33.75" customHeight="1">
      <c r="A9" s="3296" t="str">
        <f>IF(项目基本情况!B8="抵押","3.抵押双方在办理抵押登记手续时，应使用本公司出具的正式《土地估价报告》，特提请报告使用者注意。","——")</f>
        <v>——</v>
      </c>
      <c r="B9" s="3296"/>
      <c r="C9" s="3296"/>
      <c r="D9" s="3296"/>
    </row>
    <row r="10" spans="1:4">
      <c r="A10" s="3296" t="str">
        <f>IF(项目基本情况!B8="抵押","4.估价师所知悉的法定优先受偿款情况为：","——")</f>
        <v>——</v>
      </c>
      <c r="B10" s="3296"/>
      <c r="C10" s="3296"/>
      <c r="D10" s="3296"/>
    </row>
    <row r="11" spans="1:4" ht="37.5" customHeight="1">
      <c r="A11" s="3298" t="str">
        <f>IF(项目基本情况!B8="抵押","（1）"&amp;CONCATENATE(项目基本情况!L24,项目基本情况!L25,项目基本情况!L26),"——")</f>
        <v>——</v>
      </c>
      <c r="B11" s="3298"/>
      <c r="C11" s="3298"/>
      <c r="D11" s="3298"/>
    </row>
    <row r="12" spans="1:4" ht="168" customHeight="1">
      <c r="A12" s="3299" t="s">
        <v>2071</v>
      </c>
      <c r="B12" s="3299"/>
      <c r="C12" s="3299"/>
      <c r="D12" s="3299"/>
    </row>
    <row r="13" spans="1:4">
      <c r="A13" s="3297" t="s">
        <v>2749</v>
      </c>
      <c r="B13" s="3297"/>
      <c r="C13" s="3297"/>
      <c r="D13" s="3297"/>
    </row>
    <row r="14" spans="1:4">
      <c r="A14" s="3298" t="str">
        <f>IF(项目基本情况!B8="抵押","综上，"&amp;结果表!K47,"——")</f>
        <v>——</v>
      </c>
      <c r="B14" s="3298"/>
      <c r="C14" s="3298"/>
      <c r="D14" s="3298"/>
    </row>
    <row r="15" spans="1:4" ht="58.5" customHeight="1">
      <c r="A15" s="32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6"/>
      <c r="C15" s="3296"/>
      <c r="D15" s="3296"/>
    </row>
    <row r="16" spans="1:4" ht="70.5" customHeight="1">
      <c r="A16" s="32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6"/>
      <c r="C16" s="3296"/>
      <c r="D16" s="3296"/>
    </row>
    <row r="17" spans="1:4">
      <c r="A17" s="3296" t="s">
        <v>2705</v>
      </c>
      <c r="B17" s="3296"/>
      <c r="C17" s="3296"/>
      <c r="D17" s="3296"/>
    </row>
    <row r="18" spans="1:4">
      <c r="A18" s="3296" t="s">
        <v>2697</v>
      </c>
      <c r="B18" s="3296"/>
      <c r="C18" s="3296"/>
      <c r="D18" s="3296"/>
    </row>
    <row r="19" spans="1:4">
      <c r="A19" s="2870" t="s">
        <v>2698</v>
      </c>
      <c r="B19" s="2870" t="s">
        <v>2699</v>
      </c>
      <c r="C19" s="2870" t="s">
        <v>2700</v>
      </c>
      <c r="D19" s="2870" t="s">
        <v>2701</v>
      </c>
    </row>
    <row r="20" spans="1:4">
      <c r="A20" s="2870" t="str">
        <f>项目基本情况!B4</f>
        <v>土地估价师</v>
      </c>
      <c r="B20" s="2870">
        <f>项目基本情况!C4</f>
        <v>0</v>
      </c>
      <c r="C20" s="2872"/>
      <c r="D20" s="1802" t="s">
        <v>2706</v>
      </c>
    </row>
    <row r="21" spans="1:4">
      <c r="A21" s="2870" t="str">
        <f>项目基本情况!D4</f>
        <v>土地估价师</v>
      </c>
      <c r="B21" s="2870">
        <f>项目基本情况!E4</f>
        <v>0</v>
      </c>
      <c r="C21" s="2872"/>
      <c r="D21" s="1802" t="s">
        <v>2707</v>
      </c>
    </row>
    <row r="23" spans="1:4">
      <c r="A23" s="3296" t="s">
        <v>2702</v>
      </c>
      <c r="B23" s="3296"/>
      <c r="C23" s="3296"/>
      <c r="D23" s="3296"/>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308" t="s">
        <v>53</v>
      </c>
      <c r="B15" s="3309" t="s">
        <v>846</v>
      </c>
      <c r="C15" s="3305"/>
    </row>
    <row r="16" spans="1:7" ht="14.25">
      <c r="A16" s="3308"/>
      <c r="B16" s="3306" t="s">
        <v>54</v>
      </c>
      <c r="C16" s="1172" t="s">
        <v>53</v>
      </c>
    </row>
    <row r="17" spans="1:3" ht="14.25">
      <c r="A17" s="3308"/>
      <c r="B17" s="3306"/>
      <c r="C17" s="1172" t="s">
        <v>55</v>
      </c>
    </row>
    <row r="18" spans="1:3" ht="14.25">
      <c r="A18" s="3308"/>
      <c r="B18" s="3306"/>
      <c r="C18" s="1172" t="s">
        <v>56</v>
      </c>
    </row>
    <row r="19" spans="1:3" ht="14.25">
      <c r="A19" s="3308"/>
      <c r="B19" s="3304" t="s">
        <v>57</v>
      </c>
      <c r="C19" s="3305"/>
    </row>
    <row r="20" spans="1:3" ht="14.25">
      <c r="A20" s="1173" t="s">
        <v>58</v>
      </c>
      <c r="B20" s="1174"/>
      <c r="C20" s="1175"/>
    </row>
    <row r="21" spans="1:3" ht="14.25">
      <c r="A21" s="3307" t="s">
        <v>59</v>
      </c>
      <c r="B21" s="3304" t="s">
        <v>60</v>
      </c>
      <c r="C21" s="3305"/>
    </row>
    <row r="22" spans="1:3" ht="14.25">
      <c r="A22" s="3307"/>
      <c r="B22" s="3304" t="s">
        <v>61</v>
      </c>
      <c r="C22" s="3305"/>
    </row>
    <row r="23" spans="1:3" ht="14.25">
      <c r="A23" s="3307"/>
      <c r="B23" s="3304" t="s">
        <v>62</v>
      </c>
      <c r="C23" s="3305"/>
    </row>
    <row r="24" spans="1:3" ht="14.25">
      <c r="A24" s="3307"/>
      <c r="B24" s="3310" t="s">
        <v>63</v>
      </c>
      <c r="C24" s="1176" t="s">
        <v>837</v>
      </c>
    </row>
    <row r="25" spans="1:3" ht="14.25">
      <c r="A25" s="3307"/>
      <c r="B25" s="3311"/>
      <c r="C25" s="1176" t="s">
        <v>838</v>
      </c>
    </row>
    <row r="26" spans="1:3" ht="14.25">
      <c r="A26" s="3307"/>
      <c r="B26" s="3311"/>
      <c r="C26" s="1176" t="s">
        <v>839</v>
      </c>
    </row>
    <row r="27" spans="1:3" ht="14.25">
      <c r="A27" s="3307"/>
      <c r="B27" s="3311"/>
      <c r="C27" s="1176" t="s">
        <v>840</v>
      </c>
    </row>
    <row r="28" spans="1:3" ht="14.25">
      <c r="A28" s="3307"/>
      <c r="B28" s="3311"/>
      <c r="C28" s="1176" t="s">
        <v>841</v>
      </c>
    </row>
    <row r="29" spans="1:3" ht="14.25">
      <c r="A29" s="3307"/>
      <c r="B29" s="3311"/>
      <c r="C29" s="1176" t="s">
        <v>842</v>
      </c>
    </row>
    <row r="30" spans="1:3" ht="14.25">
      <c r="A30" s="3307"/>
      <c r="B30" s="3311"/>
      <c r="C30" s="1176" t="s">
        <v>843</v>
      </c>
    </row>
    <row r="31" spans="1:3" ht="14.25">
      <c r="A31" s="3307"/>
      <c r="B31" s="3311"/>
      <c r="C31" s="1176" t="s">
        <v>844</v>
      </c>
    </row>
    <row r="32" spans="1:3" ht="14.25">
      <c r="A32" s="3307"/>
      <c r="B32" s="3311"/>
      <c r="C32" s="1176" t="s">
        <v>1647</v>
      </c>
    </row>
    <row r="33" spans="1:3" ht="14.25">
      <c r="A33" s="3307"/>
      <c r="B33" s="3301" t="s">
        <v>1653</v>
      </c>
      <c r="C33" s="1176" t="s">
        <v>1648</v>
      </c>
    </row>
    <row r="34" spans="1:3" ht="14.25">
      <c r="A34" s="3307"/>
      <c r="B34" s="3302"/>
      <c r="C34" s="1181" t="s">
        <v>1649</v>
      </c>
    </row>
    <row r="35" spans="1:3" ht="14.25">
      <c r="A35" s="3307"/>
      <c r="B35" s="3302"/>
      <c r="C35" s="1182" t="s">
        <v>1650</v>
      </c>
    </row>
    <row r="36" spans="1:3" ht="14.25">
      <c r="A36" s="3307"/>
      <c r="B36" s="3302"/>
      <c r="C36" s="1182" t="s">
        <v>1651</v>
      </c>
    </row>
    <row r="37" spans="1:3" ht="14.25">
      <c r="A37" s="3307"/>
      <c r="B37" s="330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43415</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f ca="1">IF(C7&lt;B2,"已过期",1120050019)</f>
        <v>1120050019</v>
      </c>
      <c r="C7" s="3008">
        <v>44395</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f ca="1">IF(C10&lt;B2,"已过期",1120060040)</f>
        <v>1120060040</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2981</v>
      </c>
      <c r="B12" s="2345">
        <v>1120110054</v>
      </c>
      <c r="C12" s="3008">
        <v>43937</v>
      </c>
      <c r="D12" s="2345" t="s">
        <v>2981</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2577</v>
      </c>
      <c r="B15" s="2345">
        <v>1120070085</v>
      </c>
      <c r="C15" s="3008">
        <v>43814</v>
      </c>
      <c r="D15" s="2345" t="s">
        <v>2577</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2056</v>
      </c>
      <c r="B24" s="2347" t="s">
        <v>2056</v>
      </c>
      <c r="C24" s="3008"/>
      <c r="D24" s="3010" t="s">
        <v>2056</v>
      </c>
      <c r="E24" s="2347" t="s">
        <v>2056</v>
      </c>
      <c r="F24" s="2348"/>
    </row>
    <row r="25" spans="1:7" ht="20.25" customHeight="1">
      <c r="A25" s="3312" t="s">
        <v>1929</v>
      </c>
      <c r="B25" s="3312"/>
      <c r="C25" s="3312"/>
      <c r="D25" s="3312"/>
      <c r="E25" s="3312"/>
      <c r="F25" s="3312"/>
      <c r="G25" s="3312"/>
    </row>
    <row r="26" spans="1:7" ht="20.25" customHeight="1">
      <c r="A26" s="3313" t="s">
        <v>1930</v>
      </c>
      <c r="B26" s="3313"/>
      <c r="C26" s="3313"/>
      <c r="D26" s="3313" t="s">
        <v>1931</v>
      </c>
      <c r="E26" s="3313"/>
      <c r="F26" s="3313"/>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2947</v>
      </c>
      <c r="F29" s="2359">
        <v>43281</v>
      </c>
    </row>
    <row r="30" spans="1:7" ht="20.25" customHeight="1">
      <c r="C30" s="2360"/>
      <c r="D30" s="2360"/>
    </row>
  </sheetData>
  <sheetProtection sheet="1" objects="1" scenarios="1"/>
  <mergeCells count="3">
    <mergeCell ref="A25:G25"/>
    <mergeCell ref="A26:C26"/>
    <mergeCell ref="D26:F26"/>
  </mergeCells>
  <phoneticPr fontId="4"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5" workbookViewId="0">
      <selection activeCell="A34" sqref="A34"/>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5" t="s">
        <v>2959</v>
      </c>
      <c r="C18" s="1555"/>
    </row>
    <row r="19" spans="1:3">
      <c r="A19" s="8" t="s">
        <v>120</v>
      </c>
      <c r="B19" s="3115"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3115" t="s">
        <v>3025</v>
      </c>
      <c r="B27" s="8" t="s">
        <v>1642</v>
      </c>
      <c r="C27" s="1555"/>
    </row>
    <row r="28" spans="1:3">
      <c r="A28" s="8">
        <v>2</v>
      </c>
      <c r="B28" s="8" t="s">
        <v>1642</v>
      </c>
      <c r="C28" s="1555"/>
    </row>
    <row r="29" spans="1:3">
      <c r="A29" s="8">
        <v>3</v>
      </c>
      <c r="B29" s="8" t="s">
        <v>1642</v>
      </c>
      <c r="C29" s="1555"/>
    </row>
    <row r="30" spans="1:3">
      <c r="A30" s="8">
        <v>4</v>
      </c>
      <c r="B30" s="8" t="s">
        <v>1642</v>
      </c>
      <c r="C30" s="1555"/>
    </row>
    <row r="31" spans="1:3">
      <c r="A31" s="3181" t="s">
        <v>3027</v>
      </c>
      <c r="B31" s="8" t="s">
        <v>1642</v>
      </c>
      <c r="C31" s="1555"/>
    </row>
    <row r="32" spans="1:3">
      <c r="A32" s="8">
        <v>5</v>
      </c>
      <c r="B32" s="8" t="s">
        <v>1642</v>
      </c>
      <c r="C32" s="1555"/>
    </row>
    <row r="33" spans="1:3">
      <c r="A33" s="8">
        <v>6</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清河安宁庄东路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314"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c r="D53" s="1769"/>
      <c r="E53" s="1769"/>
    </row>
    <row r="54" spans="1:5">
      <c r="A54" s="3314"/>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314"/>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314"/>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314"/>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131</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搬迁费</vt:lpstr>
      <vt:lpstr>建筑物价格</vt:lpstr>
      <vt:lpstr>停产停业损失补偿</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附属物-墙地泉</vt:lpstr>
      <vt:lpstr>树木</vt:lpstr>
      <vt:lpstr>案例</vt:lpstr>
      <vt:lpstr>租金</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2018-11-11T05:02:25Z</dcterms:modified>
</cp:coreProperties>
</file>