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r:id="rId32"/>
    <sheet name="案例" sheetId="68" r:id="rId33"/>
    <sheet name="搬迁费" sheetId="70" r:id="rId34"/>
    <sheet name="建筑物价格" sheetId="71" r:id="rId35"/>
    <sheet name="停产停业损失补偿" sheetId="72"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租金" sheetId="73"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72" l="1"/>
  <c r="G23" i="71" l="1"/>
  <c r="G22" i="71"/>
  <c r="G21" i="71"/>
  <c r="G20" i="71"/>
  <c r="G14" i="71"/>
  <c r="G38" i="71"/>
  <c r="G37" i="71"/>
  <c r="G36" i="71"/>
  <c r="G35" i="71"/>
  <c r="G34" i="71"/>
  <c r="G33" i="71"/>
  <c r="G32" i="71"/>
  <c r="H32" i="71" s="1"/>
  <c r="I32" i="71" s="1"/>
  <c r="J32" i="71" s="1"/>
  <c r="G31" i="71"/>
  <c r="G30" i="71"/>
  <c r="H30" i="71" s="1"/>
  <c r="G29" i="71"/>
  <c r="G26" i="71"/>
  <c r="H26" i="71" s="1"/>
  <c r="I26" i="71" s="1"/>
  <c r="G25" i="71"/>
  <c r="G24" i="71"/>
  <c r="G19" i="71"/>
  <c r="G18" i="71"/>
  <c r="H18" i="71" s="1"/>
  <c r="I18" i="71" s="1"/>
  <c r="G17" i="71"/>
  <c r="G16" i="71"/>
  <c r="H16" i="71" s="1"/>
  <c r="G15" i="71"/>
  <c r="G13" i="71"/>
  <c r="G11" i="71"/>
  <c r="G10" i="71"/>
  <c r="G9" i="71"/>
  <c r="H9" i="71" s="1"/>
  <c r="I9" i="71" s="1"/>
  <c r="G8" i="71"/>
  <c r="H8" i="71" s="1"/>
  <c r="I8" i="71" s="1"/>
  <c r="J8" i="71" s="1"/>
  <c r="G7" i="71"/>
  <c r="H7" i="71" s="1"/>
  <c r="I7" i="71" s="1"/>
  <c r="J7" i="71" s="1"/>
  <c r="G6" i="71"/>
  <c r="H6" i="71" s="1"/>
  <c r="I6" i="71" s="1"/>
  <c r="G4" i="71"/>
  <c r="F4" i="71"/>
  <c r="F5"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 i="71"/>
  <c r="B27" i="71"/>
  <c r="B28" i="71"/>
  <c r="B29" i="71"/>
  <c r="B30" i="71"/>
  <c r="B31" i="71"/>
  <c r="B32" i="71"/>
  <c r="B33" i="71"/>
  <c r="B34" i="71"/>
  <c r="B35" i="71"/>
  <c r="B36" i="71"/>
  <c r="B37" i="71"/>
  <c r="B38" i="71"/>
  <c r="B17" i="71"/>
  <c r="B18" i="71"/>
  <c r="B19" i="71"/>
  <c r="B20" i="71"/>
  <c r="B21" i="71"/>
  <c r="B22" i="71"/>
  <c r="B23" i="71"/>
  <c r="B24" i="71"/>
  <c r="B25" i="71"/>
  <c r="B26" i="71"/>
  <c r="B4" i="71"/>
  <c r="B5" i="71"/>
  <c r="B6" i="71"/>
  <c r="B7" i="71"/>
  <c r="B8" i="71"/>
  <c r="B9" i="71"/>
  <c r="B10" i="71"/>
  <c r="B11" i="71"/>
  <c r="B12" i="71"/>
  <c r="B13" i="71"/>
  <c r="B14" i="71"/>
  <c r="B15" i="71"/>
  <c r="B16" i="71"/>
  <c r="B3" i="71"/>
  <c r="D5" i="72"/>
  <c r="D3" i="70"/>
  <c r="D24" i="72"/>
  <c r="D19" i="72"/>
  <c r="E11" i="72"/>
  <c r="E10" i="72"/>
  <c r="D6" i="72"/>
  <c r="F39" i="71"/>
  <c r="H38" i="71"/>
  <c r="H31" i="71"/>
  <c r="I31" i="71" s="1"/>
  <c r="H28" i="71"/>
  <c r="I28" i="71" s="1"/>
  <c r="H27" i="71"/>
  <c r="I27" i="71" s="1"/>
  <c r="H25" i="71"/>
  <c r="H23" i="71"/>
  <c r="I23" i="71" s="1"/>
  <c r="H22" i="71"/>
  <c r="H21" i="71"/>
  <c r="H20" i="71"/>
  <c r="H15" i="71"/>
  <c r="I15" i="71" s="1"/>
  <c r="H14" i="71"/>
  <c r="I14" i="71" s="1"/>
  <c r="H13" i="71"/>
  <c r="I13" i="71" s="1"/>
  <c r="O11" i="71"/>
  <c r="O10" i="71"/>
  <c r="H10" i="71"/>
  <c r="I10" i="71" s="1"/>
  <c r="O9" i="71"/>
  <c r="O8" i="71"/>
  <c r="H5" i="71"/>
  <c r="I5" i="71" s="1"/>
  <c r="H4" i="71"/>
  <c r="I4" i="71" s="1"/>
  <c r="H3" i="71"/>
  <c r="I3" i="71" s="1"/>
  <c r="D5" i="70"/>
  <c r="I20" i="71" l="1"/>
  <c r="J20" i="71" s="1"/>
  <c r="H12" i="71"/>
  <c r="I12" i="71" s="1"/>
  <c r="H36" i="71"/>
  <c r="I36" i="71" s="1"/>
  <c r="J36" i="71" s="1"/>
  <c r="H11" i="71"/>
  <c r="I11" i="71" s="1"/>
  <c r="J11" i="71" s="1"/>
  <c r="K11" i="71" s="1"/>
  <c r="H19" i="71"/>
  <c r="I19" i="71" s="1"/>
  <c r="H35" i="71"/>
  <c r="I35" i="71" s="1"/>
  <c r="J35" i="71" s="1"/>
  <c r="I22" i="71"/>
  <c r="H34" i="71"/>
  <c r="I34" i="71" s="1"/>
  <c r="C12" i="72"/>
  <c r="C14" i="72" s="1"/>
  <c r="J4" i="71"/>
  <c r="K4" i="71" s="1"/>
  <c r="J15" i="71"/>
  <c r="K15" i="71" s="1"/>
  <c r="J31" i="71"/>
  <c r="J10" i="71"/>
  <c r="J6" i="71"/>
  <c r="K6" i="71" s="1"/>
  <c r="J9" i="71"/>
  <c r="K9" i="71" s="1"/>
  <c r="J14" i="71"/>
  <c r="K14" i="71" s="1"/>
  <c r="S14" i="71" s="1"/>
  <c r="M14" i="71" s="1"/>
  <c r="J18" i="71"/>
  <c r="K18" i="71"/>
  <c r="J22" i="71"/>
  <c r="J5" i="71"/>
  <c r="K7" i="71"/>
  <c r="L7" i="71" s="1"/>
  <c r="J23" i="71"/>
  <c r="K23" i="71" s="1"/>
  <c r="L23" i="71" s="1"/>
  <c r="H24" i="71"/>
  <c r="I24" i="71" s="1"/>
  <c r="J28" i="71"/>
  <c r="K28" i="71" s="1"/>
  <c r="S28" i="71" s="1"/>
  <c r="M28" i="71" s="1"/>
  <c r="H29" i="71"/>
  <c r="I29" i="71" s="1"/>
  <c r="J3" i="71"/>
  <c r="K5" i="71"/>
  <c r="L5" i="71" s="1"/>
  <c r="J13" i="71"/>
  <c r="I16" i="71"/>
  <c r="H17" i="71"/>
  <c r="I17" i="71" s="1"/>
  <c r="I25" i="71"/>
  <c r="J26" i="71"/>
  <c r="K26" i="71" s="1"/>
  <c r="S26" i="71" s="1"/>
  <c r="M26" i="71" s="1"/>
  <c r="J27" i="71"/>
  <c r="I30" i="71"/>
  <c r="H33" i="71"/>
  <c r="I33" i="71" s="1"/>
  <c r="I38" i="71"/>
  <c r="K8" i="71"/>
  <c r="L8" i="71" s="1"/>
  <c r="I21" i="71"/>
  <c r="H37" i="71"/>
  <c r="I37" i="71" s="1"/>
  <c r="K32" i="71"/>
  <c r="G9" i="72"/>
  <c r="D5" i="9"/>
  <c r="D29" i="46"/>
  <c r="F1" i="46"/>
  <c r="F23" i="6"/>
  <c r="F22" i="6"/>
  <c r="F21" i="6"/>
  <c r="F20" i="6"/>
  <c r="F19" i="6"/>
  <c r="C23" i="6"/>
  <c r="C22" i="6"/>
  <c r="C21" i="6"/>
  <c r="C20" i="6"/>
  <c r="C19" i="6"/>
  <c r="C8" i="11"/>
  <c r="D3" i="4"/>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I2" i="46"/>
  <c r="M5" i="46"/>
  <c r="C6" i="46"/>
  <c r="G17" i="46"/>
  <c r="C16" i="46" s="1"/>
  <c r="C5" i="46" s="1"/>
  <c r="H17" i="46"/>
  <c r="I17" i="46"/>
  <c r="J17" i="46"/>
  <c r="C17" i="46"/>
  <c r="J20" i="46"/>
  <c r="I20" i="46"/>
  <c r="D80" i="46"/>
  <c r="D81" i="46"/>
  <c r="D82" i="46"/>
  <c r="D83" i="46"/>
  <c r="K84" i="46"/>
  <c r="D84" i="46"/>
  <c r="M85" i="46"/>
  <c r="N85" i="46"/>
  <c r="D85" i="46"/>
  <c r="D86" i="46"/>
  <c r="D87" i="46"/>
  <c r="F39" i="46"/>
  <c r="F38" i="46"/>
  <c r="F37" i="46"/>
  <c r="D5" i="46"/>
  <c r="F36" i="46"/>
  <c r="F35" i="46"/>
  <c r="F34" i="46"/>
  <c r="A6" i="1"/>
  <c r="A7" i="1"/>
  <c r="A8" i="1"/>
  <c r="A9" i="1"/>
  <c r="A10" i="1"/>
  <c r="G1" i="15"/>
  <c r="F6" i="1"/>
  <c r="J50" i="15"/>
  <c r="J51" i="15"/>
  <c r="M47" i="15"/>
  <c r="G1" i="44"/>
  <c r="M48" i="44"/>
  <c r="J51" i="44"/>
  <c r="J52" i="44"/>
  <c r="C1" i="65"/>
  <c r="H1" i="65"/>
  <c r="C18" i="46"/>
  <c r="AD5" i="3"/>
  <c r="AH5" i="3"/>
  <c r="AL5" i="3"/>
  <c r="AP5" i="3"/>
  <c r="I5" i="3"/>
  <c r="K5" i="3"/>
  <c r="M5" i="3"/>
  <c r="Q5" i="3"/>
  <c r="I4" i="6"/>
  <c r="G3" i="46"/>
  <c r="G101" i="46"/>
  <c r="G109" i="46"/>
  <c r="C23" i="46"/>
  <c r="C21" i="46"/>
  <c r="F33"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N5" i="46"/>
  <c r="F80" i="46"/>
  <c r="F99" i="46"/>
  <c r="F100" i="46"/>
  <c r="F101" i="46"/>
  <c r="F102" i="46"/>
  <c r="F103" i="46"/>
  <c r="F104" i="46"/>
  <c r="F105" i="46"/>
  <c r="F106" i="46"/>
  <c r="F107" i="46"/>
  <c r="F108" i="46"/>
  <c r="F109" i="46"/>
  <c r="F113" i="46"/>
  <c r="F115" i="46"/>
  <c r="F116" i="46"/>
  <c r="F117" i="46"/>
  <c r="F118" i="46"/>
  <c r="H33"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7" i="46"/>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K85" i="46"/>
  <c r="J85" i="46"/>
  <c r="M84" i="46"/>
  <c r="N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E19" i="6"/>
  <c r="F27" i="6"/>
  <c r="E20" i="6"/>
  <c r="E21" i="6"/>
  <c r="E22" i="6"/>
  <c r="E23" i="6"/>
  <c r="E27" i="6"/>
  <c r="K23" i="6"/>
  <c r="M23" i="6"/>
  <c r="I23" i="6"/>
  <c r="H23" i="6"/>
  <c r="D23" i="6"/>
  <c r="R23" i="6"/>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s="1"/>
  <c r="N12" i="46"/>
  <c r="F41" i="4"/>
  <c r="J52" i="40"/>
  <c r="H61" i="49"/>
  <c r="H39" i="46"/>
  <c r="H38" i="46"/>
  <c r="H37" i="46"/>
  <c r="H36" i="46"/>
  <c r="H35" i="46"/>
  <c r="H34" i="46"/>
  <c r="E32" i="6"/>
  <c r="K8" i="1"/>
  <c r="M8" i="1"/>
  <c r="O8" i="1"/>
  <c r="P8" i="1"/>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BD5" i="3"/>
  <c r="E8" i="6"/>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H6" i="48"/>
  <c r="H15" i="48"/>
  <c r="H5" i="48"/>
  <c r="H14" i="48"/>
  <c r="H13" i="48"/>
  <c r="H11" i="48"/>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E86" i="3"/>
  <c r="AE11" i="46"/>
  <c r="AE13" i="46"/>
  <c r="F29" i="6"/>
  <c r="F28" i="6"/>
  <c r="AJ11" i="46"/>
  <c r="AJ13"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G29" i="6"/>
  <c r="G30" i="6"/>
  <c r="G31" i="6"/>
  <c r="E14" i="6"/>
  <c r="E10" i="6"/>
  <c r="E15" i="6"/>
  <c r="H16" i="1"/>
  <c r="G16" i="1"/>
  <c r="J12" i="40"/>
  <c r="F30" i="6"/>
  <c r="E28" i="6"/>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c r="C18" i="11"/>
  <c r="AP16" i="1"/>
  <c r="F22" i="11"/>
  <c r="E4" i="4"/>
  <c r="C4" i="4"/>
  <c r="G66" i="36"/>
  <c r="J18" i="36"/>
  <c r="AE8" i="1"/>
  <c r="AE7" i="1"/>
  <c r="AE6" i="1"/>
  <c r="F33" i="44"/>
  <c r="F31" i="15"/>
  <c r="F58" i="15"/>
  <c r="M17" i="15"/>
  <c r="M19" i="44"/>
  <c r="H7" i="37"/>
  <c r="J7" i="37"/>
  <c r="F7" i="37"/>
  <c r="AA7" i="37"/>
  <c r="R42" i="37"/>
  <c r="E42" i="37"/>
  <c r="H6" i="3"/>
  <c r="L109" i="46"/>
  <c r="I109" i="46"/>
  <c r="M109"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21" i="12"/>
  <c r="C21" i="12" s="1"/>
  <c r="D12" i="11"/>
  <c r="C12" i="11"/>
  <c r="E59" i="40"/>
  <c r="E29" i="6"/>
  <c r="L20" i="6"/>
  <c r="E58" i="40"/>
  <c r="E63" i="39"/>
  <c r="E16" i="6"/>
  <c r="F33" i="12"/>
  <c r="C34" i="12" s="1"/>
  <c r="D33" i="12" s="1"/>
  <c r="F24" i="43"/>
  <c r="C26" i="43" s="1"/>
  <c r="D24" i="43" s="1"/>
  <c r="E60" i="40"/>
  <c r="E65" i="39"/>
  <c r="K19" i="6"/>
  <c r="K26" i="6"/>
  <c r="M26" i="6"/>
  <c r="I26" i="6"/>
  <c r="S26" i="6"/>
  <c r="K24" i="6"/>
  <c r="M24" i="6"/>
  <c r="I24" i="6"/>
  <c r="S24" i="6"/>
  <c r="K22" i="6"/>
  <c r="K20" i="6"/>
  <c r="S23" i="6"/>
  <c r="K25" i="6"/>
  <c r="M25" i="6"/>
  <c r="I25" i="6"/>
  <c r="S25" i="6"/>
  <c r="K21" i="6"/>
  <c r="K14" i="1"/>
  <c r="E30" i="6"/>
  <c r="E31" i="6"/>
  <c r="L19" i="6"/>
  <c r="K15" i="1"/>
  <c r="E62" i="40"/>
  <c r="E67" i="39"/>
  <c r="E66" i="39"/>
  <c r="E61" i="40"/>
  <c r="B21" i="55"/>
  <c r="B72" i="63" s="1"/>
  <c r="B20" i="55"/>
  <c r="B70" i="63" s="1"/>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16" i="12" s="1"/>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6" i="1"/>
  <c r="T11" i="1"/>
  <c r="T8" i="1"/>
  <c r="T12" i="1"/>
  <c r="O16" i="1"/>
  <c r="P14" i="1"/>
  <c r="P16" i="1"/>
  <c r="C13" i="12"/>
  <c r="C17" i="12" s="1"/>
  <c r="C13" i="43"/>
  <c r="C14" i="43" s="1"/>
  <c r="L16" i="1"/>
  <c r="N16" i="1"/>
  <c r="C29" i="43"/>
  <c r="D22" i="12"/>
  <c r="C22" i="12" s="1"/>
  <c r="C20" i="12" s="1"/>
  <c r="D13" i="11"/>
  <c r="C13" i="11"/>
  <c r="I27" i="6"/>
  <c r="S19" i="6"/>
  <c r="S27" i="6"/>
  <c r="H19" i="6"/>
  <c r="C22" i="4"/>
  <c r="D19" i="6"/>
  <c r="D24" i="6"/>
  <c r="D21" i="6"/>
  <c r="D26" i="6"/>
  <c r="D25" i="6"/>
  <c r="D22" i="6"/>
  <c r="D10" i="6"/>
  <c r="D11" i="6"/>
  <c r="D13" i="6"/>
  <c r="D12" i="6"/>
  <c r="H21" i="6"/>
  <c r="H20" i="6"/>
  <c r="H24" i="6"/>
  <c r="H25" i="6"/>
  <c r="D6" i="6"/>
  <c r="D9" i="6"/>
  <c r="D5" i="6"/>
  <c r="D14" i="6"/>
  <c r="D29" i="6"/>
  <c r="D28" i="6"/>
  <c r="H22" i="6"/>
  <c r="R22" i="6"/>
  <c r="R9" i="1"/>
  <c r="D20" i="6"/>
  <c r="D15" i="6"/>
  <c r="D8" i="6"/>
  <c r="H26" i="6"/>
  <c r="E53" i="21"/>
  <c r="F53" i="21"/>
  <c r="E52" i="21"/>
  <c r="F52" i="21"/>
  <c r="C48" i="21"/>
  <c r="C49" i="21"/>
  <c r="B3" i="21"/>
  <c r="B2" i="21"/>
  <c r="I53" i="21"/>
  <c r="J53" i="21"/>
  <c r="I70" i="39"/>
  <c r="H72" i="39"/>
  <c r="I65" i="40"/>
  <c r="H67" i="40"/>
  <c r="T16" i="1"/>
  <c r="H27" i="6"/>
  <c r="R20" i="6"/>
  <c r="R7" i="1"/>
  <c r="R24" i="6"/>
  <c r="D16" i="6"/>
  <c r="D30" i="6"/>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C44" i="9"/>
  <c r="G14" i="66"/>
  <c r="B6" i="66"/>
  <c r="D45" i="9"/>
  <c r="E45" i="9"/>
  <c r="O40" i="9"/>
  <c r="F45" i="9"/>
  <c r="D6" i="66"/>
  <c r="C6" i="66"/>
  <c r="K31" i="9"/>
  <c r="K32" i="9"/>
  <c r="R7" i="54"/>
  <c r="B52" i="63"/>
  <c r="N69" i="9"/>
  <c r="O39" i="9"/>
  <c r="K29" i="9"/>
  <c r="D44" i="9"/>
  <c r="E44" i="9"/>
  <c r="F44" i="9"/>
  <c r="M86" i="9"/>
  <c r="N86" i="9"/>
  <c r="M84" i="9"/>
  <c r="N84" i="9"/>
  <c r="M88" i="9"/>
  <c r="N88" i="9"/>
  <c r="M87" i="9"/>
  <c r="N87" i="9"/>
  <c r="M85" i="9"/>
  <c r="N85" i="9"/>
  <c r="M83" i="9"/>
  <c r="N83" i="9"/>
  <c r="K30" i="9"/>
  <c r="R6" i="54"/>
  <c r="B50" i="63"/>
  <c r="N89" i="9"/>
  <c r="O89" i="9"/>
  <c r="N76" i="9"/>
  <c r="C46" i="9"/>
  <c r="K33" i="9"/>
  <c r="F46" i="9"/>
  <c r="O41" i="9"/>
  <c r="I14" i="66"/>
  <c r="B8" i="66"/>
  <c r="E46" i="9"/>
  <c r="D46" i="9"/>
  <c r="K34" i="9"/>
  <c r="C8" i="66"/>
  <c r="D8" i="66"/>
  <c r="R8" i="54"/>
  <c r="B54" i="63"/>
  <c r="F13" i="67"/>
  <c r="E14" i="67"/>
  <c r="B12" i="67"/>
  <c r="J7" i="65"/>
  <c r="N6" i="65"/>
  <c r="M28" i="15"/>
  <c r="F16" i="15"/>
  <c r="F36" i="15"/>
  <c r="F8" i="44"/>
  <c r="M9" i="15"/>
  <c r="F13" i="15"/>
  <c r="L49" i="44"/>
  <c r="F14" i="67"/>
  <c r="B9" i="67"/>
  <c r="I7" i="65"/>
  <c r="J4" i="65"/>
  <c r="M11" i="44"/>
  <c r="F15" i="44"/>
  <c r="M29" i="44"/>
  <c r="M22" i="15"/>
  <c r="F9" i="44"/>
  <c r="M29" i="15"/>
  <c r="C16" i="44"/>
  <c r="E8" i="67"/>
  <c r="B10" i="67"/>
  <c r="N5" i="65"/>
  <c r="J3" i="65"/>
  <c r="F18" i="44"/>
  <c r="M26" i="15"/>
  <c r="M8" i="44"/>
  <c r="F7" i="15"/>
  <c r="F8" i="15"/>
  <c r="F9" i="15"/>
  <c r="F46" i="44"/>
  <c r="F37" i="44"/>
  <c r="L48" i="44"/>
  <c r="F43" i="44"/>
  <c r="F42" i="15"/>
  <c r="J15" i="15"/>
  <c r="L48" i="15"/>
  <c r="E9" i="67"/>
  <c r="I3" i="65"/>
  <c r="F10" i="44"/>
  <c r="F41" i="15"/>
  <c r="I4" i="65"/>
  <c r="E13" i="67"/>
  <c r="M25" i="44"/>
  <c r="F45" i="44"/>
  <c r="F9" i="67"/>
  <c r="E10" i="67"/>
  <c r="B8" i="67"/>
  <c r="N7" i="65"/>
  <c r="N4" i="65"/>
  <c r="M27" i="15"/>
  <c r="F39" i="44"/>
  <c r="J36" i="15"/>
  <c r="M28" i="44"/>
  <c r="M31" i="44"/>
  <c r="M30" i="44"/>
  <c r="F35" i="15"/>
  <c r="F10" i="67"/>
  <c r="E11" i="67"/>
  <c r="B13" i="67"/>
  <c r="N3" i="65"/>
  <c r="M6" i="15"/>
  <c r="M24" i="15"/>
  <c r="F6" i="15"/>
  <c r="M26" i="44"/>
  <c r="M8" i="15"/>
  <c r="F43" i="15"/>
  <c r="M24" i="44"/>
  <c r="F11" i="67"/>
  <c r="E12" i="67"/>
  <c r="B14" i="67"/>
  <c r="J5" i="65"/>
  <c r="F11" i="44"/>
  <c r="J17" i="44"/>
  <c r="M10" i="44"/>
  <c r="F28" i="44"/>
  <c r="L47" i="15"/>
  <c r="F38" i="15"/>
  <c r="F38" i="44"/>
  <c r="C14" i="15"/>
  <c r="I5" i="65"/>
  <c r="F40" i="44"/>
  <c r="I6" i="65"/>
  <c r="M23" i="15"/>
  <c r="M21" i="15"/>
  <c r="F8" i="67"/>
  <c r="B11" i="67"/>
  <c r="F26" i="15"/>
  <c r="F37" i="15"/>
  <c r="M23" i="44"/>
  <c r="F12" i="67"/>
  <c r="J6" i="65"/>
  <c r="F40" i="15"/>
  <c r="C19" i="44"/>
  <c r="E80" i="46" l="1"/>
  <c r="B78" i="46" s="1"/>
  <c r="C24" i="46" s="1"/>
  <c r="S7" i="71"/>
  <c r="M7" i="71" s="1"/>
  <c r="J19" i="71"/>
  <c r="K19" i="71" s="1"/>
  <c r="K20" i="71"/>
  <c r="S20" i="71" s="1"/>
  <c r="M20" i="71" s="1"/>
  <c r="K36" i="71"/>
  <c r="D19" i="12"/>
  <c r="C19" i="12" s="1"/>
  <c r="J12" i="71"/>
  <c r="J34" i="71"/>
  <c r="N7" i="71"/>
  <c r="P7" i="71" s="1"/>
  <c r="Q7" i="71" s="1"/>
  <c r="S18" i="71"/>
  <c r="M18" i="71" s="1"/>
  <c r="L15" i="71"/>
  <c r="K35" i="71"/>
  <c r="L35" i="71" s="1"/>
  <c r="S5" i="71"/>
  <c r="M5" i="71" s="1"/>
  <c r="N5" i="71" s="1"/>
  <c r="P5" i="71" s="1"/>
  <c r="Q5" i="71" s="1"/>
  <c r="K22" i="71"/>
  <c r="L22" i="71" s="1"/>
  <c r="K31" i="71"/>
  <c r="S31" i="71" s="1"/>
  <c r="M31" i="71" s="1"/>
  <c r="S8" i="71"/>
  <c r="M8" i="71" s="1"/>
  <c r="N8" i="71" s="1"/>
  <c r="P8" i="71" s="1"/>
  <c r="Q8" i="71" s="1"/>
  <c r="L18" i="71"/>
  <c r="L14" i="71"/>
  <c r="N14" i="71" s="1"/>
  <c r="P14" i="71" s="1"/>
  <c r="Q14" i="71" s="1"/>
  <c r="L11" i="71"/>
  <c r="S15" i="71"/>
  <c r="M15" i="71" s="1"/>
  <c r="E4" i="52"/>
  <c r="B14" i="52"/>
  <c r="C14" i="12"/>
  <c r="C18" i="12" s="1"/>
  <c r="B11" i="52"/>
  <c r="E7" i="52"/>
  <c r="B5" i="52"/>
  <c r="C17" i="43"/>
  <c r="C18" i="43" s="1"/>
  <c r="B22" i="52"/>
  <c r="L9" i="71"/>
  <c r="S9" i="71"/>
  <c r="M9" i="71" s="1"/>
  <c r="J29" i="71"/>
  <c r="K29" i="71" s="1"/>
  <c r="L29" i="71" s="1"/>
  <c r="B6" i="52"/>
  <c r="B23" i="52"/>
  <c r="E9" i="52"/>
  <c r="B4" i="52"/>
  <c r="B10" i="52"/>
  <c r="E11" i="52"/>
  <c r="L36" i="71"/>
  <c r="L28" i="71"/>
  <c r="N28" i="71" s="1"/>
  <c r="P28" i="71" s="1"/>
  <c r="Q28" i="71" s="1"/>
  <c r="S11" i="71"/>
  <c r="M11" i="71" s="1"/>
  <c r="J30" i="71"/>
  <c r="K30" i="71" s="1"/>
  <c r="K3" i="71"/>
  <c r="S3" i="71" s="1"/>
  <c r="M3" i="71" s="1"/>
  <c r="L26" i="71"/>
  <c r="N26" i="71" s="1"/>
  <c r="P26" i="71" s="1"/>
  <c r="Q26" i="71" s="1"/>
  <c r="L6" i="71"/>
  <c r="N6" i="71" s="1"/>
  <c r="P6" i="71" s="1"/>
  <c r="Q6" i="71" s="1"/>
  <c r="L4" i="71"/>
  <c r="J37" i="71"/>
  <c r="K37" i="71" s="1"/>
  <c r="S37" i="71" s="1"/>
  <c r="M37" i="71" s="1"/>
  <c r="E16" i="52"/>
  <c r="E8" i="52"/>
  <c r="B13" i="52"/>
  <c r="E21" i="52"/>
  <c r="E6" i="52"/>
  <c r="L32" i="71"/>
  <c r="S36" i="71"/>
  <c r="M36" i="71" s="1"/>
  <c r="S23" i="71"/>
  <c r="M23" i="71" s="1"/>
  <c r="N23" i="71" s="1"/>
  <c r="P23" i="71" s="1"/>
  <c r="Q23" i="71" s="1"/>
  <c r="S32" i="71"/>
  <c r="M32" i="71" s="1"/>
  <c r="J38" i="71"/>
  <c r="J25" i="71"/>
  <c r="J16" i="71"/>
  <c r="S6" i="71"/>
  <c r="M6" i="71" s="1"/>
  <c r="K10" i="71"/>
  <c r="L10" i="71" s="1"/>
  <c r="S4" i="71"/>
  <c r="M4" i="71" s="1"/>
  <c r="J33" i="71"/>
  <c r="E5" i="52"/>
  <c r="B16" i="52"/>
  <c r="E10" i="52"/>
  <c r="B8" i="52"/>
  <c r="B9" i="52"/>
  <c r="B7" i="52"/>
  <c r="J21" i="71"/>
  <c r="K27" i="71"/>
  <c r="K13" i="71"/>
  <c r="L13" i="71" s="1"/>
  <c r="J24" i="71"/>
  <c r="J17" i="71"/>
  <c r="F67" i="15"/>
  <c r="E20" i="46"/>
  <c r="J22" i="44"/>
  <c r="F68" i="15"/>
  <c r="F64" i="15"/>
  <c r="C27" i="15"/>
  <c r="L56" i="15"/>
  <c r="I54" i="15"/>
  <c r="J57" i="15"/>
  <c r="J55" i="15" s="1"/>
  <c r="J58" i="15" s="1"/>
  <c r="Q51" i="15" s="1"/>
  <c r="J53" i="15"/>
  <c r="J20" i="15"/>
  <c r="Q73" i="44"/>
  <c r="L60" i="44"/>
  <c r="L59" i="44"/>
  <c r="C36" i="44"/>
  <c r="C15" i="15"/>
  <c r="C18" i="15"/>
  <c r="F65" i="15"/>
  <c r="F50" i="15"/>
  <c r="L58" i="15"/>
  <c r="L59" i="15"/>
  <c r="M7" i="15"/>
  <c r="J6" i="15" s="1"/>
  <c r="F49" i="15"/>
  <c r="C29" i="44"/>
  <c r="J1" i="65"/>
  <c r="C17" i="44"/>
  <c r="C20" i="44"/>
  <c r="F70" i="15"/>
  <c r="M9" i="44"/>
  <c r="J8" i="44" s="1"/>
  <c r="C6" i="15"/>
  <c r="J58" i="44"/>
  <c r="J56" i="44" s="1"/>
  <c r="J59" i="44" s="1"/>
  <c r="Q52" i="44" s="1"/>
  <c r="J54" i="44"/>
  <c r="L57" i="44"/>
  <c r="J61" i="44"/>
  <c r="Q50" i="44" s="1"/>
  <c r="I55" i="44"/>
  <c r="J60" i="44"/>
  <c r="C34" i="15"/>
  <c r="F62" i="15"/>
  <c r="C61" i="15" s="1"/>
  <c r="C8" i="44"/>
  <c r="F63" i="15"/>
  <c r="Q72" i="15"/>
  <c r="C4" i="65"/>
  <c r="B39" i="1" s="1"/>
  <c r="E2" i="65"/>
  <c r="E3" i="65"/>
  <c r="C16" i="15"/>
  <c r="C18" i="44"/>
  <c r="C17" i="15"/>
  <c r="B40" i="1" l="1"/>
  <c r="S35" i="71"/>
  <c r="M35" i="71" s="1"/>
  <c r="N35" i="71" s="1"/>
  <c r="P35" i="71" s="1"/>
  <c r="Q35" i="71" s="1"/>
  <c r="N18" i="71"/>
  <c r="P18" i="71" s="1"/>
  <c r="Q18" i="71" s="1"/>
  <c r="N9" i="71"/>
  <c r="P9" i="71" s="1"/>
  <c r="Q9" i="71" s="1"/>
  <c r="S19" i="71"/>
  <c r="M19" i="71" s="1"/>
  <c r="L19" i="71"/>
  <c r="L20" i="71"/>
  <c r="N20" i="71" s="1"/>
  <c r="P20" i="71" s="1"/>
  <c r="Q20" i="71" s="1"/>
  <c r="N11" i="71"/>
  <c r="P11" i="71" s="1"/>
  <c r="Q11" i="71" s="1"/>
  <c r="K12" i="71"/>
  <c r="S12" i="71" s="1"/>
  <c r="M12" i="71" s="1"/>
  <c r="C23" i="12"/>
  <c r="C35" i="12" s="1"/>
  <c r="C33" i="12" s="1"/>
  <c r="N4" i="71"/>
  <c r="P4" i="71" s="1"/>
  <c r="Q4" i="71" s="1"/>
  <c r="K17" i="71"/>
  <c r="S17" i="71" s="1"/>
  <c r="M17" i="71" s="1"/>
  <c r="K38" i="71"/>
  <c r="S38" i="71" s="1"/>
  <c r="M38" i="71" s="1"/>
  <c r="L31" i="71"/>
  <c r="N31" i="71" s="1"/>
  <c r="P31" i="71" s="1"/>
  <c r="Q31" i="71" s="1"/>
  <c r="K34" i="71"/>
  <c r="S34" i="71" s="1"/>
  <c r="M34" i="71" s="1"/>
  <c r="K25" i="71"/>
  <c r="S25" i="71" s="1"/>
  <c r="M25" i="71" s="1"/>
  <c r="S29" i="71"/>
  <c r="M29" i="71" s="1"/>
  <c r="N29" i="71" s="1"/>
  <c r="P29" i="71" s="1"/>
  <c r="Q29" i="71" s="1"/>
  <c r="N15" i="71"/>
  <c r="P15" i="71" s="1"/>
  <c r="Q15" i="71" s="1"/>
  <c r="N32" i="71"/>
  <c r="P32" i="71" s="1"/>
  <c r="Q32" i="71" s="1"/>
  <c r="S30" i="71"/>
  <c r="M30" i="71" s="1"/>
  <c r="N36" i="71"/>
  <c r="P36" i="71" s="1"/>
  <c r="Q36" i="71" s="1"/>
  <c r="S22" i="71"/>
  <c r="M22" i="71" s="1"/>
  <c r="N22" i="71" s="1"/>
  <c r="P22" i="71" s="1"/>
  <c r="Q22" i="71" s="1"/>
  <c r="C19" i="43"/>
  <c r="C25" i="43" s="1"/>
  <c r="C24" i="43" s="1"/>
  <c r="L17" i="71"/>
  <c r="S13" i="71"/>
  <c r="M13" i="71" s="1"/>
  <c r="N13" i="71" s="1"/>
  <c r="P13" i="71" s="1"/>
  <c r="Q13" i="71" s="1"/>
  <c r="K21" i="71"/>
  <c r="L21" i="71" s="1"/>
  <c r="L30" i="71"/>
  <c r="N30" i="71" s="1"/>
  <c r="P30" i="71" s="1"/>
  <c r="Q30" i="71" s="1"/>
  <c r="L47" i="44"/>
  <c r="K24" i="71"/>
  <c r="S24" i="71" s="1"/>
  <c r="M24" i="71" s="1"/>
  <c r="L27" i="71"/>
  <c r="K33" i="71"/>
  <c r="L33" i="71" s="1"/>
  <c r="K16" i="71"/>
  <c r="L16" i="71" s="1"/>
  <c r="L37" i="71"/>
  <c r="N37" i="71" s="1"/>
  <c r="P37" i="71" s="1"/>
  <c r="Q37" i="71" s="1"/>
  <c r="L3" i="71"/>
  <c r="N3" i="71" s="1"/>
  <c r="P3" i="71" s="1"/>
  <c r="Q3" i="71" s="1"/>
  <c r="S10" i="71"/>
  <c r="M10" i="71" s="1"/>
  <c r="N10" i="71" s="1"/>
  <c r="P10" i="71" s="1"/>
  <c r="Q10" i="71" s="1"/>
  <c r="S27" i="71"/>
  <c r="M27" i="71" s="1"/>
  <c r="F17" i="11"/>
  <c r="C17" i="11" s="1"/>
  <c r="C19" i="11" s="1"/>
  <c r="C21" i="44"/>
  <c r="C19" i="15"/>
  <c r="M11" i="15"/>
  <c r="J10" i="15" s="1"/>
  <c r="J5" i="15" s="1"/>
  <c r="M13" i="44"/>
  <c r="J12" i="44" s="1"/>
  <c r="J7" i="44" s="1"/>
  <c r="F11" i="15"/>
  <c r="F13" i="44"/>
  <c r="C12" i="44" s="1"/>
  <c r="C7" i="44" s="1"/>
  <c r="C48" i="15"/>
  <c r="Q63" i="44"/>
  <c r="Q76" i="44"/>
  <c r="F1" i="15"/>
  <c r="Q53" i="15"/>
  <c r="F1" i="44"/>
  <c r="Q54" i="44"/>
  <c r="O17" i="46"/>
  <c r="P17" i="46"/>
  <c r="G20" i="46" s="1"/>
  <c r="C20" i="46" s="1"/>
  <c r="N17" i="46"/>
  <c r="M17" i="46"/>
  <c r="Q75" i="15"/>
  <c r="Q62" i="15"/>
  <c r="F24" i="15"/>
  <c r="C24" i="15" s="1"/>
  <c r="F26" i="12"/>
  <c r="F21" i="43"/>
  <c r="C23" i="43" s="1"/>
  <c r="D21" i="43" s="1"/>
  <c r="F26" i="44"/>
  <c r="C26" i="44" s="1"/>
  <c r="Q61" i="15"/>
  <c r="Q74" i="15"/>
  <c r="Q62" i="44"/>
  <c r="Q75" i="44"/>
  <c r="N19" i="71" l="1"/>
  <c r="P19" i="71" s="1"/>
  <c r="Q19" i="71" s="1"/>
  <c r="L12" i="71"/>
  <c r="N12" i="71" s="1"/>
  <c r="P12" i="71" s="1"/>
  <c r="Q12" i="71" s="1"/>
  <c r="N17" i="71"/>
  <c r="P17" i="71" s="1"/>
  <c r="Q17" i="71" s="1"/>
  <c r="S16" i="71"/>
  <c r="M16" i="71" s="1"/>
  <c r="N16" i="71" s="1"/>
  <c r="P16" i="71" s="1"/>
  <c r="Q16" i="71" s="1"/>
  <c r="L25" i="71"/>
  <c r="N25" i="71" s="1"/>
  <c r="P25" i="71" s="1"/>
  <c r="Q25" i="71" s="1"/>
  <c r="L34" i="71"/>
  <c r="N34" i="71" s="1"/>
  <c r="P34" i="71" s="1"/>
  <c r="Q34" i="71" s="1"/>
  <c r="N27" i="71"/>
  <c r="P27" i="71" s="1"/>
  <c r="Q27" i="71" s="1"/>
  <c r="L38" i="71"/>
  <c r="N38" i="71" s="1"/>
  <c r="P38" i="71" s="1"/>
  <c r="Q38" i="71" s="1"/>
  <c r="L24" i="71"/>
  <c r="N24" i="71" s="1"/>
  <c r="P24" i="71" s="1"/>
  <c r="Q24" i="71" s="1"/>
  <c r="S33" i="71"/>
  <c r="M33" i="71" s="1"/>
  <c r="N33" i="71" s="1"/>
  <c r="P33" i="71" s="1"/>
  <c r="Q33" i="71" s="1"/>
  <c r="S21" i="71"/>
  <c r="M21" i="71" s="1"/>
  <c r="N21" i="71" s="1"/>
  <c r="P21" i="71" s="1"/>
  <c r="Q21" i="71" s="1"/>
  <c r="J20" i="44"/>
  <c r="J26" i="44"/>
  <c r="J28" i="44"/>
  <c r="J31" i="44" s="1"/>
  <c r="C40" i="44"/>
  <c r="C34" i="44"/>
  <c r="C27" i="12"/>
  <c r="D26" i="12" s="1"/>
  <c r="C32" i="12" s="1"/>
  <c r="D30" i="12" s="1"/>
  <c r="C28" i="12"/>
  <c r="C26" i="12" s="1"/>
  <c r="C31" i="12" s="1"/>
  <c r="C30" i="12" s="1"/>
  <c r="C20" i="15"/>
  <c r="C26" i="15" s="1"/>
  <c r="C37" i="46"/>
  <c r="C36" i="46"/>
  <c r="C33" i="46"/>
  <c r="T2" i="46"/>
  <c r="V2" i="46" s="1"/>
  <c r="T6" i="46"/>
  <c r="V6" i="46" s="1"/>
  <c r="T10" i="46"/>
  <c r="V10" i="46" s="1"/>
  <c r="T14" i="46"/>
  <c r="V14" i="46" s="1"/>
  <c r="T5" i="46"/>
  <c r="V5" i="46" s="1"/>
  <c r="T11" i="46"/>
  <c r="V11" i="46" s="1"/>
  <c r="T15" i="46"/>
  <c r="V15" i="46" s="1"/>
  <c r="C38" i="46"/>
  <c r="C39" i="46"/>
  <c r="C34" i="46"/>
  <c r="T7" i="46"/>
  <c r="V7" i="46" s="1"/>
  <c r="T8" i="46"/>
  <c r="V8" i="46" s="1"/>
  <c r="T12" i="46"/>
  <c r="V12" i="46" s="1"/>
  <c r="T16" i="46"/>
  <c r="V16" i="46" s="1"/>
  <c r="T9" i="46"/>
  <c r="V9" i="46" s="1"/>
  <c r="T13" i="46"/>
  <c r="V13" i="46" s="1"/>
  <c r="C35" i="46"/>
  <c r="C29" i="46"/>
  <c r="T3" i="46"/>
  <c r="V3" i="46" s="1"/>
  <c r="T4" i="46"/>
  <c r="V4" i="46" s="1"/>
  <c r="C22" i="44"/>
  <c r="C25" i="44" s="1"/>
  <c r="C52" i="15"/>
  <c r="C47" i="15" s="1"/>
  <c r="C10" i="15"/>
  <c r="C5" i="15" s="1"/>
  <c r="J24" i="15"/>
  <c r="J18" i="15"/>
  <c r="J26" i="15"/>
  <c r="J29" i="15" s="1"/>
  <c r="C22" i="43"/>
  <c r="C21" i="43" s="1"/>
  <c r="C28" i="43" s="1"/>
  <c r="C30" i="43" s="1"/>
  <c r="C32" i="43" s="1"/>
  <c r="B2" i="43" s="1"/>
  <c r="C20" i="11"/>
  <c r="C21" i="11" s="1"/>
  <c r="C22" i="11" s="1"/>
  <c r="C23" i="11" s="1"/>
  <c r="B2" i="11" s="1"/>
  <c r="D19" i="9"/>
  <c r="L52" i="44"/>
  <c r="Q39" i="71" l="1"/>
  <c r="C36" i="12"/>
  <c r="B2" i="12" s="1"/>
  <c r="B5" i="12" s="1"/>
  <c r="C28" i="44"/>
  <c r="C31" i="44" s="1"/>
  <c r="L44" i="9"/>
  <c r="Q69" i="44"/>
  <c r="L58" i="44"/>
  <c r="L61" i="44" s="1"/>
  <c r="B4" i="11"/>
  <c r="B3" i="11"/>
  <c r="B5" i="11"/>
  <c r="C65" i="15"/>
  <c r="C59" i="15"/>
  <c r="B3" i="43"/>
  <c r="B5" i="43"/>
  <c r="B4" i="43"/>
  <c r="G38" i="46"/>
  <c r="I38" i="46" s="1"/>
  <c r="E38" i="46"/>
  <c r="E33" i="46"/>
  <c r="G33" i="46"/>
  <c r="I33" i="46" s="1"/>
  <c r="C23" i="15"/>
  <c r="C29" i="15" s="1"/>
  <c r="C32" i="15"/>
  <c r="C38" i="15"/>
  <c r="E36" i="46"/>
  <c r="G36" i="46"/>
  <c r="I36" i="46" s="1"/>
  <c r="Q49" i="44"/>
  <c r="Q55" i="44" s="1"/>
  <c r="Q67" i="44"/>
  <c r="Q58" i="44"/>
  <c r="E29" i="46"/>
  <c r="C30" i="46"/>
  <c r="E30" i="46" s="1"/>
  <c r="E34" i="46"/>
  <c r="G34" i="46"/>
  <c r="I34" i="46" s="1"/>
  <c r="G37" i="46"/>
  <c r="I37" i="46" s="1"/>
  <c r="E37" i="46"/>
  <c r="G35" i="46"/>
  <c r="I35" i="46" s="1"/>
  <c r="E35" i="46"/>
  <c r="G39" i="46"/>
  <c r="I39" i="46" s="1"/>
  <c r="E39" i="46"/>
  <c r="D20" i="9"/>
  <c r="D21" i="9"/>
  <c r="F7" i="67"/>
  <c r="B4" i="12" l="1"/>
  <c r="B3" i="12"/>
  <c r="C15" i="44"/>
  <c r="C43" i="44" s="1"/>
  <c r="C35" i="44"/>
  <c r="C33" i="44" s="1"/>
  <c r="C38" i="44"/>
  <c r="J16" i="44"/>
  <c r="J15" i="44" s="1"/>
  <c r="J25" i="44" s="1"/>
  <c r="J21" i="44"/>
  <c r="J19" i="44" s="1"/>
  <c r="Q51" i="44"/>
  <c r="C27" i="46"/>
  <c r="E4" i="67"/>
  <c r="C36" i="15"/>
  <c r="C56" i="15"/>
  <c r="J19" i="15"/>
  <c r="J17" i="15" s="1"/>
  <c r="Q50" i="15"/>
  <c r="C33" i="15"/>
  <c r="C31" i="15" s="1"/>
  <c r="J14" i="15"/>
  <c r="C13" i="15"/>
  <c r="J59" i="15"/>
  <c r="J60" i="15" s="1"/>
  <c r="Q59" i="44"/>
  <c r="Q64" i="44" s="1"/>
  <c r="Q68" i="44"/>
  <c r="Q77" i="44" s="1"/>
  <c r="C26" i="46"/>
  <c r="E7" i="67"/>
  <c r="J24" i="44" l="1"/>
  <c r="J18" i="44" s="1"/>
  <c r="J27" i="44" s="1"/>
  <c r="Q72" i="44"/>
  <c r="C39" i="44"/>
  <c r="C32" i="44" s="1"/>
  <c r="C42" i="44" s="1"/>
  <c r="Q71" i="44" s="1"/>
  <c r="E3" i="67"/>
  <c r="Q49" i="15"/>
  <c r="L46" i="15"/>
  <c r="C37" i="15"/>
  <c r="C30" i="15" s="1"/>
  <c r="C39" i="15" s="1"/>
  <c r="Q71" i="15"/>
  <c r="C55" i="15"/>
  <c r="C64" i="15" s="1"/>
  <c r="J35" i="15"/>
  <c r="J22" i="15"/>
  <c r="J13" i="15"/>
  <c r="J23" i="15" s="1"/>
  <c r="C63" i="15"/>
  <c r="C60" i="15"/>
  <c r="C58" i="15" s="1"/>
  <c r="B2" i="46"/>
  <c r="C19" i="9"/>
  <c r="B7" i="67"/>
  <c r="Q70" i="44" l="1"/>
  <c r="C44" i="44"/>
  <c r="C45" i="44" s="1"/>
  <c r="B2" i="44" s="1"/>
  <c r="B4" i="44" s="1"/>
  <c r="J16" i="15"/>
  <c r="J25" i="15" s="1"/>
  <c r="C57" i="15"/>
  <c r="C66" i="15" s="1"/>
  <c r="C67" i="15" s="1"/>
  <c r="C70" i="15" s="1"/>
  <c r="L43" i="9"/>
  <c r="G19" i="9"/>
  <c r="D22" i="9"/>
  <c r="B2" i="67"/>
  <c r="Q70" i="15"/>
  <c r="Q69" i="15" s="1"/>
  <c r="C40" i="15"/>
  <c r="D4" i="46"/>
  <c r="B4" i="46"/>
  <c r="B3" i="46"/>
  <c r="J39" i="15"/>
  <c r="J40" i="15" s="1"/>
  <c r="L51" i="15"/>
  <c r="C20" i="9"/>
  <c r="C21" i="9"/>
  <c r="C46" i="15" l="1"/>
  <c r="B5" i="44"/>
  <c r="B3" i="44"/>
  <c r="G20" i="9"/>
  <c r="G21" i="9"/>
  <c r="Q68" i="15"/>
  <c r="L57" i="15"/>
  <c r="L60" i="15" s="1"/>
  <c r="B4" i="67"/>
  <c r="B3" i="67"/>
  <c r="Q48" i="15"/>
  <c r="Q54" i="15" s="1"/>
  <c r="C43" i="15"/>
  <c r="Q66" i="15"/>
  <c r="Q57" i="15"/>
  <c r="B2" i="15"/>
  <c r="B3" i="15" s="1"/>
  <c r="J42" i="15"/>
  <c r="J43" i="15" s="1"/>
  <c r="C32" i="9"/>
  <c r="G22" i="9"/>
  <c r="N43" i="9"/>
  <c r="C35" i="9" l="1"/>
  <c r="F42" i="9" s="1"/>
  <c r="C34" i="9"/>
  <c r="O38" i="9"/>
  <c r="O43" i="9"/>
  <c r="C42" i="9"/>
  <c r="C33" i="9"/>
  <c r="Q67" i="15"/>
  <c r="Q76" i="15" s="1"/>
  <c r="Q58" i="15"/>
  <c r="Q63" i="15" s="1"/>
  <c r="N68" i="9" l="1"/>
  <c r="R5" i="54"/>
  <c r="B48" i="63" s="1"/>
  <c r="D14" i="66"/>
  <c r="D63" i="9"/>
  <c r="K25" i="9"/>
  <c r="K26" i="9"/>
  <c r="D42" i="9"/>
  <c r="Q5" i="54" s="1"/>
  <c r="B47" i="63" s="1"/>
  <c r="N38" i="9"/>
  <c r="K28" i="9" s="1"/>
  <c r="M38" i="9"/>
  <c r="K27" i="9" s="1"/>
  <c r="E42" i="9"/>
  <c r="P5" i="54" s="1"/>
  <c r="B46" i="63" s="1"/>
  <c r="D70" i="9" l="1"/>
  <c r="C82" i="9"/>
  <c r="C81" i="9" s="1"/>
  <c r="C85" i="9" s="1"/>
  <c r="C86" i="9" s="1"/>
  <c r="D72" i="9" s="1"/>
  <c r="C96" i="9"/>
  <c r="C91" i="9" s="1"/>
  <c r="C103" i="9"/>
  <c r="C90" i="9"/>
  <c r="C111" i="9"/>
  <c r="C104" i="9" s="1"/>
  <c r="D71" i="9"/>
  <c r="D66" i="9" s="1"/>
  <c r="N72" i="9" s="1"/>
  <c r="D77" i="9"/>
  <c r="N75" i="9" s="1"/>
  <c r="E14" i="66"/>
  <c r="F14" i="66"/>
  <c r="B5" i="66"/>
  <c r="C5" i="66" l="1"/>
  <c r="D5" i="66"/>
  <c r="C97" i="9"/>
  <c r="C113" i="9"/>
  <c r="C114" i="9" l="1"/>
  <c r="E114" i="9" s="1"/>
  <c r="E115" i="9" s="1"/>
  <c r="C98" i="9"/>
  <c r="E98" i="9" s="1"/>
  <c r="E99" i="9" s="1"/>
  <c r="C99" i="9" l="1"/>
  <c r="C115" i="9"/>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<sst xmlns="http://schemas.openxmlformats.org/spreadsheetml/2006/main" count="7222" uniqueCount="3191">
  <si>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</si>
  <si>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</si>
  <si>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</si>
  <si>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</si>
  <si>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</si>
  <si>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</si>
  <si>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</si>
  <si>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</si>
  <si>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</si>
  <si>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</si>
  <si>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</si>
  <si>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</si>
  <si>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</si>
  <si>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</si>
  <si>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</si>
  <si>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</si>
  <si>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</si>
  <si>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</si>
  <si>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</si>
  <si>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</si>
  <si>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</si>
  <si>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</si>
  <si>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</si>
  <si>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</si>
  <si>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</si>
  <si>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</si>
  <si>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</si>
  <si>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</si>
  <si>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</si>
  <si>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</si>
  <si>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</si>
  <si>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</si>
  <si>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</si>
  <si>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</si>
  <si>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</si>
  <si>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</si>
  <si>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</si>
  <si>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</si>
  <si>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</si>
  <si>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</si>
  <si>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</si>
  <si>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</si>
  <si>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</si>
  <si>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</si>
  <si>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</si>
  <si>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</si>
  <si>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</si>
  <si>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</si>
  <si>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</si>
  <si>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</si>
  <si>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</si>
  <si>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</si>
  <si>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</si>
  <si>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</si>
  <si>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</si>
  <si>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</si>
  <si>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</si>
  <si>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</si>
  <si>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</si>
  <si>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</si>
  <si>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</si>
  <si>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</si>
  <si>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</si>
  <si>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</si>
  <si>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</si>
  <si>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</si>
  <si>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</si>
  <si>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</si>
  <si>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</si>
  <si>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</si>
  <si>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</si>
  <si>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</si>
  <si>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</si>
  <si>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</si>
  <si>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</si>
  <si>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</si>
  <si>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</si>
  <si>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</si>
  <si>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</si>
  <si>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</si>
  <si>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</si>
  <si>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</si>
  <si>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</si>
  <si>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</si>
  <si>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</si>
  <si>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</si>
  <si>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</si>
  <si>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</si>
  <si>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</si>
  <si>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</si>
  <si>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</si>
  <si>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</si>
  <si>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</si>
  <si>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</si>
  <si>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</si>
  <si>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</si>
  <si>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</si>
  <si>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</si>
  <si>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</si>
  <si>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</si>
  <si>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</si>
  <si>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</si>
  <si>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</si>
  <si>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</si>
  <si>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</si>
  <si>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</si>
  <si>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</si>
  <si>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</si>
  <si>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</si>
  <si>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</si>
  <si>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</si>
  <si>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</si>
  <si>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</si>
  <si>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</si>
  <si>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</si>
  <si>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</si>
  <si>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</si>
  <si>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</si>
  <si>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</si>
  <si>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</si>
  <si>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</si>
  <si>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</si>
  <si>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</si>
  <si>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</si>
  <si>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</si>
  <si>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</si>
  <si>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</si>
  <si>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</si>
  <si>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</si>
  <si>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</si>
  <si>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</si>
  <si>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</si>
  <si>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</si>
  <si>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</si>
  <si>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</si>
  <si>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</si>
  <si>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</si>
  <si>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</si>
  <si>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</si>
  <si>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</si>
  <si>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</si>
  <si>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</si>
  <si>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</si>
  <si>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</si>
  <si>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</si>
  <si>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</si>
  <si>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</si>
  <si>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</si>
  <si>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</si>
  <si>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</si>
  <si>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</si>
  <si>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</si>
  <si>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</si>
  <si>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</si>
  <si>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</si>
  <si>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</si>
  <si>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</si>
  <si>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</si>
  <si>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</si>
  <si>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</si>
  <si>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</si>
  <si>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</si>
  <si>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</si>
  <si>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</si>
  <si>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</si>
  <si>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</si>
  <si>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</si>
  <si>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</si>
  <si>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</si>
  <si>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</si>
  <si>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</si>
  <si>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</si>
  <si>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</si>
  <si>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</si>
  <si>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</si>
  <si>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</si>
  <si>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</si>
  <si>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</si>
  <si>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</si>
  <si>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</si>
  <si>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</si>
  <si>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</si>
  <si>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</si>
  <si>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</si>
  <si>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</si>
  <si>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</si>
  <si>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</si>
  <si>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</si>
  <si>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</si>
  <si>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</si>
  <si>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</si>
  <si>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</si>
  <si>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</si>
  <si>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</si>
  <si>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</si>
  <si>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</si>
  <si>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</si>
  <si>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</si>
  <si>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</si>
  <si>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</si>
  <si>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</si>
  <si>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</si>
  <si>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</si>
  <si>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</si>
  <si>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</si>
  <si>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</si>
  <si>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</si>
  <si>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</si>
  <si>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</si>
  <si>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</si>
  <si>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</si>
  <si>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</si>
  <si>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</si>
  <si>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</si>
  <si>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</si>
  <si>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</si>
  <si>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</si>
  <si>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</si>
  <si>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</si>
  <si>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</si>
  <si>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</si>
  <si>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</si>
  <si>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</si>
  <si>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</si>
  <si>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</si>
  <si>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</si>
  <si>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</si>
  <si>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</si>
  <si>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</si>
  <si>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</si>
  <si>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</si>
  <si>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</si>
  <si>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</si>
  <si>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</si>
  <si>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</si>
  <si>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</si>
  <si>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</si>
  <si>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</si>
  <si>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</si>
  <si>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</si>
  <si>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</si>
  <si>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</si>
  <si>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</si>
  <si>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</si>
  <si>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</si>
  <si>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</si>
  <si>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</si>
  <si>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</si>
  <si>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</si>
  <si>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</si>
  <si>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</si>
  <si>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</si>
  <si>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</si>
  <si>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</si>
  <si>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</si>
  <si>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</si>
  <si>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</si>
  <si>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</si>
  <si>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</si>
  <si>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</si>
  <si>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</si>
  <si>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</si>
  <si>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</si>
  <si>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</si>
  <si>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</si>
  <si>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</si>
  <si>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</si>
  <si>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</si>
  <si>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</si>
  <si>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</si>
  <si>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</si>
  <si>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</si>
  <si>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</si>
  <si>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</si>
  <si>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</si>
  <si>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</si>
  <si>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</si>
  <si>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</si>
  <si>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</si>
  <si>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</si>
  <si>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</si>
  <si>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</si>
  <si>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</si>
  <si>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</si>
  <si>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</si>
  <si>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</si>
  <si>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</si>
  <si>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</si>
  <si>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</si>
  <si>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</si>
  <si>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</si>
  <si>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</si>
  <si>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</si>
  <si>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</si>
  <si>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</si>
  <si>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</si>
  <si>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</si>
  <si>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</si>
  <si>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</si>
  <si>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</si>
  <si>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</si>
  <si>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</si>
  <si>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</si>
  <si>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</si>
  <si>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</si>
  <si>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</si>
  <si>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</si>
  <si>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</si>
  <si>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</si>
  <si>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</si>
  <si>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</si>
  <si>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</si>
  <si>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</si>
  <si>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</si>
  <si>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</si>
  <si>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</si>
  <si>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</si>
  <si>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</si>
  <si>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</si>
  <si>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</si>
  <si>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</si>
  <si>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</si>
  <si>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</si>
  <si>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</si>
  <si>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</si>
  <si>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</si>
  <si>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</si>
  <si>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</si>
  <si>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</si>
  <si>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</si>
  <si>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</si>
  <si>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</si>
  <si>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</si>
  <si>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</si>
  <si>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</si>
  <si>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</si>
  <si>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</si>
  <si>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</si>
  <si>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</si>
  <si>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</si>
  <si>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</si>
  <si>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</si>
  <si>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</si>
  <si>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</si>
  <si>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</si>
  <si>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</si>
  <si>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</si>
  <si>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</si>
  <si>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</si>
  <si>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</si>
  <si>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</si>
  <si>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</si>
  <si>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</si>
  <si>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</si>
  <si>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</si>
  <si>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</si>
  <si>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</si>
  <si>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</si>
  <si>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</si>
  <si>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</si>
  <si>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</si>
  <si>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</si>
  <si>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</si>
  <si>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</si>
  <si>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</si>
  <si>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</si>
  <si>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</si>
  <si>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</si>
  <si>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</si>
  <si>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</si>
  <si>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</si>
  <si>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</si>
  <si>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</si>
  <si>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</si>
  <si>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</si>
  <si>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</si>
  <si>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</si>
  <si>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</si>
  <si>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</si>
  <si>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</si>
  <si>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</si>
  <si>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</si>
  <si>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</si>
  <si>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</si>
  <si>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</si>
  <si>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</si>
  <si>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</si>
  <si>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</si>
  <si>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</si>
  <si>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</si>
  <si>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</si>
  <si>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</si>
  <si>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</si>
  <si>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</si>
  <si>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</si>
  <si>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</si>
  <si>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</si>
  <si>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</si>
  <si>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</si>
  <si>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</si>
  <si>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</si>
  <si>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</si>
  <si>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</si>
  <si>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</si>
  <si>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</si>
  <si>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</si>
  <si>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</si>
  <si>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</si>
  <si>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</si>
  <si>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</si>
  <si>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</si>
  <si>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</si>
  <si>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</si>
  <si>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</si>
  <si>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</si>
  <si>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</si>
  <si>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</si>
  <si>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</si>
  <si>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</si>
  <si>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</si>
  <si>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</si>
  <si>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</si>
  <si>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</si>
  <si>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</si>
  <si>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</si>
  <si>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</si>
  <si>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</si>
  <si>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</si>
  <si>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</si>
  <si>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</si>
  <si>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</si>
  <si>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</si>
  <si>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</si>
  <si>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</si>
  <si>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</si>
  <si>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</si>
  <si>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</si>
  <si>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</si>
  <si>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</si>
  <si>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</si>
  <si>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</si>
  <si>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</si>
  <si>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</si>
  <si>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</si>
  <si>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</si>
  <si>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</si>
  <si>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</si>
  <si>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</si>
  <si>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</si>
  <si>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</si>
  <si>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</si>
  <si>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</si>
  <si>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</si>
  <si>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</si>
  <si>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</si>
  <si>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</si>
  <si>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</si>
  <si>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</si>
  <si>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</si>
  <si>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</si>
  <si>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</si>
  <si>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</si>
  <si>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</si>
  <si>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</si>
  <si>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</si>
  <si>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</si>
  <si>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</si>
  <si>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</si>
  <si>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</si>
  <si>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</si>
  <si>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</si>
  <si>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</si>
  <si>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</si>
  <si>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</si>
  <si>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</si>
  <si>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</si>
  <si>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</si>
  <si>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</si>
  <si>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</si>
  <si>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</si>
  <si>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</si>
  <si>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</si>
  <si>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</si>
  <si>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</si>
  <si>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</si>
  <si>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</si>
  <si>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</si>
  <si>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</si>
  <si>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</si>
  <si>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</si>
  <si>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</si>
  <si>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</si>
  <si>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</si>
  <si>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</si>
  <si>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</si>
  <si>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</si>
  <si>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</si>
  <si>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</si>
  <si>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</si>
  <si>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</si>
  <si>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</si>
  <si>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</si>
  <si>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</si>
  <si>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</si>
  <si>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</si>
  <si>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</si>
  <si>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</si>
  <si>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</si>
  <si>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</si>
  <si>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</si>
  <si>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</si>
  <si>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</si>
  <si>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</si>
  <si>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</si>
  <si>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</si>
  <si>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</si>
  <si>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</si>
  <si>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</si>
  <si>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</si>
  <si>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</si>
  <si>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</si>
  <si>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</si>
  <si>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</si>
  <si>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</si>
  <si>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</si>
  <si>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</si>
  <si>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</si>
  <si>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</si>
  <si>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</si>
  <si>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</si>
  <si>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</si>
  <si>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</si>
  <si>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</si>
  <si>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</si>
  <si>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</si>
  <si>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</si>
  <si>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</si>
  <si>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</si>
  <si>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</si>
  <si>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</si>
  <si>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</si>
  <si>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</si>
  <si>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</si>
  <si>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</si>
  <si>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</si>
  <si>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</si>
  <si>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</si>
  <si>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</si>
  <si>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</si>
  <si>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</si>
  <si>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</si>
  <si>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</si>
  <si>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</si>
  <si>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</si>
  <si>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</si>
  <si>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</si>
  <si>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</si>
  <si>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</si>
  <si>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</si>
  <si>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</si>
  <si>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</si>
  <si>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</si>
  <si>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</si>
  <si>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</si>
  <si>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</si>
  <si>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</si>
  <si>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</si>
  <si>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</si>
  <si>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</si>
  <si>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</si>
  <si>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</si>
  <si>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</si>
  <si>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</si>
  <si>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</si>
  <si>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</si>
  <si>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</si>
  <si>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</si>
  <si>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</si>
  <si>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</si>
  <si>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</si>
  <si>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</si>
  <si>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</si>
  <si>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</si>
  <si>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</si>
  <si>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</si>
  <si>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</si>
  <si>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</si>
  <si>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</si>
  <si>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</si>
  <si>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</si>
  <si>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</si>
  <si>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</si>
  <si>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</si>
  <si>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</si>
  <si>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</si>
  <si>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</si>
  <si>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</si>
  <si>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</si>
  <si>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</si>
  <si>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</si>
  <si>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</si>
  <si>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</si>
  <si>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</si>
  <si>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</si>
  <si>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</si>
  <si>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</si>
  <si>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</si>
  <si>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</si>
  <si>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</si>
  <si>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</si>
  <si>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</si>
  <si>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</si>
  <si>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</si>
  <si>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</si>
  <si>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</si>
  <si>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</si>
  <si>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</si>
  <si>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</si>
  <si>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</si>
  <si>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</si>
  <si>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</si>
  <si>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</si>
  <si>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</si>
  <si>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</si>
  <si>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</si>
  <si>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</si>
  <si>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</si>
  <si>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</si>
  <si>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</si>
  <si>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</si>
  <si>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</si>
  <si>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</si>
  <si>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</si>
  <si>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</si>
  <si>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</si>
  <si>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</si>
  <si>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</si>
  <si>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</si>
  <si>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</si>
  <si>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</si>
  <si>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</si>
  <si>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</si>
  <si>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</si>
  <si>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</si>
  <si>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</si>
  <si>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</si>
  <si>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</si>
  <si>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</si>
  <si>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</si>
  <si>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</si>
  <si>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</si>
  <si>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</si>
  <si>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</si>
  <si>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</si>
  <si>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</si>
  <si>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</si>
  <si>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</si>
  <si>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</si>
  <si>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</si>
  <si>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</si>
  <si>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</si>
  <si>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</si>
  <si>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</si>
  <si>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</si>
  <si>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</si>
  <si>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</si>
  <si>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</si>
  <si>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</si>
  <si>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</si>
  <si>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</si>
  <si>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</si>
  <si>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</si>
  <si>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</si>
  <si>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</si>
  <si>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</si>
  <si>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</si>
  <si>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</si>
  <si>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</si>
  <si>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</si>
  <si>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</si>
  <si>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</si>
  <si>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</si>
  <si>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</si>
  <si>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</si>
  <si>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</si>
  <si>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</si>
  <si>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</si>
  <si>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</si>
  <si>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</si>
  <si>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</si>
  <si>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</si>
  <si>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</si>
  <si>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</si>
  <si>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</si>
  <si>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</si>
  <si>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</si>
  <si>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</si>
  <si>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</si>
  <si>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</si>
  <si>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</si>
  <si>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</si>
  <si>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</si>
  <si>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</si>
  <si>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</si>
  <si>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</si>
  <si>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</si>
  <si>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</si>
  <si>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</si>
  <si>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</si>
  <si>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</si>
  <si>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</si>
  <si>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</si>
  <si>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</si>
  <si>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</si>
  <si>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</si>
  <si>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</si>
  <si>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</si>
  <si>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</si>
  <si>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</si>
  <si>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</si>
  <si>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</si>
  <si>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</si>
  <si>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</si>
  <si>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</si>
  <si>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</si>
  <si>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</si>
  <si>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</si>
  <si>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</si>
  <si>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</si>
  <si>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</si>
  <si>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</si>
  <si>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</si>
  <si>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</si>
  <si>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</si>
  <si>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</si>
  <si>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</si>
  <si>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</si>
  <si>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</si>
  <si>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</si>
  <si>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</si>
  <si>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</si>
  <si>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</si>
  <si>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</si>
  <si>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</si>
  <si>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</si>
  <si>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</si>
  <si>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</si>
  <si>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</si>
  <si>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</si>
  <si>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</si>
  <si>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</si>
  <si>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</si>
  <si>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</si>
  <si>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</si>
  <si>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</si>
  <si>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</si>
  <si>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</si>
  <si>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</si>
  <si>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</si>
  <si>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</si>
  <si>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</si>
  <si>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</si>
  <si>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</si>
  <si>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</si>
  <si>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</si>
  <si>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</si>
  <si>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</si>
  <si>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</si>
  <si>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</si>
  <si>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</si>
  <si>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</si>
  <si>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</si>
  <si>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</si>
  <si>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</si>
  <si>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</si>
  <si>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</si>
  <si>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</si>
  <si>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</si>
  <si>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</si>
  <si>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</si>
  <si>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</si>
  <si>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</si>
  <si>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</si>
  <si>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</si>
  <si>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</si>
  <si>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</si>
  <si>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</si>
  <si>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</si>
  <si>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</si>
  <si>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</si>
  <si>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</si>
  <si>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</si>
  <si>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</si>
  <si>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</si>
  <si>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</si>
  <si>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</si>
  <si>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</si>
  <si>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</si>
  <si>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</si>
  <si>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</si>
  <si>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</si>
  <si>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</si>
  <si>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</si>
  <si>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</si>
  <si>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</si>
  <si>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</si>
  <si>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</si>
  <si>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</si>
  <si>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</si>
  <si>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</si>
  <si>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</si>
  <si>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</si>
  <si>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</si>
  <si>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</si>
  <si>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</si>
  <si>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</si>
  <si>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</si>
  <si>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</si>
  <si>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</si>
  <si>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</si>
  <si>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</si>
  <si>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</si>
  <si>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</si>
  <si>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</si>
  <si>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</si>
  <si>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</si>
  <si>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</si>
  <si>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</si>
  <si>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</si>
  <si>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</si>
  <si>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</si>
  <si>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</si>
  <si>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</si>
  <si>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</si>
  <si>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</si>
  <si>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</si>
  <si>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</si>
  <si>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</si>
  <si>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</si>
  <si>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</si>
  <si>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</si>
  <si>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</si>
  <si>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</si>
  <si>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</si>
  <si>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</si>
  <si>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</si>
  <si>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</si>
  <si>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</si>
  <si>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</si>
  <si>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</si>
  <si>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</si>
  <si>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</si>
  <si>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</si>
  <si>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</si>
  <si>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</si>
  <si>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</si>
  <si>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</si>
  <si>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</si>
  <si>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</si>
  <si>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</si>
  <si>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</si>
  <si>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</si>
  <si>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</si>
  <si>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</si>
  <si>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</si>
  <si>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</si>
  <si>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</si>
  <si>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</si>
  <si>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</si>
  <si>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</si>
  <si>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</si>
  <si>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</si>
  <si>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</si>
  <si>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</si>
  <si>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</si>
  <si>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</si>
  <si>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</si>
  <si>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</si>
  <si>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</si>
  <si>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</si>
  <si>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</si>
  <si>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</si>
  <si>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</si>
  <si>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</si>
  <si>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</si>
  <si>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</si>
  <si>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</si>
  <si>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</si>
  <si>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</si>
  <si>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</si>
  <si>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</si>
  <si>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</si>
  <si>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</si>
  <si>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</si>
  <si>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</si>
  <si>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</si>
  <si>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</si>
  <si>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</si>
  <si>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</si>
  <si>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</si>
  <si>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</si>
  <si>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</si>
  <si>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</si>
  <si>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</si>
  <si>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</si>
  <si>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</si>
  <si>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</si>
  <si>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</si>
  <si>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</si>
  <si>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</si>
  <si>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</si>
  <si>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</si>
  <si>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</si>
  <si>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</si>
  <si>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</si>
  <si>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</si>
  <si>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</si>
  <si>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</si>
  <si>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</si>
  <si>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</si>
  <si>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</si>
  <si>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</si>
  <si>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</si>
  <si>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</si>
  <si>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</si>
  <si>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</si>
  <si>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</si>
  <si>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</si>
  <si>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</si>
  <si>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</si>
  <si>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</si>
  <si>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</si>
  <si>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</si>
  <si>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</si>
  <si>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</si>
  <si>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</si>
  <si>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</si>
  <si>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</si>
  <si>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</si>
  <si>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</si>
  <si>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</si>
  <si>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</si>
  <si>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</si>
  <si>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</si>
  <si>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</si>
  <si>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</si>
  <si>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</si>
  <si>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</si>
  <si>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</si>
  <si>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</si>
  <si>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</si>
  <si>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</si>
  <si>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</si>
  <si>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</si>
  <si>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</si>
  <si>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</si>
  <si>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</si>
  <si>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</si>
  <si>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</si>
  <si>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</si>
  <si>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</si>
  <si>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</si>
  <si>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</si>
  <si>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</si>
  <si>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</si>
  <si>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</si>
  <si>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</si>
  <si>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</si>
  <si>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</si>
  <si>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</si>
  <si>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</si>
  <si>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</si>
  <si>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</si>
  <si>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</si>
  <si>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</si>
  <si>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</si>
  <si>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</si>
  <si>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</si>
  <si>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</si>
  <si>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</si>
  <si>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</si>
  <si>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</si>
  <si>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</si>
  <si>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</si>
  <si>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</si>
  <si>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</si>
  <si>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</si>
  <si>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</si>
  <si>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</si>
  <si>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</si>
  <si>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</si>
  <si>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</si>
  <si>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</si>
  <si>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</si>
  <si>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</si>
  <si>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</si>
  <si>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</si>
  <si>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</si>
  <si>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</si>
  <si>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</si>
  <si>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</si>
  <si>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</si>
  <si>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</si>
  <si>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</si>
  <si>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</si>
  <si>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</si>
  <si>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</si>
  <si>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</si>
  <si>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</si>
  <si>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</si>
  <si>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</si>
  <si>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</si>
  <si>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</si>
  <si>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</si>
  <si>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</si>
  <si>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</si>
  <si>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</si>
  <si>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</si>
  <si>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</si>
  <si>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</si>
  <si>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</si>
  <si>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</si>
  <si>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</si>
  <si>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</si>
  <si>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</si>
  <si>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</si>
  <si>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</si>
  <si>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</si>
  <si>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</si>
  <si>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</si>
  <si>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</si>
  <si>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</si>
  <si>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</si>
  <si>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</si>
  <si>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</si>
  <si>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</si>
  <si>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</si>
  <si>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</si>
  <si>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</si>
  <si>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</si>
  <si>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</si>
  <si>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</si>
  <si>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</si>
  <si>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</si>
  <si>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</si>
  <si>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</si>
  <si>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</si>
  <si>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</si>
  <si>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</si>
  <si>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</si>
  <si>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</si>
  <si>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</si>
  <si>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</si>
  <si>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</si>
  <si>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</si>
  <si>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</si>
  <si>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</si>
  <si>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</si>
  <si>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</si>
  <si>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</si>
  <si>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</si>
  <si>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</si>
  <si>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</si>
  <si>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</si>
  <si>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</si>
  <si>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</si>
  <si>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</si>
  <si>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</si>
  <si>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</si>
  <si>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</si>
  <si>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</si>
  <si>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</si>
  <si>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</si>
  <si>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</si>
  <si>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</si>
  <si>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</si>
  <si>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</si>
  <si>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</si>
  <si>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</si>
  <si>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</si>
  <si>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</si>
  <si>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</si>
  <si>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</si>
  <si>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</si>
  <si>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</si>
  <si>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</si>
  <si>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</si>
  <si>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</si>
  <si>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</si>
  <si>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</si>
  <si>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</si>
  <si>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</si>
  <si>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</si>
  <si>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</si>
  <si>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</si>
  <si>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</si>
  <si>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</si>
  <si>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</si>
  <si>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</si>
  <si>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</si>
  <si>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</si>
  <si>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</si>
  <si>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</si>
  <si>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</si>
  <si>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</si>
  <si>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</si>
  <si>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</si>
  <si>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</si>
  <si>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</si>
  <si>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</si>
  <si>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</si>
  <si>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</si>
  <si>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</si>
  <si>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</si>
  <si>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</si>
  <si>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</si>
  <si>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</si>
  <si>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</si>
  <si>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</si>
  <si>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</si>
  <si>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</si>
  <si>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</si>
  <si>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</si>
  <si>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</si>
  <si>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</si>
  <si>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</si>
  <si>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</si>
  <si>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</si>
  <si>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</si>
  <si>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</si>
  <si>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</si>
  <si>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</si>
  <si>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</si>
  <si>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</si>
  <si>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</si>
  <si>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</si>
  <si>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</si>
  <si>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</si>
  <si>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</si>
  <si>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</si>
  <si>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</si>
  <si>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</si>
  <si>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</si>
  <si>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</si>
  <si>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</si>
  <si>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</si>
  <si>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</si>
  <si>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</si>
  <si>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</si>
  <si>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</si>
  <si>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</si>
  <si>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</si>
  <si>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</si>
  <si>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</si>
  <si>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</si>
  <si>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</si>
  <si>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</si>
  <si>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</si>
  <si>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</si>
  <si>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</si>
  <si>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</si>
  <si>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</si>
  <si>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</si>
  <si>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</si>
  <si>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</si>
  <si>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</si>
  <si>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</si>
  <si>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</si>
  <si>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</si>
  <si>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</si>
  <si>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</si>
  <si>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</si>
  <si>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</si>
  <si>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</si>
  <si>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</si>
  <si>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</si>
  <si>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</si>
  <si>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</si>
  <si>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</si>
  <si>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</si>
  <si>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</si>
  <si>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</si>
  <si>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</si>
  <si>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</si>
  <si>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</si>
  <si>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</si>
  <si>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</si>
  <si>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</si>
  <si>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</si>
  <si>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</si>
  <si>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</si>
  <si>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</si>
  <si>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</si>
  <si>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</si>
  <si>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</si>
  <si>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</si>
  <si>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</si>
  <si>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</si>
  <si>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</si>
  <si>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</si>
  <si>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</si>
  <si>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</si>
  <si>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</si>
  <si>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</si>
  <si>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</si>
  <si>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</si>
  <si>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</si>
  <si>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</si>
  <si>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</si>
  <si>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</si>
  <si>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</si>
  <si>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</si>
  <si>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</si>
  <si>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</si>
  <si>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</si>
  <si>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</si>
  <si>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</si>
  <si>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</si>
  <si>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</si>
  <si>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</si>
  <si>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</si>
  <si>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</si>
  <si>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</si>
  <si>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</si>
  <si>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</si>
  <si>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</si>
  <si>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</si>
  <si>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</si>
  <si>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</si>
  <si>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</si>
  <si>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</si>
  <si>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</si>
  <si>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</si>
  <si>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</si>
  <si>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</si>
  <si>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</si>
  <si>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</si>
  <si>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</si>
  <si>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</si>
  <si>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</si>
  <si>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</si>
  <si>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</si>
  <si>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</si>
  <si>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</si>
  <si>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</si>
  <si>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</si>
  <si>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</si>
  <si>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</si>
  <si>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</si>
  <si>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</si>
  <si>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</si>
  <si>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</si>
  <si>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</si>
  <si>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</si>
  <si>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</si>
  <si>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</si>
  <si>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</si>
  <si>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</si>
  <si>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</si>
  <si>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</si>
  <si>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</si>
  <si>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</si>
  <si>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</si>
  <si>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</si>
  <si>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</si>
  <si>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</si>
  <si>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</si>
  <si>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</si>
  <si>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</si>
  <si>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</si>
  <si>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</si>
  <si>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</si>
  <si>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</si>
  <si>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</si>
  <si>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</si>
  <si>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</si>
  <si>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</si>
  <si>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</si>
  <si>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</si>
  <si>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</si>
  <si>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</si>
  <si>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</si>
  <si>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</si>
  <si>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</si>
  <si>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</si>
  <si>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</si>
  <si>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</si>
  <si>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</si>
  <si>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</si>
  <si>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</si>
  <si>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</si>
  <si>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</si>
  <si>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</si>
  <si>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</si>
  <si>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</si>
  <si>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</si>
  <si>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</si>
  <si>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</si>
  <si>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</si>
  <si>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</si>
  <si>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</si>
  <si>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</si>
  <si>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</si>
  <si>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</si>
  <si>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</si>
  <si>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</si>
  <si>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</si>
  <si>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</si>
  <si>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</si>
  <si>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</si>
  <si>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</si>
  <si>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</si>
  <si>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</si>
  <si>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</si>
  <si>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</si>
  <si>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</si>
  <si>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</si>
  <si>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</si>
  <si>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</si>
  <si>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</si>
  <si>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</si>
  <si>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</si>
  <si>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</si>
  <si>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</si>
  <si>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</si>
  <si>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</si>
  <si>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</si>
  <si>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</si>
  <si>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</si>
  <si>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</si>
  <si>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</si>
  <si>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</si>
  <si>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</si>
  <si>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</si>
  <si>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</si>
  <si>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</si>
  <si>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</si>
  <si>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</si>
  <si>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</si>
  <si>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</si>
  <si>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</si>
  <si>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</si>
  <si>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</si>
  <si>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</si>
  <si>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</si>
  <si>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</si>
  <si>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</si>
  <si>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</si>
  <si>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</si>
  <si>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</si>
  <si>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</si>
  <si>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</si>
  <si>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</si>
  <si>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</si>
  <si>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</si>
  <si>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</si>
  <si>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</si>
  <si>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</si>
  <si>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</si>
  <si>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</si>
  <si>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</si>
  <si>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</si>
  <si>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</si>
  <si>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</si>
  <si>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</si>
  <si>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</si>
  <si>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</si>
  <si>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</si>
  <si>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</si>
  <si>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</si>
  <si>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</si>
  <si>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</si>
  <si>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</si>
  <si>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</si>
  <si>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</si>
  <si>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</si>
  <si>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</si>
  <si>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</si>
  <si>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</si>
  <si>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</si>
  <si>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</si>
  <si>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</si>
  <si>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</si>
  <si>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</si>
  <si>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</si>
  <si>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</si>
  <si>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</si>
  <si>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</si>
  <si>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</si>
  <si>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</si>
  <si>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</si>
  <si>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</si>
  <si>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</si>
  <si>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</si>
  <si>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</si>
  <si>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</si>
  <si>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</si>
  <si>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</si>
  <si>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</si>
  <si>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</si>
  <si>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</si>
  <si>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</si>
  <si>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</si>
  <si>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</si>
  <si>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</si>
  <si>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</si>
  <si>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</si>
  <si>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</si>
  <si>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</si>
  <si>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</si>
  <si>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</si>
  <si>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</si>
  <si>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</si>
  <si>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</si>
  <si>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</si>
  <si>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</si>
  <si>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</si>
  <si>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</si>
  <si>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</si>
  <si>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</si>
  <si>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</si>
  <si>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</si>
  <si>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</si>
  <si>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</si>
  <si>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</si>
  <si>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</si>
  <si>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</si>
  <si>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</si>
  <si>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</si>
  <si>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</si>
  <si>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</si>
  <si>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</si>
  <si>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</si>
  <si>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</si>
  <si>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</si>
  <si>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</si>
  <si>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</si>
  <si>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</si>
  <si>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</si>
  <si>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</si>
  <si>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</si>
  <si>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</si>
  <si>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</si>
  <si>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</si>
  <si>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</si>
  <si>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</si>
  <si>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</si>
  <si>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</si>
  <si>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</si>
  <si>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</si>
  <si>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</si>
  <si>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</si>
  <si>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</si>
  <si>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</si>
  <si>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</si>
  <si>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</si>
  <si>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</si>
  <si>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</si>
  <si>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</si>
  <si>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</si>
  <si>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</si>
  <si>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</si>
  <si>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</si>
  <si>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</si>
  <si>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</si>
  <si>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</si>
  <si>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</si>
  <si>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</si>
  <si>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</si>
  <si>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</si>
  <si>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</si>
  <si>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</si>
  <si>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</si>
  <si>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</si>
  <si>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</si>
  <si>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</si>
  <si>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</si>
  <si>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</si>
  <si>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</si>
  <si>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</si>
  <si>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</si>
  <si>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</si>
  <si>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</si>
  <si>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</si>
  <si>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</si>
  <si>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</si>
  <si>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</si>
  <si>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</si>
  <si>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</si>
  <si>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</si>
  <si>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</si>
  <si>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</si>
  <si>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</si>
  <si>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</si>
  <si>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</si>
  <si>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</si>
  <si>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</si>
  <si>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</si>
  <si>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</si>
  <si>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</si>
  <si>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</si>
  <si>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</si>
  <si>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</si>
  <si>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</si>
  <si>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</si>
  <si>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</si>
  <si>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</si>
  <si>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</si>
  <si>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</si>
  <si>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</si>
  <si>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</si>
  <si>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</si>
  <si>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</si>
  <si>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</si>
  <si>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</si>
  <si>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</si>
  <si>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</si>
  <si>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</si>
  <si>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</si>
  <si>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</si>
  <si>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</si>
  <si>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</si>
  <si>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</si>
  <si>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</si>
  <si>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</si>
  <si>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</si>
  <si>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</si>
  <si>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</si>
  <si>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</si>
  <si>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</si>
  <si>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</si>
  <si>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</si>
  <si>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</si>
  <si>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</si>
  <si>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</si>
  <si>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</si>
  <si>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</si>
  <si>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</si>
  <si>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</si>
  <si>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</si>
  <si>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</si>
  <si>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</si>
  <si>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</si>
  <si>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</si>
  <si>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</si>
  <si>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</si>
  <si>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</si>
  <si>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</si>
  <si>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</si>
  <si>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</si>
  <si>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</si>
  <si>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</si>
  <si>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</si>
  <si>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</si>
  <si>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</si>
  <si>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</si>
  <si>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</si>
  <si>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</si>
  <si>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</si>
  <si>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</si>
  <si>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</si>
  <si>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</si>
  <si>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</si>
  <si>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</si>
  <si>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</si>
  <si>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</si>
  <si>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</si>
  <si>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</si>
  <si>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</si>
  <si>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</si>
  <si>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</si>
  <si>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</si>
  <si>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</si>
  <si>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</si>
  <si>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</si>
  <si>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</si>
  <si>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</si>
  <si>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</si>
  <si>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</si>
  <si>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</si>
  <si>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</si>
  <si>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</si>
  <si>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</si>
  <si>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</si>
  <si>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</si>
  <si>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</si>
  <si>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</si>
  <si>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</si>
  <si>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</si>
  <si>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</si>
  <si>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</si>
  <si>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</si>
  <si>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</si>
  <si>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</si>
  <si>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</si>
  <si>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</si>
  <si>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</si>
  <si>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</si>
  <si>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</si>
  <si>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</si>
  <si>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</si>
  <si>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</si>
  <si>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</si>
  <si>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</si>
  <si>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</si>
  <si>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</si>
  <si>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</si>
  <si>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</si>
  <si>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</si>
  <si>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</si>
  <si>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</si>
  <si>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</si>
  <si>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</si>
  <si>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</si>
  <si>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</si>
  <si>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</si>
  <si>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</si>
  <si>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</si>
  <si>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</si>
  <si>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</si>
  <si>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</si>
  <si>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</si>
  <si>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</si>
  <si>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</si>
  <si>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</si>
  <si>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</si>
  <si>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</si>
  <si>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</si>
  <si>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</si>
  <si>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</si>
  <si>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</si>
  <si>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</si>
  <si>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</si>
  <si>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</si>
  <si>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</si>
  <si>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</si>
  <si>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</si>
  <si>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</si>
  <si>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</si>
  <si>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</si>
  <si>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</si>
  <si>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</si>
  <si>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</si>
  <si>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</si>
  <si>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</si>
  <si>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</si>
  <si>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</si>
  <si>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</si>
  <si>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</si>
  <si>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</si>
  <si>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</si>
  <si>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</si>
  <si>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</si>
  <si>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</si>
  <si>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</si>
  <si>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</si>
  <si>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</si>
  <si>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</si>
  <si>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</si>
  <si>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</si>
  <si>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</si>
  <si>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</si>
  <si>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</si>
  <si>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</si>
  <si>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</si>
  <si>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</si>
  <si>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</si>
  <si>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</si>
  <si>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</si>
  <si>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</si>
  <si>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</si>
  <si>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</si>
  <si>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</si>
  <si>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</si>
  <si>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</si>
  <si>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</si>
  <si>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</si>
  <si>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</si>
  <si>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</si>
  <si>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</si>
  <si>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</si>
  <si>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</si>
  <si>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</si>
  <si>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</si>
  <si>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</si>
  <si>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</si>
  <si>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</si>
  <si>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</si>
  <si>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</si>
  <si>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</si>
  <si>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</si>
  <si>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</si>
  <si>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</si>
  <si>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</si>
  <si>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</si>
  <si>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</si>
  <si>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</si>
  <si>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</si>
  <si>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</si>
  <si>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</si>
  <si>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</si>
  <si>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</si>
  <si>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</si>
  <si>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</si>
  <si>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</si>
  <si>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</si>
  <si>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</si>
  <si>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</si>
  <si>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</si>
  <si>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</si>
  <si>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</si>
  <si>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</si>
  <si>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</si>
  <si>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</si>
  <si>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</si>
  <si>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</si>
  <si>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</si>
  <si>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</si>
  <si>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</si>
  <si>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</si>
  <si>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</si>
  <si>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</si>
  <si>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</si>
  <si>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</si>
  <si>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</si>
  <si>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</si>
  <si>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</si>
  <si>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</si>
  <si>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</si>
  <si>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</si>
  <si>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</si>
  <si>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</si>
  <si>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</si>
  <si>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</si>
  <si>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</si>
  <si>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</si>
  <si>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</si>
  <si>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</si>
  <si>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</si>
  <si>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</si>
  <si>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</si>
  <si>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</si>
  <si>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</si>
  <si>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</si>
  <si>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</si>
  <si>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</si>
  <si>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</si>
  <si>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</si>
  <si>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</si>
  <si>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</si>
  <si>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</si>
  <si>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</si>
  <si>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</si>
  <si>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</si>
  <si>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</si>
  <si>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</si>
  <si>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</si>
  <si>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</si>
  <si>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</si>
  <si>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</si>
  <si>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</si>
  <si>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</si>
  <si>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</si>
  <si>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</si>
  <si>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</si>
  <si>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</si>
  <si>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</si>
  <si>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</si>
  <si>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</si>
  <si>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</si>
  <si>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</si>
  <si>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</si>
  <si>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</si>
  <si>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</si>
  <si>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</si>
  <si>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</si>
  <si>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</si>
  <si>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</si>
  <si>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</si>
  <si>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</si>
  <si>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</si>
  <si>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</si>
  <si>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</si>
  <si>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</si>
  <si>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</si>
  <si>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</si>
  <si>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</si>
  <si>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</si>
  <si>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</si>
  <si>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</si>
  <si>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</si>
  <si>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</si>
  <si>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</si>
  <si>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</si>
  <si>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</si>
  <si>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</si>
  <si>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</si>
  <si>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</si>
  <si>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</si>
  <si>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</si>
  <si>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</si>
  <si>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</si>
  <si>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</si>
  <si>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</si>
  <si>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</si>
  <si>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</si>
  <si>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</si>
  <si>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</si>
  <si>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</si>
  <si>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</si>
  <si>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</si>
  <si>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</si>
  <si>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</si>
  <si>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</si>
  <si>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</si>
  <si>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</si>
  <si>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</si>
  <si>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</si>
  <si>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</si>
  <si>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</si>
  <si>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</si>
  <si>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</si>
  <si>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</si>
  <si>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</si>
  <si>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</si>
  <si>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</si>
  <si>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</si>
  <si>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</si>
  <si>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</si>
  <si>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</si>
  <si>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</si>
  <si>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</si>
  <si>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</si>
  <si>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</si>
  <si>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</si>
  <si>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</si>
  <si>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</si>
  <si>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</si>
  <si>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</si>
  <si>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</si>
  <si>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</si>
  <si>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</si>
  <si>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</si>
  <si>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</si>
  <si>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</si>
  <si>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</si>
  <si>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</si>
  <si>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</si>
  <si>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</si>
  <si>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</si>
  <si>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</si>
  <si>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</si>
  <si>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</si>
  <si>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</si>
  <si>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</si>
  <si>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</si>
  <si>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</si>
  <si>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</si>
  <si>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</si>
  <si>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</si>
  <si>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</si>
  <si>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</si>
  <si>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</si>
  <si>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</si>
  <si>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</si>
  <si>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</si>
  <si>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</si>
  <si>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</si>
  <si>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</si>
  <si>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</si>
  <si>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</si>
  <si>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</si>
  <si>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</si>
  <si>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</si>
  <si>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</si>
  <si>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</si>
  <si>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</si>
  <si>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</si>
  <si>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</si>
  <si>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</si>
  <si>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</si>
  <si>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</si>
  <si>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</si>
  <si>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</si>
  <si>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</si>
  <si>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</si>
  <si>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</si>
  <si>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</si>
  <si>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</si>
  <si>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</si>
  <si>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</si>
  <si>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</si>
  <si>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</si>
  <si>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</si>
  <si>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</si>
  <si>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</si>
  <si>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</si>
  <si>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</si>
  <si>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</si>
  <si>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</si>
  <si>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</si>
  <si>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</si>
  <si>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</si>
  <si>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</si>
  <si>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</si>
  <si>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</si>
  <si>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</si>
  <si>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</si>
  <si>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</si>
  <si>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</si>
  <si>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</si>
  <si>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</si>
  <si>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</si>
  <si>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</si>
  <si>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</si>
  <si>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</si>
  <si>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</si>
  <si>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</si>
  <si>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</si>
  <si>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</si>
  <si>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</si>
  <si>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</si>
  <si>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</si>
  <si>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</si>
  <si>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</si>
  <si>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</si>
  <si>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</si>
  <si>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</si>
  <si>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</si>
  <si>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</si>
  <si>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</si>
  <si>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</si>
  <si>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</si>
  <si>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</si>
  <si>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</si>
  <si>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</si>
  <si>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</si>
  <si>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</si>
  <si>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</si>
  <si>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</si>
  <si>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</si>
  <si>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</si>
  <si>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</si>
  <si>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</si>
  <si>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</si>
  <si>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</si>
  <si>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</si>
  <si>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</si>
  <si>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</si>
  <si>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</si>
  <si>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</si>
  <si>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</si>
  <si>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</si>
  <si>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</si>
  <si>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</si>
  <si>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</si>
  <si>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</si>
  <si>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</si>
  <si>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</si>
  <si>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</si>
  <si>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</si>
  <si>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</si>
  <si>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</si>
  <si>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</si>
  <si>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</si>
  <si>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</si>
  <si>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</si>
  <si>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</si>
  <si>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</si>
  <si>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</si>
  <si>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</si>
  <si>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</si>
  <si>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</si>
  <si>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</si>
  <si>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</si>
  <si>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</si>
  <si>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</si>
  <si>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</si>
  <si>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</si>
  <si>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</si>
  <si>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</si>
  <si>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</si>
  <si>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</si>
  <si>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</si>
  <si>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</si>
  <si>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</si>
  <si>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</si>
  <si>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</si>
  <si>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</si>
  <si>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</si>
  <si>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</si>
  <si>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</si>
  <si>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</si>
  <si>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</si>
  <si>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</si>
  <si>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</si>
  <si>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</si>
  <si>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</si>
  <si>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</si>
  <si>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</si>
  <si>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</si>
  <si>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</si>
  <si>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</si>
  <si>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</si>
  <si>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</si>
  <si>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</si>
  <si>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</si>
  <si>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</si>
  <si>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</si>
  <si>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</si>
  <si>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</si>
  <si>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</si>
  <si>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</si>
  <si>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</si>
  <si>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</si>
  <si>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</si>
  <si>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</si>
  <si>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</si>
  <si>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</si>
  <si>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</si>
  <si>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</si>
  <si>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</si>
  <si>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</si>
  <si>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</si>
  <si>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</si>
  <si>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</si>
  <si>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</si>
  <si>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</si>
  <si>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</si>
  <si>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</si>
  <si>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</si>
  <si>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</si>
  <si>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</si>
  <si>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</si>
  <si>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</si>
  <si>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</si>
  <si>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</si>
  <si>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</si>
  <si>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</si>
  <si>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</si>
  <si>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</si>
  <si>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</si>
  <si>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</si>
  <si>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</si>
  <si>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</si>
  <si>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</si>
  <si>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</si>
  <si>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</si>
  <si>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</si>
  <si>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</si>
  <si>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</si>
  <si>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</si>
  <si>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</si>
  <si>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</si>
  <si>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</si>
  <si>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</si>
  <si>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</si>
  <si>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</si>
  <si>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</si>
  <si>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</si>
  <si>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</si>
  <si>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</si>
  <si>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</si>
  <si>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</si>
  <si>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</si>
  <si>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</si>
  <si>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</si>
  <si>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</si>
  <si>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</si>
  <si>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</si>
  <si>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</si>
  <si>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</si>
  <si>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</si>
  <si>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</si>
  <si>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</si>
  <si>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</si>
  <si>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</si>
  <si>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</si>
  <si>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</si>
  <si>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</si>
  <si>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</si>
  <si>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</si>
  <si>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</si>
  <si>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</si>
  <si>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</si>
  <si>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</si>
  <si>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</si>
  <si>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</si>
  <si>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</si>
  <si>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</si>
  <si>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</si>
  <si>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</si>
  <si>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</si>
  <si>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</si>
  <si>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</si>
  <si>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</si>
  <si>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</si>
  <si>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</si>
  <si>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</si>
  <si>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</si>
  <si>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</si>
  <si>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</si>
  <si>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</si>
  <si>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</si>
  <si>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</si>
  <si>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</si>
  <si>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</si>
  <si>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</si>
  <si>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</si>
  <si>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</si>
  <si>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</si>
  <si>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</si>
  <si>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</si>
  <si>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</si>
  <si>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</si>
  <si>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</si>
  <si>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</si>
  <si>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</si>
  <si>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</si>
  <si>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</si>
  <si>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</si>
  <si>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</si>
  <si>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</si>
  <si>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</si>
  <si>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</si>
  <si>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</si>
  <si>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</si>
  <si>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</si>
  <si>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</si>
  <si>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</si>
  <si>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</si>
  <si>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</si>
  <si>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</si>
  <si>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</si>
  <si>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</si>
  <si>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</si>
  <si>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</si>
  <si>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</si>
  <si>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</si>
  <si>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</si>
  <si>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</si>
  <si>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</si>
  <si>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</si>
  <si>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</si>
  <si>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</si>
  <si>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</si>
  <si>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</si>
  <si>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</si>
  <si>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</si>
  <si>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</si>
  <si>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</si>
  <si>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</si>
  <si>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</si>
  <si>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</si>
  <si>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</si>
  <si>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</si>
  <si>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</si>
  <si>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</si>
  <si>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</si>
  <si>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</si>
  <si>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</si>
  <si>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</si>
  <si>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</si>
  <si>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</si>
  <si>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</si>
  <si>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</si>
  <si>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</si>
  <si>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</si>
  <si>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</si>
  <si>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</si>
  <si>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</si>
  <si>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</si>
  <si>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</si>
  <si>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</si>
  <si>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</si>
  <si>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</si>
  <si>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</si>
  <si>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</si>
  <si>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</si>
  <si>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</si>
  <si>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</si>
  <si>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</si>
  <si>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</si>
  <si>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</si>
  <si>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</si>
  <si>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</si>
  <si>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</si>
  <si>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</si>
  <si>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</si>
  <si>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</si>
  <si>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</si>
  <si>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</si>
  <si>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</si>
  <si>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</si>
  <si>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</si>
  <si>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</si>
  <si>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</si>
  <si>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</si>
  <si>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</si>
  <si>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</si>
  <si>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</si>
  <si>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</si>
  <si>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</si>
  <si>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</si>
  <si>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</si>
  <si>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</si>
  <si>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</si>
  <si>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</si>
  <si>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</si>
  <si>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</si>
  <si>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</si>
  <si>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</si>
  <si>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</si>
  <si>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</si>
  <si>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</si>
  <si>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</si>
  <si>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</si>
  <si>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</si>
  <si>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</si>
  <si>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</si>
  <si>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</si>
  <si>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</si>
  <si>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</si>
  <si>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</si>
  <si>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</si>
  <si>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</si>
  <si>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</si>
  <si>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</si>
  <si>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</si>
  <si>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</si>
  <si>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</si>
  <si>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</si>
  <si>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</si>
  <si>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</si>
  <si>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</si>
  <si>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</si>
  <si>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</si>
  <si>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</si>
  <si>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</si>
  <si>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</si>
  <si>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</si>
  <si>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</si>
  <si>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</si>
  <si>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</si>
  <si>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</si>
  <si>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</si>
  <si>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</si>
  <si>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</si>
  <si>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</si>
  <si>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</si>
  <si>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</si>
  <si>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</si>
  <si>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</si>
  <si>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</si>
  <si>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</si>
  <si>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</si>
  <si>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</si>
  <si>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</si>
  <si>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</si>
  <si>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</si>
  <si>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</si>
  <si>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</si>
  <si>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</si>
  <si>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</si>
  <si>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</si>
  <si>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</si>
  <si>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</si>
  <si>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</si>
  <si>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</si>
  <si>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</si>
  <si>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</si>
  <si>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</si>
  <si>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</si>
  <si>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</si>
  <si>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</si>
  <si>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</si>
  <si>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</si>
  <si>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</si>
  <si>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</si>
  <si>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</si>
  <si>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</si>
  <si>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</si>
  <si>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</si>
  <si>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</si>
  <si>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</si>
  <si>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</si>
  <si>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</si>
  <si>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</si>
  <si>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</si>
  <si>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</si>
  <si>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</si>
  <si>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</si>
  <si>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</si>
  <si>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</si>
  <si>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</si>
  <si>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</si>
  <si>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</si>
  <si>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</si>
  <si>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</si>
  <si>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</si>
  <si>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</si>
  <si>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</si>
  <si>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</si>
  <si>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</si>
  <si>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</si>
  <si>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</si>
  <si>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</si>
  <si>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</si>
  <si>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</si>
  <si>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</si>
  <si>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</si>
  <si>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</si>
  <si>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</si>
  <si>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</si>
  <si>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</si>
  <si>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</si>
  <si>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</si>
  <si>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</si>
  <si>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</si>
  <si>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</si>
  <si>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</si>
  <si>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</si>
  <si>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</si>
  <si>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</si>
  <si>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</si>
  <si>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</si>
  <si>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</si>
  <si>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</si>
  <si>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</si>
  <si>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</si>
  <si>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</si>
  <si>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</si>
  <si>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</si>
  <si>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</si>
  <si>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</si>
  <si>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</si>
  <si>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</si>
  <si>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</si>
  <si>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</si>
  <si>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</si>
  <si>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</si>
  <si>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</si>
  <si>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</si>
  <si>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</si>
  <si>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</si>
  <si>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</si>
  <si>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</si>
  <si>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</si>
  <si>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</si>
  <si>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</si>
  <si>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</si>
  <si>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</si>
  <si>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</si>
  <si>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</si>
  <si>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</si>
  <si>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</si>
  <si>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</si>
  <si>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</si>
  <si>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</si>
  <si>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</si>
  <si>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</si>
  <si>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</si>
  <si>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</si>
  <si>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</si>
  <si>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</si>
  <si>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</si>
  <si>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</si>
  <si>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</si>
  <si>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</si>
  <si>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</si>
  <si>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</si>
  <si>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</si>
  <si>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</si>
  <si>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</si>
  <si>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</si>
  <si>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</si>
  <si>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</si>
  <si>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</si>
  <si>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</si>
  <si>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</si>
  <si>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</si>
  <si>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</si>
  <si>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</si>
  <si>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</si>
  <si>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</si>
  <si>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</si>
  <si>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</si>
  <si>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</si>
  <si>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</si>
  <si>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</si>
  <si>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</si>
  <si>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</si>
  <si>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</si>
  <si>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</si>
  <si>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</si>
  <si>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</si>
  <si>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</si>
  <si>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</si>
  <si>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</si>
  <si>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</si>
  <si>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</si>
  <si>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</si>
  <si>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</si>
  <si>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</si>
  <si>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</si>
  <si>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</si>
  <si>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</si>
  <si>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</si>
  <si>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</si>
  <si>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</si>
  <si>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</si>
  <si>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</si>
  <si>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</si>
  <si>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</si>
  <si>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</si>
  <si>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</si>
  <si>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</si>
  <si>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</si>
  <si>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</si>
  <si>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</si>
  <si>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</si>
  <si>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</si>
  <si>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</si>
  <si>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</si>
  <si>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</si>
  <si>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</si>
  <si>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</si>
  <si>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</si>
  <si>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</si>
  <si>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</si>
  <si>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</si>
  <si>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</si>
  <si>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</si>
  <si>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</si>
  <si>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</si>
  <si>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</si>
  <si>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</si>
  <si>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</si>
  <si>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</si>
  <si>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</si>
  <si>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</si>
  <si>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</si>
  <si>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</si>
  <si>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</si>
  <si>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</si>
  <si>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</si>
  <si>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</si>
  <si>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</si>
  <si>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</si>
  <si>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</si>
  <si>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</si>
  <si>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</si>
  <si>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</si>
  <si>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</si>
  <si>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</si>
  <si>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</si>
  <si>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</si>
  <si>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</si>
  <si>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</si>
  <si>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</si>
  <si>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</si>
  <si>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</si>
  <si>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</si>
  <si>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</si>
  <si>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</si>
  <si>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</si>
  <si>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</si>
  <si>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</si>
  <si>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</si>
  <si>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</si>
  <si>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</si>
  <si>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</si>
  <si>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</si>
  <si>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</si>
  <si>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</si>
  <si>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</si>
  <si>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</si>
  <si>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</si>
  <si>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</si>
  <si>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</si>
  <si>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</si>
  <si>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</si>
  <si>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</si>
  <si>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</si>
  <si>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</si>
  <si>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</si>
  <si>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</si>
  <si>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</si>
  <si>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</si>
  <si>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</si>
  <si>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</si>
  <si>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</si>
  <si>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</si>
  <si>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</si>
  <si>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</si>
  <si>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</si>
  <si>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</si>
  <si>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</si>
  <si>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</si>
  <si>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</si>
  <si>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</si>
  <si>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</si>
  <si>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</si>
  <si>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</si>
  <si>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</si>
  <si>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</si>
  <si>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</si>
  <si>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</si>
  <si>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</si>
  <si>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</si>
  <si>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</si>
  <si>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</si>
  <si>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</si>
  <si>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</si>
  <si>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</si>
  <si>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</si>
  <si>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</si>
  <si>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</si>
  <si>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</si>
  <si>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</si>
  <si>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</si>
  <si>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</si>
  <si>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</si>
  <si>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</si>
  <si>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</si>
  <si>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</si>
  <si>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</si>
  <si>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</si>
  <si>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</si>
  <si>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</si>
  <si>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</si>
  <si>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</si>
  <si>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</si>
  <si>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</si>
  <si>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</si>
  <si>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</si>
  <si>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</si>
  <si>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</si>
  <si>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</si>
  <si>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</si>
  <si>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</si>
  <si>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</si>
  <si>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</si>
  <si>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</si>
  <si>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</si>
  <si>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</si>
  <si>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</si>
  <si>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</si>
  <si>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</si>
  <si>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</si>
  <si>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</si>
  <si>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</si>
  <si>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</si>
  <si>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</si>
  <si>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</si>
  <si>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</si>
  <si>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</si>
  <si>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</si>
  <si>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</si>
  <si>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</si>
  <si>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</si>
  <si>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</si>
  <si>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</si>
  <si>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</si>
  <si>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</si>
  <si>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</si>
  <si>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</si>
  <si>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</si>
  <si>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</si>
  <si>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</si>
  <si>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</si>
  <si>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</si>
  <si>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</si>
  <si>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</si>
  <si>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</si>
  <si>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</si>
  <si>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</si>
  <si>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</si>
  <si>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</si>
  <si>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</si>
  <si>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</si>
  <si>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</si>
  <si>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</si>
  <si>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</si>
  <si>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</si>
  <si>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</si>
  <si>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</si>
  <si>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</si>
  <si>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</si>
  <si>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</si>
  <si>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</si>
  <si>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</si>
  <si>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</si>
  <si>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</si>
  <si>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</si>
  <si>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</si>
  <si>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</si>
  <si>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</si>
  <si>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</si>
  <si>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</si>
  <si>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</si>
  <si>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</si>
  <si>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</si>
  <si>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</si>
  <si>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</si>
  <si>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</si>
  <si>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</si>
  <si>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</si>
  <si>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</si>
  <si>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</si>
  <si>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</si>
  <si>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</si>
  <si>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</si>
  <si>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</si>
  <si>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</si>
  <si>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</si>
  <si>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</si>
  <si>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</si>
  <si>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</si>
  <si>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</si>
  <si>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</si>
  <si>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</si>
  <si>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</si>
  <si>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</si>
  <si>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</si>
  <si>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</si>
  <si>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</si>
  <si>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</si>
  <si>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</si>
  <si>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</si>
  <si>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</si>
  <si>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</si>
  <si>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</si>
  <si>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</si>
  <si>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</si>
  <si>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</si>
  <si>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</si>
  <si>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</si>
  <si>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</si>
  <si>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</si>
  <si>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</si>
  <si>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</si>
  <si>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</si>
  <si>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</si>
  <si>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</si>
  <si>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</si>
  <si>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</si>
  <si>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</si>
  <si>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</si>
  <si>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</si>
  <si>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</si>
  <si>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</si>
  <si>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</si>
  <si>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</si>
  <si>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</si>
  <si>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</si>
  <si>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</si>
  <si>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</si>
  <si>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</si>
  <si>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</si>
  <si>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</si>
  <si>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</si>
  <si>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</si>
  <si>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</si>
  <si>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</si>
  <si>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</si>
  <si>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</si>
  <si>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</si>
  <si>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</si>
  <si>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</si>
  <si>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</si>
  <si>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</si>
  <si>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</si>
  <si>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</si>
  <si>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</si>
  <si>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</si>
  <si>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</si>
  <si>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</si>
  <si>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</si>
  <si>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</si>
  <si>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</si>
  <si>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</si>
  <si>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</si>
  <si>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</si>
  <si>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</si>
  <si>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</si>
  <si>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</si>
  <si>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</si>
  <si>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</si>
  <si>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</si>
  <si>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</si>
  <si>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</si>
  <si>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</si>
  <si>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</si>
  <si>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</si>
  <si>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</si>
  <si>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</si>
  <si>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</si>
  <si>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</si>
  <si>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</si>
  <si>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</si>
  <si>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</si>
  <si>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</si>
  <si>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</si>
  <si>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</si>
  <si>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</si>
  <si>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</si>
  <si>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</si>
  <si>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</si>
  <si>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</si>
  <si>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</si>
  <si>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</si>
  <si>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</si>
  <si>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</si>
  <si>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</si>
  <si>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</si>
  <si>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</si>
  <si>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</si>
  <si>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</si>
  <si>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</si>
  <si>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</si>
  <si>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</si>
  <si>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</si>
  <si>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</si>
  <si>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</si>
  <si>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</si>
  <si>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</si>
  <si>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</si>
  <si>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</si>
  <si>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</si>
  <si>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</si>
  <si>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</si>
  <si>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</si>
  <si>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</si>
  <si>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</si>
  <si>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</si>
  <si>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</si>
  <si>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</si>
  <si>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</si>
  <si>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</si>
  <si>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</si>
  <si>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</si>
  <si>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</si>
  <si>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</si>
  <si>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</si>
  <si>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</si>
  <si>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</si>
  <si>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</si>
  <si>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</si>
  <si>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</si>
  <si>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</si>
  <si>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</si>
  <si>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</si>
  <si>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</si>
  <si>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</si>
  <si>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</si>
  <si>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</si>
  <si>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</si>
  <si>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</si>
  <si>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</si>
  <si>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</si>
  <si>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</si>
  <si>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</si>
  <si>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</si>
  <si>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</si>
  <si>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</si>
  <si>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</si>
  <si>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</si>
  <si>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</si>
  <si>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</si>
  <si>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</si>
  <si>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</si>
  <si>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</si>
  <si>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</si>
  <si>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</si>
  <si>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</si>
  <si>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</si>
  <si>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</si>
  <si>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</si>
  <si>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</si>
  <si>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</si>
  <si>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</si>
  <si>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</si>
  <si>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</si>
  <si>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</si>
  <si>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</si>
  <si>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</si>
  <si>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</si>
  <si>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</si>
  <si>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</si>
  <si>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</si>
  <si>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</si>
  <si>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</si>
  <si>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</si>
  <si>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</si>
  <si>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</si>
  <si>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</si>
  <si>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</si>
  <si>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</si>
  <si>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</si>
  <si>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</si>
  <si>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</si>
  <si>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</si>
  <si>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</si>
  <si>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</si>
  <si>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</si>
  <si>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</si>
  <si>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</si>
  <si>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</si>
  <si>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</si>
  <si>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</si>
  <si>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</si>
  <si>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</si>
  <si>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</si>
  <si>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</si>
  <si>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</si>
  <si>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</si>
  <si>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</si>
  <si>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</si>
  <si>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</si>
  <si>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</si>
  <si>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</si>
  <si>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</si>
  <si>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</si>
  <si>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</si>
  <si>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</si>
  <si>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</si>
  <si>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</si>
  <si>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</si>
  <si>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</si>
  <si>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</si>
  <si>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</si>
  <si>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</si>
  <si>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</si>
  <si>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</si>
  <si>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</si>
  <si>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</si>
  <si>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</si>
  <si>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</si>
  <si>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</si>
  <si>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</si>
  <si>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</si>
  <si>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</si>
  <si>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</si>
  <si>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</si>
  <si>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</si>
  <si>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</si>
  <si>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</si>
  <si>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</si>
  <si>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</si>
  <si>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</si>
  <si>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</si>
  <si>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</si>
  <si>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</si>
  <si>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</si>
  <si>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</si>
  <si>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</si>
  <si>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</si>
  <si>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</si>
  <si>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</si>
  <si>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</si>
  <si>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</si>
  <si>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</si>
  <si>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</si>
  <si>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</si>
  <si>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</si>
  <si>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</si>
  <si>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</si>
  <si>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</si>
  <si>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</si>
  <si>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</si>
  <si>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</si>
  <si>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</si>
  <si>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</si>
  <si>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</si>
  <si>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</si>
  <si>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</si>
  <si>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</si>
  <si>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</si>
  <si>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</si>
  <si>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</si>
  <si>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</si>
  <si>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</si>
  <si>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</si>
  <si>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</si>
  <si>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</si>
  <si>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</si>
  <si>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</si>
  <si>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</si>
  <si>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</si>
  <si>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</si>
  <si>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</si>
  <si>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</si>
  <si>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</si>
  <si>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</si>
  <si>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</si>
  <si>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</si>
  <si>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</si>
  <si>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</si>
  <si>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</si>
  <si>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</si>
  <si>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</si>
  <si>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</si>
  <si>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</si>
  <si>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</si>
  <si>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</si>
  <si>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</si>
  <si>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</si>
  <si>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</si>
  <si>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</si>
  <si>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</si>
  <si>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</si>
  <si>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</si>
  <si>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</si>
  <si>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</si>
  <si>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</si>
  <si>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</si>
  <si>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</si>
  <si>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</si>
  <si>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</si>
  <si>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</si>
  <si>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</si>
  <si>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</si>
  <si>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</si>
  <si>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</si>
  <si>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</si>
  <si>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</si>
  <si>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</si>
  <si>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</si>
  <si>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</si>
  <si>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</si>
  <si>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</si>
  <si>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</si>
  <si>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</si>
  <si>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</si>
  <si>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</si>
  <si>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</si>
  <si>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</si>
  <si>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</si>
  <si>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</si>
  <si>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</si>
  <si>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</si>
  <si>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</si>
  <si>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</si>
  <si>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</si>
  <si>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</si>
  <si>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</si>
  <si>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</si>
  <si>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</si>
  <si>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</si>
  <si>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</si>
  <si>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</si>
  <si>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</si>
  <si>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</si>
  <si>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</si>
  <si>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</si>
  <si>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</si>
  <si>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</si>
  <si>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</si>
  <si>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</si>
  <si>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</si>
  <si>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</si>
  <si>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</si>
  <si>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</si>
  <si>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</si>
  <si>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</si>
  <si>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</si>
  <si>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</si>
  <si>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</si>
  <si>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</si>
  <si>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</si>
  <si>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</si>
  <si>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</si>
  <si>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</si>
  <si>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</si>
  <si>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</si>
  <si>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</si>
  <si>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</si>
  <si>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</si>
  <si>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</si>
  <si>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</si>
  <si>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</si>
  <si>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</si>
  <si>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</si>
  <si>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</si>
  <si>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</si>
  <si>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2018-4</t>
    <phoneticPr fontId="4" type="noConversion"/>
  </si>
  <si>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</si>
  <si>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</si>
  <si>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</si>
  <si>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</si>
  <si>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</si>
  <si>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</si>
  <si>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</si>
  <si>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</si>
  <si>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</si>
  <si>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</si>
  <si>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</si>
  <si>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</si>
  <si>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一级开发</t>
  </si>
  <si>
    <t>7月</t>
  </si>
  <si>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</si>
  <si>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</si>
  <si>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</si>
  <si>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</si>
  <si>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</si>
  <si>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</si>
  <si>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</si>
  <si>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</si>
  <si>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</si>
  <si>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</si>
  <si>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</si>
  <si>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</si>
  <si>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</si>
  <si>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地上</t>
  </si>
  <si>
    <t>核定资产</t>
  </si>
  <si>
    <t>市场价格</t>
  </si>
  <si>
    <t>海淀区清河安宁庄东路1号</t>
    <phoneticPr fontId="7" type="noConversion"/>
  </si>
  <si>
    <t>企业</t>
  </si>
  <si>
    <t>北京金隅股份有限公司</t>
    <phoneticPr fontId="7" type="noConversion"/>
  </si>
  <si>
    <t>工交</t>
    <phoneticPr fontId="7" type="noConversion"/>
  </si>
  <si>
    <t>一致</t>
  </si>
  <si>
    <t>出让</t>
  </si>
  <si>
    <t>京房权证海股移字第0110433号</t>
    <phoneticPr fontId="4" type="noConversion"/>
  </si>
  <si>
    <t>平房</t>
  </si>
  <si>
    <t>平房</t>
    <phoneticPr fontId="15" type="noConversion"/>
  </si>
  <si>
    <t>征收补偿安置费</t>
  </si>
  <si>
    <r>
      <rPr>
        <sz val="11"/>
        <color theme="1"/>
        <rFont val="宋体"/>
        <family val="3"/>
        <charset val="134"/>
      </rPr>
      <t>地下</t>
    </r>
    <r>
      <rPr>
        <sz val="11"/>
        <color theme="1"/>
        <rFont val="Arial"/>
        <family val="2"/>
      </rPr>
      <t>1</t>
    </r>
    <phoneticPr fontId="15" type="noConversion"/>
  </si>
  <si>
    <t>京房权证海字第143645号</t>
    <phoneticPr fontId="4" type="noConversion"/>
  </si>
  <si>
    <t>京房权证海股移字第0110434号</t>
    <phoneticPr fontId="4" type="noConversion"/>
  </si>
  <si>
    <t>京房权证海股移字第0109921号</t>
    <phoneticPr fontId="4" type="noConversion"/>
  </si>
  <si>
    <t>京房权证海股移字第0110559号</t>
    <phoneticPr fontId="4" type="noConversion"/>
  </si>
  <si>
    <t>京房权证海股移字第0110567号</t>
    <phoneticPr fontId="4" type="noConversion"/>
  </si>
  <si>
    <t>京房权证海股移字第0110573号</t>
    <phoneticPr fontId="4" type="noConversion"/>
  </si>
  <si>
    <t>京房权证海股移字第0110574号</t>
    <phoneticPr fontId="4" type="noConversion"/>
  </si>
  <si>
    <t>Ⅴ-01</t>
  </si>
  <si>
    <t>自定义容积率</t>
  </si>
  <si>
    <t>工业用地</t>
  </si>
  <si>
    <t>三通一平</t>
  </si>
  <si>
    <t>缺少</t>
  </si>
  <si>
    <t>通下水</t>
  </si>
  <si>
    <t>通热</t>
  </si>
  <si>
    <t>燃气</t>
  </si>
  <si>
    <t>通讯</t>
  </si>
  <si>
    <t>容积率修正</t>
  </si>
  <si>
    <t>一般</t>
  </si>
  <si>
    <t>较好</t>
  </si>
  <si>
    <t>差</t>
  </si>
  <si>
    <t>成本逼近法</t>
  </si>
  <si>
    <t>搬迁费</t>
    <phoneticPr fontId="234" type="noConversion"/>
  </si>
  <si>
    <t>建筑面积</t>
    <phoneticPr fontId="234" type="noConversion"/>
  </si>
  <si>
    <t>补偿标准（元/平方米）</t>
    <phoneticPr fontId="234" type="noConversion"/>
  </si>
  <si>
    <t>合计（万元）</t>
    <phoneticPr fontId="234" type="noConversion"/>
  </si>
  <si>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</si>
  <si>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</si>
  <si>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</si>
  <si>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4"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</si>
  <si>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</si>
  <si>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</si>
  <si>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</si>
  <si>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</si>
  <si>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</si>
  <si>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</si>
  <si>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</si>
  <si>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</si>
  <si>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</si>
  <si>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</si>
  <si>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</si>
  <si>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单方重置现价（元）</t>
    <phoneticPr fontId="234" type="noConversion"/>
  </si>
  <si>
    <r>
      <rPr>
        <sz val="9"/>
        <color theme="1"/>
        <rFont val="宋体"/>
        <family val="3"/>
        <charset val="134"/>
      </rPr>
      <t>重置现价评估总值（万元）</t>
    </r>
  </si>
  <si>
    <t>投资利润</t>
    <phoneticPr fontId="234" type="noConversion"/>
  </si>
  <si>
    <r>
      <rPr>
        <sz val="11"/>
        <color theme="1"/>
        <rFont val="宋体"/>
        <family val="3"/>
        <charset val="134"/>
      </rPr>
      <t>混合</t>
    </r>
    <phoneticPr fontId="234" type="noConversion"/>
  </si>
  <si>
    <t>合计</t>
    <phoneticPr fontId="234" type="noConversion"/>
  </si>
  <si>
    <t>用于生产经营的非住宅房屋的月租金</t>
    <phoneticPr fontId="234" type="noConversion"/>
  </si>
  <si>
    <t>日租金（元/平方米）</t>
    <phoneticPr fontId="234" type="noConversion"/>
  </si>
  <si>
    <t>天数（天）</t>
    <phoneticPr fontId="234" type="noConversion"/>
  </si>
  <si>
    <t>面积（平方米）</t>
    <phoneticPr fontId="234" type="noConversion"/>
  </si>
  <si>
    <t>月净利润</t>
    <phoneticPr fontId="234" type="noConversion"/>
  </si>
  <si>
    <t>停产停业损失补偿费=（用于生产经营的非住宅房屋的月租金+月净利润×修正系数+员工月生活补助）×停产停业补偿期限</t>
    <phoneticPr fontId="234" type="noConversion"/>
  </si>
  <si>
    <t>年度</t>
    <phoneticPr fontId="234" type="noConversion"/>
  </si>
  <si>
    <t>1-5月</t>
    <phoneticPr fontId="234" type="noConversion"/>
  </si>
  <si>
    <t>月度</t>
    <phoneticPr fontId="234" type="noConversion"/>
  </si>
  <si>
    <r>
      <t>2</t>
    </r>
    <r>
      <rPr>
        <sz val="11"/>
        <color theme="1"/>
        <rFont val="宋体"/>
        <family val="3"/>
        <charset val="134"/>
        <scheme val="minor"/>
      </rPr>
      <t>017年净利润</t>
    </r>
    <phoneticPr fontId="234" type="noConversion"/>
  </si>
  <si>
    <t>——</t>
    <phoneticPr fontId="234" type="noConversion"/>
  </si>
  <si>
    <t>2018年1-5月净利润</t>
    <phoneticPr fontId="234" type="noConversion"/>
  </si>
  <si>
    <r>
      <t>前12个月</t>
    </r>
    <r>
      <rPr>
        <sz val="11"/>
        <color theme="1"/>
        <rFont val="宋体"/>
        <family val="3"/>
        <charset val="134"/>
        <scheme val="minor"/>
      </rPr>
      <t>平均净利润</t>
    </r>
    <phoneticPr fontId="234" type="noConversion"/>
  </si>
  <si>
    <t>修正系数</t>
    <phoneticPr fontId="234" type="noConversion"/>
  </si>
  <si>
    <t>员工月生活补助</t>
    <phoneticPr fontId="234" type="noConversion"/>
  </si>
  <si>
    <t>人数</t>
    <phoneticPr fontId="234" type="noConversion"/>
  </si>
  <si>
    <t>补偿金额(元/月）</t>
    <phoneticPr fontId="234" type="noConversion"/>
  </si>
  <si>
    <t>停产停业补偿期限</t>
    <phoneticPr fontId="234" type="noConversion"/>
  </si>
  <si>
    <t>期限（月）</t>
    <phoneticPr fontId="234" type="noConversion"/>
  </si>
  <si>
    <t>被征收房屋容积率小于0.5的修正</t>
    <phoneticPr fontId="234" type="noConversion"/>
  </si>
  <si>
    <t>02</t>
    <phoneticPr fontId="234" type="noConversion"/>
  </si>
  <si>
    <t>01</t>
    <phoneticPr fontId="234" type="noConversion"/>
  </si>
  <si>
    <t>钢混</t>
    <phoneticPr fontId="234" type="noConversion"/>
  </si>
  <si>
    <t>03(-01)</t>
    <phoneticPr fontId="234" type="noConversion"/>
  </si>
  <si>
    <t>06</t>
    <phoneticPr fontId="234" type="noConversion"/>
  </si>
  <si>
    <t>03</t>
    <phoneticPr fontId="234" type="noConversion"/>
  </si>
  <si>
    <t>04</t>
    <phoneticPr fontId="234" type="noConversion"/>
  </si>
  <si>
    <t>案例</t>
  </si>
  <si>
    <t>案例名称</t>
  </si>
  <si>
    <t>坐落位置</t>
  </si>
  <si>
    <r>
      <t>建筑面积（</t>
    </r>
    <r>
      <rPr>
        <sz val="10"/>
        <color theme="1"/>
        <rFont val="宋体"/>
        <family val="3"/>
        <charset val="134"/>
      </rPr>
      <t>㎡</t>
    </r>
    <r>
      <rPr>
        <sz val="10"/>
        <color theme="1"/>
        <rFont val="仿宋_GB2312"/>
        <family val="3"/>
        <charset val="134"/>
      </rPr>
      <t>）</t>
    </r>
  </si>
  <si>
    <t>装修状况</t>
  </si>
  <si>
    <t>交易日期</t>
  </si>
  <si>
    <t>成交租赁单价</t>
  </si>
  <si>
    <r>
      <t>（元/</t>
    </r>
    <r>
      <rPr>
        <sz val="10"/>
        <color theme="1"/>
        <rFont val="宋体"/>
        <family val="3"/>
        <charset val="134"/>
      </rPr>
      <t>㎡·</t>
    </r>
    <r>
      <rPr>
        <sz val="10"/>
        <color theme="1"/>
        <rFont val="仿宋_GB2312"/>
        <family val="3"/>
        <charset val="134"/>
      </rPr>
      <t>日）</t>
    </r>
  </si>
  <si>
    <t>海淀区北清路北侧工业用房</t>
  </si>
  <si>
    <t>海淀区北清路北侧</t>
  </si>
  <si>
    <t>简单装修</t>
  </si>
  <si>
    <t>海淀区双坡路北工业用房</t>
  </si>
  <si>
    <t>海淀区双坡路北</t>
  </si>
  <si>
    <t>海淀区冷泉路东侧工业用房</t>
  </si>
  <si>
    <t>海淀区冷泉路东侧</t>
  </si>
  <si>
    <t>估价对象</t>
  </si>
  <si>
    <t>实例A</t>
  </si>
  <si>
    <t>实例B</t>
  </si>
  <si>
    <t>实例C</t>
  </si>
  <si>
    <r>
      <t>成交租赁单价(元/</t>
    </r>
    <r>
      <rPr>
        <sz val="10"/>
        <color theme="1"/>
        <rFont val="宋体"/>
        <family val="3"/>
        <charset val="134"/>
      </rPr>
      <t>㎡·</t>
    </r>
    <r>
      <rPr>
        <sz val="10"/>
        <color theme="1"/>
        <rFont val="仿宋_GB2312"/>
        <family val="3"/>
        <charset val="134"/>
      </rPr>
      <t>日)</t>
    </r>
  </si>
  <si>
    <t>待 估</t>
  </si>
  <si>
    <t>用途</t>
  </si>
  <si>
    <t>交易情况</t>
  </si>
  <si>
    <t>正 常</t>
  </si>
  <si>
    <t>区位状况</t>
  </si>
  <si>
    <t>位置</t>
  </si>
  <si>
    <t>位于海淀区建材城中路东，北五环外，距离京藏高速路约2.7公里，位置较好</t>
  </si>
  <si>
    <t>位于海淀区北清路北侧，西北五环外，距离京新高速约5.5公里，位置较好</t>
  </si>
  <si>
    <t>位于海淀区双坡路北，西北五环外，距离西六环约3公里，位置较好</t>
  </si>
  <si>
    <t>位于海淀区冷泉路东侧，西北五环外，距离京新高速约7公里，位置较好</t>
  </si>
  <si>
    <t>产业集聚度</t>
  </si>
  <si>
    <t>周边以产业用地为主，兼有市政设施及居住、商服配套用地，西南向1公里为中关村东升科技园，产业集聚程度较好。</t>
  </si>
  <si>
    <t>周边以农村集体土地为主，邻近永丰产业园，产业集聚程度一般</t>
  </si>
  <si>
    <t>周边以农村集体土地为主，产业集聚程度一般</t>
  </si>
  <si>
    <t>以农村集体土地为主，兼有居住、教育配套用地，产业集聚程度一般</t>
  </si>
  <si>
    <t>交通条件</t>
  </si>
  <si>
    <t>周边路网密集，距离地铁8号线西小口站约1.6公里，附近设有公交车站，有多条公交线路通达，整体交通较便捷。</t>
  </si>
  <si>
    <t>周边路网密集，距离地铁16号线屯佃站约1.7公里，附近设有公交车站，有多条公交线路通达，整体交通较便捷。</t>
  </si>
  <si>
    <t>距离地铁16号线温阳路站约2.8公里，距离公交车站较远，整体交通便捷度一般。</t>
  </si>
  <si>
    <t>距离地铁16号线西北旺站约4.6公里，附近设有公交车站，有多条公交线路通达，整体交通便捷度一般。</t>
  </si>
  <si>
    <t>公共服务配套设施完备度</t>
  </si>
  <si>
    <t>医院、超市、学校、银行等配套设施较完备</t>
  </si>
  <si>
    <t>公共服务配套设施完备度较差</t>
  </si>
  <si>
    <t>环境状况</t>
  </si>
  <si>
    <t>环境状况较好</t>
  </si>
  <si>
    <t>实物状况</t>
  </si>
  <si>
    <t>建筑结构</t>
  </si>
  <si>
    <t>砖混结构</t>
  </si>
  <si>
    <t>建筑规模</t>
  </si>
  <si>
    <t>94.7平方米</t>
  </si>
  <si>
    <t>800平方米</t>
  </si>
  <si>
    <t>360平方米</t>
  </si>
  <si>
    <t>450平方米</t>
  </si>
  <si>
    <t>地质条件</t>
  </si>
  <si>
    <t>地质条件好，适合做建筑基地</t>
  </si>
  <si>
    <t>土地开发程度</t>
  </si>
  <si>
    <t>宗地外七通</t>
  </si>
  <si>
    <t>装饰装修</t>
  </si>
  <si>
    <t>新旧程度</t>
  </si>
  <si>
    <t>使用维护较差，成新一般</t>
  </si>
  <si>
    <t>权益状况</t>
  </si>
  <si>
    <t>共有情况</t>
  </si>
  <si>
    <t>单独所有</t>
  </si>
  <si>
    <t>担保物权设立状况</t>
  </si>
  <si>
    <t>无抵押权</t>
  </si>
  <si>
    <t>因素调整说明</t>
  </si>
  <si>
    <r>
      <t>成交租赁单价(元/</t>
    </r>
    <r>
      <rPr>
        <sz val="10"/>
        <color theme="1"/>
        <rFont val="宋体"/>
        <family val="3"/>
        <charset val="134"/>
      </rPr>
      <t>㎡·</t>
    </r>
    <r>
      <rPr>
        <sz val="10"/>
        <color theme="1"/>
        <rFont val="仿宋_GB2312"/>
        <family val="3"/>
        <charset val="134"/>
      </rPr>
      <t>日）</t>
    </r>
  </si>
  <si>
    <t>/</t>
  </si>
  <si>
    <t>估价对象的估价期日与可比案例交易日期接近，故此项不做调整。</t>
  </si>
  <si>
    <t>估价对象与比较案例均为工业用地上房屋，故此项不做调整。</t>
  </si>
  <si>
    <t>估价对象与可比案例交易情况均为公开市场条件下的正常交易，故此项不作修正。</t>
  </si>
  <si>
    <t>分为好、较好、一般、较差、差五个等级，每相差一个等级调整5。</t>
  </si>
  <si>
    <t>按好、较好、一般、较差、差五个等级，每相差一个等级调整3。</t>
  </si>
  <si>
    <t>按便捷、较便捷、一般、较不便捷、不便捷五个等级，每相差一个等级调整2。</t>
  </si>
  <si>
    <t>按完备、较完备、一般、较差、差五个等级，每相差一个等级调整1。</t>
  </si>
  <si>
    <t>分为好、较好、一般、较差、差五个等级，每相差一个等级调整1。</t>
  </si>
  <si>
    <t>实物状况　</t>
  </si>
  <si>
    <t>分为钢、钢混、砖混、砖木，每相差一个等级调整2。</t>
  </si>
  <si>
    <t>作为工业用房，估价对象房屋面积过小，因此，案例2、案例3向上调整2，案例1向上调整4。</t>
  </si>
  <si>
    <t>估价对象与可比案例地质条件好，都适合做建筑基地，故，不作调整。</t>
  </si>
  <si>
    <t>每相差一通，调整1。</t>
  </si>
  <si>
    <t>分为毛坯、简单装修、中等装修、精装修四个等级，每差一个等级调整3。</t>
  </si>
  <si>
    <t>分为高、较高、一般、较低、低五个等级，每相差一个等级调整3。</t>
  </si>
  <si>
    <t>权益状况　</t>
  </si>
  <si>
    <t>估价对象与可比案例均为单独所有，故不做调整。</t>
  </si>
  <si>
    <t>估价对象与可比案例均未设立抵押权，故不做调整。</t>
  </si>
  <si>
    <t>调整系数</t>
  </si>
  <si>
    <r>
      <t>比准价格（元/</t>
    </r>
    <r>
      <rPr>
        <sz val="10"/>
        <color theme="1"/>
        <rFont val="宋体"/>
        <family val="3"/>
        <charset val="134"/>
      </rPr>
      <t>㎡</t>
    </r>
    <r>
      <rPr>
        <sz val="10"/>
        <color theme="1"/>
        <rFont val="仿宋_GB2312"/>
        <family val="3"/>
        <charset val="134"/>
      </rPr>
      <t>/日）</t>
    </r>
  </si>
  <si>
    <r>
      <t>估价对象房屋租金（元/</t>
    </r>
    <r>
      <rPr>
        <sz val="10"/>
        <color theme="1"/>
        <rFont val="宋体"/>
        <family val="3"/>
        <charset val="134"/>
      </rPr>
      <t>㎡</t>
    </r>
    <r>
      <rPr>
        <sz val="10"/>
        <color theme="1"/>
        <rFont val="仿宋_GB2312"/>
        <family val="3"/>
        <charset val="134"/>
      </rPr>
      <t>/日）</t>
    </r>
  </si>
  <si>
    <t>取三个比准价格简单算术平均值</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</si>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</sst>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2"/>
      <charset val="134"/>
      <scheme val="minor"/>
    </font>
    <font>
      <u/>
      <sz val="12"/>
      <color indexed="12"/>
      <name val="宋体"/>
      <family val="3"/>
      <charset val="134"/>
    </font>
    <font>
      <b/>
      <sz val="9"/>
      <name val="宋体"/>
      <family val="3"/>
      <charset val="134"/>
    </font>
    <font>
      <b/>
      <vertAlign val="superscript"/>
      <sz val="9"/>
      <name val="宋体"/>
      <family val="3"/>
      <charset val="134"/>
    </font>
    <font>
      <sz val="11"/>
      <color theme="1"/>
      <name val="Arial"/>
      <family val="3"/>
      <charset val="134"/>
    </font>
    <font>
      <sz val="9"/>
      <color theme="1"/>
      <name val="宋体"/>
      <family val="3"/>
      <charset val="134"/>
    </font>
    <font>
      <sz val="9"/>
      <color theme="1"/>
      <name val="仿宋_GB2312"/>
      <family val="3"/>
      <charset val="134"/>
    </font>
    <font>
      <b/>
      <sz val="12"/>
      <color theme="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2" fillId="0" borderId="0">
      <alignment vertical="center"/>
    </xf>
    <xf numFmtId="0" fontId="1" fillId="0" borderId="0"/>
    <xf numFmtId="0" fontId="278" fillId="0" borderId="0">
      <alignment vertical="center"/>
    </xf>
    <xf numFmtId="0" fontId="278" fillId="0" borderId="0">
      <alignment vertical="center"/>
    </xf>
    <xf numFmtId="0" fontId="279" fillId="0" borderId="0" applyNumberFormat="0" applyFill="0" applyBorder="0" applyAlignment="0" applyProtection="0">
      <alignment vertical="top"/>
      <protection locked="0"/>
    </xf>
    <xf numFmtId="0" fontId="278" fillId="0" borderId="0">
      <alignment vertical="center"/>
    </xf>
    <xf numFmtId="0" fontId="82" fillId="0" borderId="0">
      <alignment vertical="center"/>
    </xf>
    <xf numFmtId="0" fontId="1" fillId="0" borderId="0"/>
  </cellStyleXfs>
  <cellXfs count="356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282" fillId="0" borderId="2" xfId="0" applyFont="1" applyBorder="1" applyAlignment="1" applyProtection="1">
      <alignment horizontal="center" vertical="center"/>
      <protection locked="0"/>
    </xf>
    <xf numFmtId="0" fontId="181" fillId="16" borderId="2" xfId="0" applyFont="1" applyFill="1" applyBorder="1" applyAlignment="1" applyProtection="1">
      <alignment horizontal="center" vertical="center"/>
      <protection locked="0"/>
    </xf>
    <xf numFmtId="0" fontId="280" fillId="6" borderId="2" xfId="21" applyFont="1" applyFill="1" applyBorder="1" applyAlignment="1">
      <alignment horizontal="center" vertical="center" wrapText="1" readingOrder="1"/>
    </xf>
    <xf numFmtId="177" fontId="128" fillId="0" borderId="2" xfId="22" applyNumberFormat="1" applyFont="1" applyFill="1" applyBorder="1" applyAlignment="1">
      <alignment horizontal="center" vertical="center" wrapText="1"/>
    </xf>
    <xf numFmtId="177" fontId="83" fillId="0" borderId="2" xfId="22" applyNumberFormat="1" applyFont="1" applyBorder="1" applyAlignment="1">
      <alignment horizontal="center" vertical="center" wrapText="1"/>
    </xf>
    <xf numFmtId="185" fontId="128" fillId="0" borderId="2" xfId="22" applyNumberFormat="1" applyFont="1" applyBorder="1" applyAlignment="1">
      <alignment horizontal="center" vertical="center" wrapText="1"/>
    </xf>
    <xf numFmtId="49" fontId="83" fillId="0" borderId="2" xfId="22" applyNumberFormat="1" applyFont="1" applyFill="1" applyBorder="1" applyAlignment="1">
      <alignment horizontal="center" vertical="center"/>
    </xf>
    <xf numFmtId="177" fontId="128" fillId="0" borderId="2" xfId="22" applyNumberFormat="1" applyFont="1" applyBorder="1" applyAlignment="1">
      <alignment horizontal="center" vertical="center" wrapText="1"/>
    </xf>
    <xf numFmtId="0" fontId="146" fillId="0" borderId="0" xfId="1">
      <alignment vertical="center"/>
    </xf>
    <xf numFmtId="0" fontId="150" fillId="0" borderId="0" xfId="1" applyFont="1" applyAlignment="1">
      <alignment horizontal="center" vertical="center"/>
    </xf>
    <xf numFmtId="0" fontId="146" fillId="0" borderId="0" xfId="1" applyFont="1">
      <alignment vertical="center"/>
    </xf>
    <xf numFmtId="0" fontId="168" fillId="0" borderId="50" xfId="1" applyFont="1" applyBorder="1" applyAlignment="1">
      <alignment horizontal="center" vertical="center"/>
    </xf>
    <xf numFmtId="0" fontId="150" fillId="0" borderId="21" xfId="1" applyFont="1" applyBorder="1" applyAlignment="1">
      <alignment horizontal="center" vertical="center"/>
    </xf>
    <xf numFmtId="49" fontId="150" fillId="0" borderId="21" xfId="1" applyNumberFormat="1" applyFont="1" applyBorder="1" applyAlignment="1">
      <alignment horizontal="center" vertical="center"/>
    </xf>
    <xf numFmtId="2" fontId="150" fillId="0" borderId="21" xfId="1" applyNumberFormat="1" applyFont="1" applyBorder="1" applyAlignment="1">
      <alignment horizontal="center" vertical="center"/>
    </xf>
    <xf numFmtId="1" fontId="150" fillId="0" borderId="21" xfId="1" applyNumberFormat="1" applyFont="1" applyBorder="1" applyAlignment="1">
      <alignment horizontal="center" vertical="center"/>
    </xf>
    <xf numFmtId="9" fontId="150" fillId="0" borderId="21" xfId="1" applyNumberFormat="1" applyFont="1" applyBorder="1" applyAlignment="1">
      <alignment horizontal="center" vertical="center"/>
    </xf>
    <xf numFmtId="2" fontId="150" fillId="0" borderId="51" xfId="1" applyNumberFormat="1" applyFont="1" applyBorder="1" applyAlignment="1">
      <alignment horizontal="center" vertical="center"/>
    </xf>
    <xf numFmtId="0" fontId="168" fillId="19" borderId="11" xfId="1" applyFont="1" applyFill="1" applyBorder="1" applyAlignment="1">
      <alignment horizontal="center" vertical="center"/>
    </xf>
    <xf numFmtId="0" fontId="150" fillId="19" borderId="2" xfId="1" applyFont="1" applyFill="1" applyBorder="1" applyAlignment="1">
      <alignment horizontal="center" vertical="center"/>
    </xf>
    <xf numFmtId="49" fontId="150" fillId="19" borderId="2" xfId="1" applyNumberFormat="1" applyFont="1" applyFill="1" applyBorder="1" applyAlignment="1">
      <alignment horizontal="center" vertical="center"/>
    </xf>
    <xf numFmtId="2" fontId="150" fillId="19" borderId="2" xfId="1" applyNumberFormat="1" applyFont="1" applyFill="1" applyBorder="1" applyAlignment="1">
      <alignment horizontal="center" vertical="center"/>
    </xf>
    <xf numFmtId="9" fontId="150" fillId="19" borderId="2" xfId="1" applyNumberFormat="1" applyFont="1" applyFill="1" applyBorder="1" applyAlignment="1">
      <alignment horizontal="center" vertical="center"/>
    </xf>
    <xf numFmtId="2" fontId="150" fillId="19" borderId="12" xfId="1" applyNumberFormat="1" applyFont="1" applyFill="1" applyBorder="1" applyAlignment="1">
      <alignment horizontal="center" vertical="center"/>
    </xf>
    <xf numFmtId="0" fontId="168" fillId="0" borderId="11" xfId="1" applyFont="1" applyBorder="1" applyAlignment="1">
      <alignment horizontal="center" vertical="center"/>
    </xf>
    <xf numFmtId="0" fontId="150" fillId="0" borderId="2" xfId="1" applyFont="1" applyBorder="1" applyAlignment="1">
      <alignment horizontal="center" vertical="center"/>
    </xf>
    <xf numFmtId="49" fontId="150" fillId="0" borderId="2" xfId="1" applyNumberFormat="1" applyFont="1" applyBorder="1" applyAlignment="1">
      <alignment horizontal="center" vertical="center"/>
    </xf>
    <xf numFmtId="2" fontId="150" fillId="0" borderId="2" xfId="1" applyNumberFormat="1" applyFont="1" applyBorder="1" applyAlignment="1">
      <alignment horizontal="center" vertical="center"/>
    </xf>
    <xf numFmtId="9" fontId="150" fillId="0" borderId="2" xfId="1" applyNumberFormat="1" applyFont="1" applyBorder="1" applyAlignment="1">
      <alignment horizontal="center" vertical="center"/>
    </xf>
    <xf numFmtId="2" fontId="150" fillId="0" borderId="12" xfId="1" applyNumberFormat="1" applyFont="1" applyBorder="1" applyAlignment="1">
      <alignment horizontal="center" vertical="center"/>
    </xf>
    <xf numFmtId="0" fontId="150" fillId="0" borderId="11" xfId="1" applyFont="1" applyBorder="1" applyAlignment="1">
      <alignment horizontal="center" vertical="center"/>
    </xf>
    <xf numFmtId="0" fontId="150" fillId="19" borderId="11" xfId="1" applyFont="1" applyFill="1" applyBorder="1" applyAlignment="1">
      <alignment horizontal="center" vertical="center"/>
    </xf>
    <xf numFmtId="0" fontId="168" fillId="18" borderId="154" xfId="1" applyFont="1" applyFill="1" applyBorder="1" applyAlignment="1">
      <alignment horizontal="center" vertical="center"/>
    </xf>
    <xf numFmtId="0" fontId="150" fillId="18" borderId="155" xfId="1" applyFont="1" applyFill="1" applyBorder="1" applyAlignment="1">
      <alignment horizontal="center" vertical="center"/>
    </xf>
    <xf numFmtId="49" fontId="150" fillId="18" borderId="155" xfId="1" applyNumberFormat="1" applyFont="1" applyFill="1" applyBorder="1" applyAlignment="1">
      <alignment horizontal="center" vertical="center"/>
    </xf>
    <xf numFmtId="2" fontId="150" fillId="18" borderId="155" xfId="1" applyNumberFormat="1" applyFont="1" applyFill="1" applyBorder="1" applyAlignment="1">
      <alignment horizontal="center" vertical="center"/>
    </xf>
    <xf numFmtId="2" fontId="150" fillId="18" borderId="156" xfId="1" applyNumberFormat="1" applyFont="1" applyFill="1" applyBorder="1" applyAlignment="1">
      <alignment horizontal="center" vertical="center"/>
    </xf>
    <xf numFmtId="0" fontId="168" fillId="19" borderId="2" xfId="1" applyFont="1" applyFill="1" applyBorder="1" applyAlignment="1">
      <alignment horizontal="center" vertical="center"/>
    </xf>
    <xf numFmtId="49" fontId="150" fillId="0" borderId="0" xfId="1" applyNumberFormat="1" applyFont="1" applyAlignment="1">
      <alignment horizontal="center"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168" fillId="0" borderId="11" xfId="1" applyFont="1" applyBorder="1" applyAlignment="1">
      <alignment vertical="center"/>
    </xf>
    <xf numFmtId="49" fontId="168" fillId="0" borderId="2" xfId="1" applyNumberFormat="1" applyFont="1" applyBorder="1" applyAlignment="1">
      <alignment horizontal="center" vertical="center"/>
    </xf>
    <xf numFmtId="49" fontId="168" fillId="19" borderId="2" xfId="1" applyNumberFormat="1" applyFont="1" applyFill="1" applyBorder="1" applyAlignment="1">
      <alignment horizontal="center" vertical="center"/>
    </xf>
    <xf numFmtId="49" fontId="150" fillId="16" borderId="2" xfId="1" applyNumberFormat="1" applyFont="1" applyFill="1" applyBorder="1" applyAlignment="1">
      <alignment horizontal="center" vertical="center"/>
    </xf>
    <xf numFmtId="1" fontId="150" fillId="19" borderId="2" xfId="1" applyNumberFormat="1" applyFont="1" applyFill="1" applyBorder="1" applyAlignment="1">
      <alignment horizontal="center" vertical="center"/>
    </xf>
    <xf numFmtId="1" fontId="150" fillId="0" borderId="2" xfId="1" applyNumberFormat="1" applyFont="1" applyBorder="1" applyAlignment="1">
      <alignment horizontal="center" vertical="center"/>
    </xf>
    <xf numFmtId="0" fontId="150" fillId="16" borderId="21" xfId="1" applyFont="1" applyFill="1" applyBorder="1" applyAlignment="1">
      <alignment horizontal="center" vertical="center"/>
    </xf>
    <xf numFmtId="0" fontId="150" fillId="16" borderId="2" xfId="1" applyFont="1" applyFill="1" applyBorder="1" applyAlignment="1">
      <alignment horizontal="center"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80" fillId="6" borderId="10" xfId="21" applyFont="1" applyFill="1" applyBorder="1" applyAlignment="1">
      <alignment horizontal="center" vertical="center" wrapText="1" readingOrder="1"/>
    </xf>
    <xf numFmtId="0" fontId="280" fillId="6" borderId="21" xfId="21" applyFont="1" applyFill="1" applyBorder="1" applyAlignment="1">
      <alignment horizontal="center" vertical="center" wrapText="1" readingOrder="1"/>
    </xf>
    <xf numFmtId="0" fontId="280" fillId="6" borderId="2" xfId="21" applyFont="1" applyFill="1" applyBorder="1" applyAlignment="1">
      <alignment horizontal="center" vertical="center" wrapText="1" readingOrder="1"/>
    </xf>
    <xf numFmtId="0" fontId="1" fillId="6" borderId="21" xfId="22" applyFill="1" applyBorder="1" applyAlignment="1">
      <alignment horizontal="center" vertical="center"/>
    </xf>
    <xf numFmtId="0" fontId="147" fillId="17"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5" xfId="1" applyFont="1" applyBorder="1" applyAlignment="1">
      <alignment horizontal="center" vertical="center"/>
    </xf>
    <xf numFmtId="0" fontId="146" fillId="0" borderId="9" xfId="1" applyFont="1" applyBorder="1" applyAlignment="1">
      <alignment horizontal="center" vertical="center"/>
    </xf>
    <xf numFmtId="0" fontId="146" fillId="8" borderId="2" xfId="1" applyFill="1" applyBorder="1" applyAlignment="1">
      <alignment horizontal="center" vertical="center"/>
    </xf>
    <xf numFmtId="0" fontId="174" fillId="18" borderId="35" xfId="1" applyFont="1" applyFill="1" applyBorder="1" applyAlignment="1">
      <alignment horizontal="center" vertical="center" wrapText="1"/>
    </xf>
    <xf numFmtId="0" fontId="174" fillId="18" borderId="153" xfId="1" applyFont="1" applyFill="1" applyBorder="1" applyAlignment="1">
      <alignment horizontal="center" vertical="center" wrapText="1"/>
    </xf>
    <xf numFmtId="0" fontId="283" fillId="18" borderId="35" xfId="1" applyFont="1" applyFill="1" applyBorder="1" applyAlignment="1">
      <alignment horizontal="center" vertical="center" wrapText="1"/>
    </xf>
    <xf numFmtId="49" fontId="174" fillId="18" borderId="35" xfId="1" applyNumberFormat="1" applyFont="1" applyFill="1" applyBorder="1" applyAlignment="1">
      <alignment horizontal="center" vertical="center" wrapText="1"/>
    </xf>
    <xf numFmtId="49" fontId="174" fillId="18" borderId="153" xfId="1" applyNumberFormat="1" applyFont="1" applyFill="1" applyBorder="1" applyAlignment="1">
      <alignment horizontal="center" vertical="center" wrapText="1"/>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66" fillId="13" borderId="39" xfId="0" applyFont="1" applyFill="1" applyBorder="1" applyAlignment="1">
      <alignment horizontal="center" vertical="center" wrapText="1"/>
    </xf>
    <xf numFmtId="0" fontId="166" fillId="13" borderId="66" xfId="0" applyFont="1" applyFill="1" applyBorder="1" applyAlignment="1">
      <alignment horizontal="center" vertical="center" wrapText="1"/>
    </xf>
    <xf numFmtId="0" fontId="166" fillId="0" borderId="80" xfId="0" applyFont="1" applyBorder="1" applyAlignment="1">
      <alignment horizontal="center" vertical="center" wrapText="1"/>
    </xf>
    <xf numFmtId="0" fontId="284" fillId="13" borderId="66" xfId="0" applyFont="1" applyFill="1" applyBorder="1" applyAlignment="1">
      <alignment horizontal="center" vertical="center" wrapText="1"/>
    </xf>
    <xf numFmtId="0" fontId="166" fillId="0" borderId="66" xfId="0" applyFont="1" applyBorder="1" applyAlignment="1">
      <alignment horizontal="center" vertical="center" wrapText="1"/>
    </xf>
    <xf numFmtId="0" fontId="166" fillId="13" borderId="35" xfId="0" applyFont="1" applyFill="1" applyBorder="1" applyAlignment="1">
      <alignment horizontal="center" vertical="center" wrapText="1"/>
    </xf>
    <xf numFmtId="0" fontId="166" fillId="13" borderId="80" xfId="0" applyFont="1" applyFill="1" applyBorder="1" applyAlignment="1">
      <alignment horizontal="center" vertical="center" wrapText="1"/>
    </xf>
    <xf numFmtId="0" fontId="166" fillId="0" borderId="38" xfId="0" applyFont="1" applyBorder="1" applyAlignment="1">
      <alignment horizontal="center" vertical="center" wrapText="1"/>
    </xf>
    <xf numFmtId="0" fontId="284" fillId="0" borderId="66" xfId="0" applyFont="1" applyBorder="1" applyAlignment="1">
      <alignment horizontal="center" vertical="center" wrapText="1"/>
    </xf>
    <xf numFmtId="0" fontId="166" fillId="0" borderId="66" xfId="0" applyFont="1" applyBorder="1" applyAlignment="1">
      <alignment horizontal="center" vertical="center"/>
    </xf>
    <xf numFmtId="0" fontId="166" fillId="0" borderId="36" xfId="0" applyFont="1" applyBorder="1" applyAlignment="1">
      <alignment horizontal="center" vertical="center" wrapText="1"/>
    </xf>
    <xf numFmtId="0" fontId="166" fillId="0" borderId="38" xfId="0" applyFont="1" applyBorder="1" applyAlignment="1">
      <alignment horizontal="center" vertical="center" wrapText="1"/>
    </xf>
    <xf numFmtId="0" fontId="166" fillId="0" borderId="79" xfId="0" applyFont="1" applyBorder="1" applyAlignment="1">
      <alignment horizontal="center" vertical="center" textRotation="255" wrapText="1"/>
    </xf>
    <xf numFmtId="0" fontId="166" fillId="0" borderId="35" xfId="0" applyFont="1" applyBorder="1" applyAlignment="1">
      <alignment horizontal="center" vertical="center" textRotation="255" wrapText="1"/>
    </xf>
    <xf numFmtId="0" fontId="166" fillId="0" borderId="80" xfId="0" applyFont="1" applyBorder="1" applyAlignment="1">
      <alignment horizontal="center" vertical="center" textRotation="255" wrapText="1"/>
    </xf>
    <xf numFmtId="0" fontId="166" fillId="0" borderId="35" xfId="0" applyFont="1" applyBorder="1" applyAlignment="1">
      <alignment horizontal="center" vertical="center" wrapText="1"/>
    </xf>
    <xf numFmtId="0" fontId="166" fillId="0" borderId="80" xfId="0" applyFont="1" applyBorder="1" applyAlignment="1">
      <alignment horizontal="center" vertical="center" wrapText="1"/>
    </xf>
    <xf numFmtId="0" fontId="285" fillId="0" borderId="0" xfId="0" applyFont="1" applyAlignment="1">
      <alignment horizontal="center" vertical="center"/>
    </xf>
    <xf numFmtId="0" fontId="166" fillId="0" borderId="61" xfId="0" applyFont="1" applyBorder="1" applyAlignment="1">
      <alignment horizontal="center" vertical="center" wrapText="1"/>
    </xf>
    <xf numFmtId="0" fontId="166" fillId="0" borderId="61" xfId="0" applyFont="1" applyBorder="1" applyAlignment="1">
      <alignment horizontal="right" vertical="center" wrapText="1"/>
    </xf>
    <xf numFmtId="0" fontId="166" fillId="0" borderId="66" xfId="0" applyFont="1" applyBorder="1" applyAlignment="1">
      <alignment horizontal="left" vertical="center" wrapText="1"/>
    </xf>
    <xf numFmtId="0" fontId="166" fillId="0" borderId="37" xfId="0" applyFont="1" applyBorder="1" applyAlignment="1">
      <alignment horizontal="center" vertical="center" wrapText="1"/>
    </xf>
    <xf numFmtId="0" fontId="166" fillId="0" borderId="36" xfId="0" applyFont="1" applyBorder="1" applyAlignment="1">
      <alignment horizontal="center" vertical="center"/>
    </xf>
    <xf numFmtId="0" fontId="166" fillId="0" borderId="38" xfId="0" applyFont="1" applyBorder="1" applyAlignment="1">
      <alignment horizontal="center" vertical="center"/>
    </xf>
    <xf numFmtId="0" fontId="166" fillId="0" borderId="37" xfId="0" applyFont="1" applyBorder="1" applyAlignment="1">
      <alignment horizontal="center" vertical="center"/>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北京市海淀区清河安宁庄东路1号出让国有建设用地使用权市场价格预评估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受贵公司委托，我公司对北京市海淀区清河安宁庄东路1号出让国有建设用地使用权市场价格进行了预评估。</v>
      </c>
      <c r="AM6" s="2904"/>
    </row>
    <row r="7" spans="1:55" s="2878" customFormat="1">
      <c r="A7" s="2879" t="s">
        <v>2660</v>
      </c>
      <c r="B7" s="2880" t="str">
        <f>'预评函-1'!A6</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57858.8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2018年11月6日（评估专业人员勘察现场之日）</v>
      </c>
    </row>
    <row r="11" spans="1:55" s="2878" customFormat="1">
      <c r="A11" s="2879" t="s">
        <v>2668</v>
      </c>
      <c r="B11" s="2880" t="str">
        <f>'预评函-1'!A14</f>
        <v>根据《国有土地使用证》[]，本次评估估价对象证载（地类）用途为工交。</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根据《国有土地使用证》[]，估价对象（分摊）出让国有建设用地使用权面积为130380.53平方米。根据《建设工程规划许可证》[]、《出让合同》[]，估价对象规划建筑面积为57858.8平方米。</v>
      </c>
    </row>
    <row r="16" spans="1:55" s="2878" customFormat="1">
      <c r="A16" s="2879" t="s">
        <v>2672</v>
      </c>
      <c r="B16" s="2880" t="str">
        <f>'预评函-1'!A22</f>
        <v>本次估价对象为出让国有建设用地使用权，《国有土地使用证》[]证载土地终止日期为工业2050年6月6日。截至估价期日，出让国有建设用地使用权剩余土地使用年限为。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估价期日：2018年11月6日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工交</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130380.53</v>
      </c>
    </row>
    <row r="44" spans="1:2">
      <c r="A44" s="2879" t="s">
        <v>2743</v>
      </c>
      <c r="B44" s="2880" t="str">
        <f>'预评函-2'!O3</f>
        <v>规划建筑面积/㎡</v>
      </c>
    </row>
    <row r="45" spans="1:2">
      <c r="A45" s="2879" t="s">
        <v>2725</v>
      </c>
      <c r="B45" s="2880">
        <f>'预评函-2'!O5</f>
        <v>57858.8</v>
      </c>
    </row>
    <row r="46" spans="1:2">
      <c r="A46" s="2879" t="s">
        <v>2726</v>
      </c>
      <c r="B46" s="2880">
        <f ca="1">'预评函-2'!P5</f>
        <v>6299</v>
      </c>
    </row>
    <row r="47" spans="1:2">
      <c r="A47" s="2879" t="s">
        <v>2727</v>
      </c>
      <c r="B47" s="2880">
        <f ca="1">'预评函-2'!Q5</f>
        <v>14194</v>
      </c>
    </row>
    <row r="48" spans="1:2">
      <c r="A48" s="2879" t="s">
        <v>2728</v>
      </c>
      <c r="B48" s="2880">
        <f ca="1">'预评函-2'!R5</f>
        <v>82125</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5" sqref="H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77" t="str">
        <f>IF(B10="北京市","北京市",C10)&amp;F10&amp;B16&amp;"国有建设用地使用权"&amp;B9&amp;"预评估"</f>
        <v>北京市海淀区清河安宁庄东路1号出让国有建设用地使用权市场价格预评估</v>
      </c>
      <c r="C1" s="3278"/>
      <c r="D1" s="3278"/>
      <c r="E1" s="3278"/>
      <c r="F1" s="3278"/>
      <c r="G1" s="3278"/>
      <c r="H1" s="3278"/>
      <c r="I1" s="3279"/>
      <c r="J1" s="1694"/>
      <c r="K1" s="2456" t="str">
        <f>IF(B10="北京市","北京市",C10)&amp;F10&amp;B16&amp;"国有建设用地使用权"&amp;B9</f>
        <v>北京市海淀区清河安宁庄东路1号出让国有建设用地使用权市场价格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北京市海淀区清河安宁庄东路1号出让国有建设用地使用权</v>
      </c>
      <c r="L2" s="1723"/>
      <c r="M2" s="1723"/>
      <c r="N2" s="1694"/>
      <c r="O2" s="1695"/>
      <c r="P2" s="1694"/>
      <c r="Q2" s="1694"/>
      <c r="R2" s="1694"/>
      <c r="S2" s="1694"/>
      <c r="T2" s="1694"/>
      <c r="U2" s="1694"/>
    </row>
    <row r="3" spans="1:21">
      <c r="A3" s="1661" t="s">
        <v>1942</v>
      </c>
      <c r="B3" s="1662">
        <v>43410</v>
      </c>
      <c r="C3" s="1663" t="s">
        <v>1998</v>
      </c>
      <c r="D3" s="1662">
        <f>B3</f>
        <v>43410</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3015</v>
      </c>
      <c r="C8" s="1671"/>
      <c r="D8" s="3283"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3016</v>
      </c>
      <c r="C9" s="1675"/>
      <c r="D9" s="328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3017</v>
      </c>
      <c r="G10" s="1745"/>
      <c r="H10" s="1746"/>
      <c r="I10" s="1667"/>
      <c r="J10" s="1694"/>
      <c r="K10" s="1774"/>
      <c r="L10" s="1723"/>
      <c r="M10" s="1723"/>
      <c r="N10" s="1694"/>
      <c r="O10" s="1695"/>
      <c r="P10" s="1694"/>
      <c r="Q10" s="1694"/>
      <c r="R10" s="1694"/>
      <c r="S10" s="1694"/>
      <c r="T10" s="1694"/>
      <c r="U10" s="1694"/>
    </row>
    <row r="11" spans="1:21" ht="28.5">
      <c r="A11" s="1697" t="s">
        <v>2003</v>
      </c>
      <c r="B11" s="1698" t="s">
        <v>3018</v>
      </c>
      <c r="C11" s="1679" t="s">
        <v>3019</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0" t="s">
        <v>3020</v>
      </c>
      <c r="C12" s="3281"/>
      <c r="D12" s="3282"/>
      <c r="E12" s="1699" t="s">
        <v>2064</v>
      </c>
      <c r="F12" s="3298" t="s">
        <v>2892</v>
      </c>
      <c r="G12" s="3299"/>
      <c r="H12" s="3299"/>
      <c r="I12" s="3300"/>
      <c r="J12" s="1694"/>
      <c r="K12" s="1774"/>
      <c r="L12" s="1723"/>
      <c r="M12" s="1723"/>
      <c r="N12" s="1694"/>
      <c r="O12" s="1695"/>
      <c r="P12" s="1694"/>
      <c r="Q12" s="1694"/>
      <c r="R12" s="1694"/>
      <c r="S12" s="1694"/>
      <c r="T12" s="1694"/>
      <c r="U12" s="1694"/>
    </row>
    <row r="13" spans="1:21">
      <c r="A13" s="1687" t="s">
        <v>2062</v>
      </c>
      <c r="B13" s="3280"/>
      <c r="C13" s="3281"/>
      <c r="D13" s="3282"/>
      <c r="E13" s="1699" t="s">
        <v>2064</v>
      </c>
      <c r="F13" s="3298" t="s">
        <v>2893</v>
      </c>
      <c r="G13" s="3299"/>
      <c r="H13" s="3299"/>
      <c r="I13" s="3300"/>
      <c r="J13" s="1694"/>
      <c r="K13" s="1774"/>
      <c r="L13" s="1723"/>
      <c r="M13" s="1723"/>
      <c r="N13" s="1694"/>
      <c r="O13" s="1695"/>
      <c r="P13" s="1694"/>
      <c r="Q13" s="1694"/>
      <c r="R13" s="1694"/>
      <c r="S13" s="1694"/>
      <c r="T13" s="1694"/>
      <c r="U13" s="1694"/>
    </row>
    <row r="14" spans="1:21">
      <c r="A14" s="1661" t="s">
        <v>2065</v>
      </c>
      <c r="B14" s="1699"/>
      <c r="C14" s="1845" t="s">
        <v>3021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3022</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工业2050年6月6日</v>
      </c>
    </row>
    <row r="17" spans="1:21">
      <c r="A17" s="1763"/>
      <c r="B17" s="1682"/>
      <c r="C17" s="1683" t="s">
        <v>1958</v>
      </c>
      <c r="D17" s="1700"/>
      <c r="E17" s="1700"/>
      <c r="F17" s="1700"/>
      <c r="G17" s="1700"/>
      <c r="H17" s="1700"/>
      <c r="I17" s="1700">
        <v>54945</v>
      </c>
      <c r="J17" s="1694"/>
      <c r="K17" s="2456" t="str">
        <f>CONCATENATE(K16,L16,M16,N16,O16,P16,Q16,R16,S16,T16,,U16)</f>
        <v>工业2050年6月6日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31.6</v>
      </c>
      <c r="J19" s="1694"/>
      <c r="K19" s="1774"/>
      <c r="L19" s="1723"/>
      <c r="M19" s="1723"/>
      <c r="N19" s="1694"/>
      <c r="O19" s="1695"/>
      <c r="P19" s="1694"/>
      <c r="Q19" s="1694"/>
      <c r="R19" s="1694"/>
      <c r="S19" s="1694"/>
      <c r="T19" s="1694"/>
      <c r="U19" s="1694"/>
    </row>
    <row r="20" spans="1:21">
      <c r="A20" s="1786"/>
      <c r="B20" s="1787"/>
      <c r="C20" s="1788" t="s">
        <v>2063</v>
      </c>
      <c r="D20" s="3295"/>
      <c r="E20" s="3296"/>
      <c r="F20" s="3296"/>
      <c r="G20" s="3296"/>
      <c r="H20" s="3296"/>
      <c r="I20" s="3297"/>
      <c r="J20" s="1694"/>
      <c r="K20" s="1774"/>
      <c r="L20" s="1723"/>
      <c r="M20" s="1723"/>
      <c r="N20" s="1694"/>
      <c r="O20" s="1695"/>
      <c r="P20" s="1694"/>
      <c r="Q20" s="1694"/>
      <c r="R20" s="1694"/>
      <c r="S20" s="1694"/>
      <c r="T20" s="1694"/>
      <c r="U20" s="1694"/>
    </row>
    <row r="21" spans="1:21">
      <c r="A21" s="1763" t="s">
        <v>1961</v>
      </c>
      <c r="B21" s="1764" t="s">
        <v>1962</v>
      </c>
      <c r="C21" s="1759">
        <f>'数据-汇总表'!E3</f>
        <v>57858.8</v>
      </c>
      <c r="D21" s="1760" t="s">
        <v>1963</v>
      </c>
      <c r="E21" s="3285" t="s">
        <v>2001</v>
      </c>
      <c r="F21" s="3286"/>
      <c r="G21" s="3286"/>
      <c r="H21" s="3286"/>
      <c r="I21" s="3287"/>
      <c r="J21" s="1694"/>
      <c r="K21" s="1774"/>
      <c r="L21" s="1723"/>
      <c r="M21" s="1723"/>
      <c r="N21" s="1694"/>
      <c r="O21" s="1695"/>
      <c r="P21" s="1694"/>
      <c r="Q21" s="1694"/>
      <c r="R21" s="1694"/>
      <c r="S21" s="1694"/>
      <c r="T21" s="1694"/>
      <c r="U21" s="1694"/>
    </row>
    <row r="22" spans="1:21">
      <c r="A22" s="3150" t="s">
        <v>952</v>
      </c>
      <c r="B22" s="1661" t="s">
        <v>1964</v>
      </c>
      <c r="C22" s="1686">
        <f>'数据-汇总表'!D3</f>
        <v>130380.53</v>
      </c>
      <c r="D22" s="1687" t="s">
        <v>1963</v>
      </c>
      <c r="E22" s="3285" t="s">
        <v>2894</v>
      </c>
      <c r="F22" s="3286"/>
      <c r="G22" s="3286"/>
      <c r="H22" s="3286"/>
      <c r="I22" s="3287"/>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88" t="s">
        <v>1969</v>
      </c>
      <c r="C24" s="3289"/>
      <c r="D24" s="3290" t="s">
        <v>1970</v>
      </c>
      <c r="E24" s="3291"/>
      <c r="F24" s="1708" t="s">
        <v>1971</v>
      </c>
      <c r="G24" s="1694"/>
      <c r="H24" s="1694"/>
      <c r="I24" s="1707"/>
      <c r="J24" s="1694"/>
      <c r="K24" s="3276"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7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7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2" t="s">
        <v>2004</v>
      </c>
      <c r="B31" s="1764" t="s">
        <v>2005</v>
      </c>
      <c r="C31" s="3301"/>
      <c r="D31" s="3302"/>
      <c r="E31" s="1694"/>
      <c r="F31" s="1694"/>
      <c r="G31" s="1694"/>
      <c r="H31" s="1694"/>
      <c r="I31" s="1707"/>
      <c r="J31" s="1694"/>
      <c r="K31" s="2459"/>
      <c r="L31" s="1694"/>
      <c r="M31" s="1694"/>
      <c r="N31" s="1694"/>
      <c r="O31" s="1694"/>
      <c r="P31" s="1694"/>
      <c r="Q31" s="1694"/>
      <c r="R31" s="1694"/>
      <c r="S31" s="1694"/>
      <c r="T31" s="1694"/>
      <c r="U31" s="1694"/>
    </row>
    <row r="32" spans="1:21">
      <c r="A32" s="3262"/>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62"/>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3"/>
      <c r="B34" s="1661" t="s">
        <v>2008</v>
      </c>
      <c r="C34" s="3264"/>
      <c r="D34" s="3265"/>
      <c r="E34" s="1694"/>
      <c r="F34" s="1694"/>
      <c r="G34" s="1694"/>
      <c r="H34" s="1694"/>
      <c r="I34" s="1707"/>
      <c r="J34" s="1694"/>
      <c r="K34" s="2459"/>
      <c r="L34" s="1694"/>
      <c r="M34" s="1694"/>
      <c r="N34" s="1694"/>
      <c r="O34" s="1694"/>
      <c r="P34" s="1694"/>
      <c r="Q34" s="1694"/>
      <c r="R34" s="1694"/>
      <c r="S34" s="1694"/>
      <c r="T34" s="1694"/>
      <c r="U34" s="1694"/>
    </row>
    <row r="35" spans="1:21">
      <c r="A35" s="3266" t="s">
        <v>847</v>
      </c>
      <c r="B35" s="1722"/>
      <c r="C35" s="1776" t="str">
        <f>IF(B35="场地平整","——","具体情况：")</f>
        <v>具体情况：</v>
      </c>
      <c r="D35" s="3268"/>
      <c r="E35" s="3269"/>
      <c r="F35" s="3269"/>
      <c r="G35" s="3269"/>
      <c r="H35" s="3269"/>
      <c r="I35" s="3270"/>
      <c r="J35" s="1694"/>
      <c r="K35" s="1775"/>
      <c r="L35" s="1723"/>
      <c r="M35" s="1723"/>
      <c r="N35" s="1694"/>
      <c r="O35" s="1695"/>
      <c r="P35" s="1694"/>
      <c r="Q35" s="1694"/>
      <c r="R35" s="1694"/>
      <c r="S35" s="1694"/>
      <c r="T35" s="1694"/>
      <c r="U35" s="1694"/>
    </row>
    <row r="36" spans="1:21">
      <c r="A36" s="3262"/>
      <c r="B36" s="3271" t="s">
        <v>2057</v>
      </c>
      <c r="C36" s="3272"/>
      <c r="D36" s="1792"/>
      <c r="E36" s="3273"/>
      <c r="F36" s="3273"/>
      <c r="G36" s="1687" t="str">
        <f>IF(B35="场地未平整","估价结果处理","")</f>
        <v/>
      </c>
      <c r="H36" s="3274"/>
      <c r="I36" s="3274"/>
      <c r="J36" s="1694"/>
      <c r="K36" s="1775"/>
      <c r="L36" s="1723"/>
      <c r="M36" s="1723"/>
      <c r="N36" s="1694"/>
      <c r="O36" s="1695"/>
      <c r="P36" s="1694"/>
      <c r="Q36" s="1694"/>
      <c r="R36" s="1694"/>
      <c r="S36" s="1694"/>
      <c r="T36" s="1694"/>
      <c r="U36" s="1694"/>
    </row>
    <row r="37" spans="1:21" ht="28.5">
      <c r="A37" s="3262"/>
      <c r="B37" s="329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2"/>
      <c r="B38" s="3293"/>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63"/>
      <c r="B39" s="329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75" t="s">
        <v>1988</v>
      </c>
      <c r="T40" s="1731" t="str">
        <f>NUMBERSTRING(7-K40,1)&amp;"通"</f>
        <v>七通</v>
      </c>
      <c r="U40" s="1694"/>
    </row>
    <row r="41" spans="1:21">
      <c r="A41" s="1663"/>
      <c r="B41" s="3267" t="s">
        <v>1722</v>
      </c>
      <c r="C41" s="3267"/>
      <c r="D41" s="3267"/>
      <c r="E41" s="326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75"/>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1408</v>
      </c>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t="s">
        <v>3035</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2895</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9"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130380.53</v>
      </c>
      <c r="B3" s="22">
        <f>IF(C3="否",G5-AT5,G5)</f>
        <v>57858.8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57858.8</v>
      </c>
      <c r="H5" s="27">
        <f t="shared" ref="H5:AT5" si="0">SUM(H13:H641)</f>
        <v>57858.8</v>
      </c>
      <c r="I5" s="27">
        <f t="shared" si="0"/>
        <v>22759.489999999998</v>
      </c>
      <c r="J5" s="27">
        <f t="shared" si="0"/>
        <v>0</v>
      </c>
      <c r="K5" s="27">
        <f t="shared" si="0"/>
        <v>4261.5999999999995</v>
      </c>
      <c r="L5" s="27">
        <f t="shared" si="0"/>
        <v>0</v>
      </c>
      <c r="M5" s="27">
        <f t="shared" si="0"/>
        <v>25448.21</v>
      </c>
      <c r="N5" s="27">
        <f t="shared" si="0"/>
        <v>0</v>
      </c>
      <c r="O5" s="27">
        <f t="shared" si="0"/>
        <v>2911</v>
      </c>
      <c r="P5" s="27">
        <f t="shared" si="0"/>
        <v>0</v>
      </c>
      <c r="Q5" s="27">
        <f t="shared" si="0"/>
        <v>2478.5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57858.8</v>
      </c>
      <c r="BA5" s="29">
        <f t="shared" si="1"/>
        <v>57858.8</v>
      </c>
      <c r="BB5" s="29">
        <f t="shared" si="1"/>
        <v>22759.489999999998</v>
      </c>
      <c r="BC5" s="29">
        <f t="shared" si="1"/>
        <v>4261.5999999999995</v>
      </c>
      <c r="BD5" s="29">
        <f t="shared" si="1"/>
        <v>25448.21</v>
      </c>
      <c r="BE5" s="29">
        <f t="shared" si="1"/>
        <v>2911</v>
      </c>
      <c r="BF5" s="29">
        <f t="shared" si="1"/>
        <v>2478.5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130380.53</v>
      </c>
      <c r="F6" s="27" t="s">
        <v>1</v>
      </c>
      <c r="G6" s="27" t="s">
        <v>2</v>
      </c>
      <c r="H6" s="33">
        <f>SUMIF(I$12:AB$12,"总值",I6:AB6)</f>
        <v>130380.53</v>
      </c>
      <c r="I6" s="27">
        <f t="shared" ref="I6:AB6" si="2">ROUND($A$3*I5/$B$3,2)</f>
        <v>51286.83</v>
      </c>
      <c r="J6" s="27">
        <f t="shared" si="2"/>
        <v>0</v>
      </c>
      <c r="K6" s="27">
        <f t="shared" si="2"/>
        <v>9603.2000000000007</v>
      </c>
      <c r="L6" s="27">
        <f t="shared" si="2"/>
        <v>0</v>
      </c>
      <c r="M6" s="27">
        <f t="shared" si="2"/>
        <v>57345.66</v>
      </c>
      <c r="N6" s="27">
        <f t="shared" si="2"/>
        <v>0</v>
      </c>
      <c r="O6" s="27">
        <f t="shared" si="2"/>
        <v>6559.72</v>
      </c>
      <c r="P6" s="27">
        <f t="shared" si="2"/>
        <v>0</v>
      </c>
      <c r="Q6" s="27">
        <f t="shared" si="2"/>
        <v>5585.12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130380.53</v>
      </c>
      <c r="AZ6" s="27" t="s">
        <v>3</v>
      </c>
      <c r="BA6" s="27">
        <f>ROUND($AY$6*BA5/$AZ$5,2)</f>
        <v>130380.53</v>
      </c>
      <c r="BB6" s="27">
        <f>ROUND($AY$6*BB5/$AZ$5,2)</f>
        <v>51286.83</v>
      </c>
      <c r="BC6" s="27">
        <f t="shared" ref="BC6:BH6" si="4">ROUND($AY$6*BC5/$AZ$5,2)</f>
        <v>9603.2000000000007</v>
      </c>
      <c r="BD6" s="27">
        <f t="shared" si="4"/>
        <v>57345.66</v>
      </c>
      <c r="BE6" s="27">
        <f t="shared" si="4"/>
        <v>6559.72</v>
      </c>
      <c r="BF6" s="27">
        <f t="shared" si="4"/>
        <v>5585.12</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3014</v>
      </c>
      <c r="J9" s="51"/>
      <c r="K9" s="3020" t="s">
        <v>3014</v>
      </c>
      <c r="L9" s="51"/>
      <c r="M9" s="3020" t="s">
        <v>3014</v>
      </c>
      <c r="N9" s="51"/>
      <c r="O9" s="59" t="s">
        <v>3014</v>
      </c>
      <c r="P9" s="51"/>
      <c r="Q9" s="59" t="s">
        <v>3014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t="s">
        <v>982</v>
      </c>
      <c r="N10" s="51"/>
      <c r="O10" s="66" t="s">
        <v>982</v>
      </c>
      <c r="P10" s="51"/>
      <c r="Q10" s="66" t="s">
        <v>982</v>
      </c>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3024</v>
      </c>
      <c r="J11" s="71"/>
      <c r="K11" s="3021">
        <v>2</v>
      </c>
      <c r="L11" s="71"/>
      <c r="M11" s="70">
        <v>3</v>
      </c>
      <c r="N11" s="71"/>
      <c r="O11" s="70">
        <v>6</v>
      </c>
      <c r="P11" s="71"/>
      <c r="Q11" s="70">
        <v>4</v>
      </c>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工业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平房</v>
      </c>
      <c r="BC12" s="79">
        <f>K11</f>
        <v>2</v>
      </c>
      <c r="BD12" s="79">
        <f>M11</f>
        <v>3</v>
      </c>
      <c r="BE12" s="50">
        <f>O11</f>
        <v>6</v>
      </c>
      <c r="BF12" s="50">
        <f>Q11</f>
        <v>4</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3023</v>
      </c>
      <c r="B13" s="3015"/>
      <c r="C13" s="3015">
        <v>12</v>
      </c>
      <c r="D13" s="3016" t="s">
        <v>1679</v>
      </c>
      <c r="E13" s="27">
        <f t="shared" ref="E13:E20" si="6">IF($C$3="是",ROUND($A$3*G13/$B$3,2),ROUND($A$3*(G13-AT13)/$B$3,2))</f>
        <v>5763.81</v>
      </c>
      <c r="F13" s="81"/>
      <c r="G13" s="82">
        <f t="shared" ref="G13:G20" si="7">H13+AC13+AT13</f>
        <v>2557.8000000000002</v>
      </c>
      <c r="H13" s="33">
        <f t="shared" ref="H13:H20" si="8">SUMIF(I$12:AB$12,"总值",I13:AB13)</f>
        <v>2557.8000000000002</v>
      </c>
      <c r="I13" s="3019"/>
      <c r="J13" s="3019"/>
      <c r="K13" s="3019">
        <v>2557.8000000000002</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京房权证海股移字第0110433号</v>
      </c>
      <c r="AW13" s="17">
        <f t="shared" si="10"/>
        <v>0</v>
      </c>
      <c r="AX13" s="17">
        <f t="shared" si="10"/>
        <v>12</v>
      </c>
      <c r="AY13" s="996">
        <f t="shared" ref="AY13:AY20" si="11">ROUND($AY$6*AZ13/$AZ$5,2)</f>
        <v>5763.81</v>
      </c>
      <c r="AZ13" s="27">
        <f t="shared" ref="AZ13:AZ20" si="12">BA13+BL13</f>
        <v>2557.8000000000002</v>
      </c>
      <c r="BA13" s="27">
        <f t="shared" ref="BA13:BA20" si="13">SUM(BB13:BK13)</f>
        <v>2557.8000000000002</v>
      </c>
      <c r="BB13" s="27">
        <f t="shared" ref="BB13:BB20" si="14">IF($D13="是",I13-J13,0)</f>
        <v>0</v>
      </c>
      <c r="BC13" s="27">
        <f t="shared" ref="BC13:BC20" si="15">IF($D13="是",K13-L13,0)</f>
        <v>2557.8000000000002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v>16</v>
      </c>
      <c r="D14" s="3016" t="s">
        <v>1679</v>
      </c>
      <c r="E14" s="27">
        <f t="shared" si="6"/>
        <v>1383.6</v>
      </c>
      <c r="F14" s="81"/>
      <c r="G14" s="82">
        <f t="shared" si="7"/>
        <v>614</v>
      </c>
      <c r="H14" s="33">
        <f t="shared" si="8"/>
        <v>614</v>
      </c>
      <c r="I14" s="3019"/>
      <c r="J14" s="3019"/>
      <c r="K14" s="3019">
        <v>614</v>
      </c>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16</v>
      </c>
      <c r="AY14" s="996">
        <f t="shared" si="11"/>
        <v>1383.6</v>
      </c>
      <c r="AZ14" s="27">
        <f t="shared" si="12"/>
        <v>614</v>
      </c>
      <c r="BA14" s="27">
        <f t="shared" si="13"/>
        <v>614</v>
      </c>
      <c r="BB14" s="27">
        <f t="shared" si="14"/>
        <v>0</v>
      </c>
      <c r="BC14" s="27">
        <f t="shared" si="15"/>
        <v>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v>22</v>
      </c>
      <c r="D15" s="3016" t="s">
        <v>1679</v>
      </c>
      <c r="E15" s="27">
        <f t="shared" si="6"/>
        <v>335.76</v>
      </c>
      <c r="F15" s="81"/>
      <c r="G15" s="82">
        <f t="shared" si="7"/>
        <v>149</v>
      </c>
      <c r="H15" s="33">
        <f t="shared" si="8"/>
        <v>149</v>
      </c>
      <c r="I15" s="3019">
        <v>149</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22</v>
      </c>
      <c r="AY15" s="996">
        <f t="shared" si="11"/>
        <v>335.76</v>
      </c>
      <c r="AZ15" s="27">
        <f t="shared" si="12"/>
        <v>149</v>
      </c>
      <c r="BA15" s="27">
        <f t="shared" si="13"/>
        <v>149</v>
      </c>
      <c r="BB15" s="27">
        <f t="shared" si="14"/>
        <v>149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v>23</v>
      </c>
      <c r="D16" s="3016" t="s">
        <v>1679</v>
      </c>
      <c r="E16" s="27">
        <f t="shared" si="6"/>
        <v>56.11</v>
      </c>
      <c r="F16" s="81"/>
      <c r="G16" s="82">
        <f t="shared" si="7"/>
        <v>24.9</v>
      </c>
      <c r="H16" s="33">
        <f t="shared" si="8"/>
        <v>24.9</v>
      </c>
      <c r="I16" s="3019">
        <v>24.9</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23</v>
      </c>
      <c r="AY16" s="996">
        <f t="shared" si="11"/>
        <v>56.11</v>
      </c>
      <c r="AZ16" s="27">
        <f t="shared" si="12"/>
        <v>24.9</v>
      </c>
      <c r="BA16" s="27">
        <f t="shared" si="13"/>
        <v>24.9</v>
      </c>
      <c r="BB16" s="27">
        <f t="shared" si="14"/>
        <v>24.9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v>24</v>
      </c>
      <c r="D17" s="3016" t="s">
        <v>1679</v>
      </c>
      <c r="E17" s="27">
        <f t="shared" si="6"/>
        <v>348.38</v>
      </c>
      <c r="F17" s="81"/>
      <c r="G17" s="82">
        <f t="shared" si="7"/>
        <v>154.6</v>
      </c>
      <c r="H17" s="33">
        <f t="shared" si="8"/>
        <v>154.6</v>
      </c>
      <c r="I17" s="3019">
        <v>154.6</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24</v>
      </c>
      <c r="AY17" s="996">
        <f t="shared" si="11"/>
        <v>348.38</v>
      </c>
      <c r="AZ17" s="27">
        <f t="shared" si="12"/>
        <v>154.6</v>
      </c>
      <c r="BA17" s="27">
        <f t="shared" si="13"/>
        <v>154.6</v>
      </c>
      <c r="BB17" s="27">
        <f t="shared" si="14"/>
        <v>154.6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25</v>
      </c>
      <c r="D18" s="3018" t="s">
        <v>1679</v>
      </c>
      <c r="E18" s="87">
        <f t="shared" si="6"/>
        <v>1637.56</v>
      </c>
      <c r="F18" s="88"/>
      <c r="G18" s="89">
        <f t="shared" si="7"/>
        <v>726.7</v>
      </c>
      <c r="H18" s="90">
        <f t="shared" si="8"/>
        <v>726.7</v>
      </c>
      <c r="I18" s="1395">
        <v>726.7</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25</v>
      </c>
      <c r="AY18" s="95">
        <f t="shared" si="11"/>
        <v>1637.56</v>
      </c>
      <c r="AZ18" s="87">
        <f t="shared" si="12"/>
        <v>726.7</v>
      </c>
      <c r="BA18" s="87">
        <f t="shared" si="13"/>
        <v>726.7</v>
      </c>
      <c r="BB18" s="87">
        <f t="shared" si="14"/>
        <v>726.7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v>26</v>
      </c>
      <c r="D19" s="80" t="s">
        <v>1679</v>
      </c>
      <c r="E19" s="87">
        <f t="shared" si="6"/>
        <v>116.28</v>
      </c>
      <c r="F19" s="88"/>
      <c r="G19" s="89">
        <f t="shared" si="7"/>
        <v>51.6</v>
      </c>
      <c r="H19" s="90">
        <f t="shared" si="8"/>
        <v>51.6</v>
      </c>
      <c r="I19" s="1395">
        <v>51.6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26</v>
      </c>
      <c r="AY19" s="95">
        <f t="shared" si="11"/>
        <v>116.28</v>
      </c>
      <c r="AZ19" s="87">
        <f t="shared" si="12"/>
        <v>51.6</v>
      </c>
      <c r="BA19" s="87">
        <f t="shared" si="13"/>
        <v>51.6</v>
      </c>
      <c r="BB19" s="87">
        <f t="shared" si="14"/>
        <v>51.6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v>27</v>
      </c>
      <c r="D20" s="80" t="s">
        <v>1679</v>
      </c>
      <c r="E20" s="87">
        <f t="shared" si="6"/>
        <v>416.66</v>
      </c>
      <c r="F20" s="88"/>
      <c r="G20" s="89">
        <f t="shared" si="7"/>
        <v>184.9</v>
      </c>
      <c r="H20" s="90">
        <f t="shared" si="8"/>
        <v>184.9</v>
      </c>
      <c r="I20" s="1395">
        <v>184.9</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27</v>
      </c>
      <c r="AY20" s="95">
        <f t="shared" si="11"/>
        <v>416.66</v>
      </c>
      <c r="AZ20" s="87">
        <f t="shared" si="12"/>
        <v>184.9</v>
      </c>
      <c r="BA20" s="87">
        <f t="shared" si="13"/>
        <v>184.9</v>
      </c>
      <c r="BB20" s="87">
        <f t="shared" si="14"/>
        <v>184.9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v>35</v>
      </c>
      <c r="D21" s="80" t="s">
        <v>1679</v>
      </c>
      <c r="E21" s="87">
        <f t="shared" ref="E21:E112" si="33">IF($C$3="是",ROUND($A$3*G21/$B$3,2),ROUND($A$3*(G21-AT21)/$B$3,2))</f>
        <v>145.35</v>
      </c>
      <c r="F21" s="88"/>
      <c r="G21" s="89">
        <f t="shared" ref="G21:G109" si="34">H21+AC21+AT21</f>
        <v>64.5</v>
      </c>
      <c r="H21" s="90">
        <f t="shared" ref="H21:H109" si="35">SUMIF(I$12:AB$12,"总值",I21:AB21)</f>
        <v>64.5</v>
      </c>
      <c r="I21" s="1397">
        <v>64.5</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35</v>
      </c>
      <c r="AY21" s="95">
        <f t="shared" ref="AY21:AY109" si="40">ROUND($AY$6*AZ21/$AZ$5,2)</f>
        <v>145.35</v>
      </c>
      <c r="AZ21" s="87">
        <f t="shared" ref="AZ21:AZ109" si="41">BA21+BL21</f>
        <v>64.5</v>
      </c>
      <c r="BA21" s="87">
        <f t="shared" ref="BA21:BA109" si="42">SUM(BB21:BK21)</f>
        <v>64.5</v>
      </c>
      <c r="BB21" s="87">
        <f t="shared" ref="BB21:BB109" si="43">IF($D21="是",I21-J21,0)</f>
        <v>64.5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5" t="s">
        <v>3028</v>
      </c>
      <c r="B22" s="1394"/>
      <c r="C22" s="1395">
        <v>45</v>
      </c>
      <c r="D22" s="80" t="s">
        <v>1679</v>
      </c>
      <c r="E22" s="87">
        <f t="shared" si="33"/>
        <v>38150.839999999997</v>
      </c>
      <c r="F22" s="88"/>
      <c r="G22" s="89">
        <f t="shared" si="34"/>
        <v>16930.150000000001</v>
      </c>
      <c r="H22" s="90">
        <f t="shared" si="35"/>
        <v>16930.150000000001</v>
      </c>
      <c r="I22" s="1397"/>
      <c r="J22" s="91"/>
      <c r="K22" s="1397"/>
      <c r="L22" s="91"/>
      <c r="M22" s="3182">
        <v>16930.150000000001</v>
      </c>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t="str">
        <f t="shared" si="37"/>
        <v>京房权证海字第143645号</v>
      </c>
      <c r="AW22" s="1980">
        <f t="shared" si="38"/>
        <v>0</v>
      </c>
      <c r="AX22" s="1980">
        <f t="shared" si="39"/>
        <v>45</v>
      </c>
      <c r="AY22" s="95">
        <f t="shared" si="40"/>
        <v>38150.839999999997</v>
      </c>
      <c r="AZ22" s="87">
        <f t="shared" si="41"/>
        <v>16930.150000000001</v>
      </c>
      <c r="BA22" s="87">
        <f t="shared" si="42"/>
        <v>16930.150000000001</v>
      </c>
      <c r="BB22" s="87">
        <f t="shared" si="43"/>
        <v>0</v>
      </c>
      <c r="BC22" s="87">
        <f t="shared" si="44"/>
        <v>0</v>
      </c>
      <c r="BD22" s="87">
        <f t="shared" si="45"/>
        <v>16930.150000000001</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57">
      <c r="A23" s="3015" t="s">
        <v>3029</v>
      </c>
      <c r="B23" s="1394"/>
      <c r="C23" s="1395">
        <v>2</v>
      </c>
      <c r="D23" s="80" t="s">
        <v>1679</v>
      </c>
      <c r="E23" s="87">
        <f t="shared" si="33"/>
        <v>6839.37</v>
      </c>
      <c r="F23" s="88"/>
      <c r="G23" s="89">
        <f t="shared" si="34"/>
        <v>3035.1</v>
      </c>
      <c r="H23" s="90">
        <f t="shared" si="35"/>
        <v>3035.1</v>
      </c>
      <c r="I23" s="1397">
        <v>3035.1</v>
      </c>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t="str">
        <f t="shared" si="37"/>
        <v>京房权证海股移字第0110434号</v>
      </c>
      <c r="AW23" s="1980">
        <f t="shared" si="38"/>
        <v>0</v>
      </c>
      <c r="AX23" s="1980">
        <f t="shared" si="39"/>
        <v>2</v>
      </c>
      <c r="AY23" s="95">
        <f t="shared" si="40"/>
        <v>6839.37</v>
      </c>
      <c r="AZ23" s="87">
        <f t="shared" si="41"/>
        <v>3035.1</v>
      </c>
      <c r="BA23" s="87">
        <f t="shared" si="42"/>
        <v>3035.1</v>
      </c>
      <c r="BB23" s="87">
        <f t="shared" si="43"/>
        <v>3035.1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v>3</v>
      </c>
      <c r="D24" s="80" t="s">
        <v>1679</v>
      </c>
      <c r="E24" s="87">
        <f t="shared" si="33"/>
        <v>2110.11</v>
      </c>
      <c r="F24" s="88"/>
      <c r="G24" s="89">
        <f t="shared" si="34"/>
        <v>936.4</v>
      </c>
      <c r="H24" s="90">
        <f t="shared" si="35"/>
        <v>936.4</v>
      </c>
      <c r="I24" s="1397"/>
      <c r="J24" s="91"/>
      <c r="K24" s="1397">
        <v>936.4</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3</v>
      </c>
      <c r="AY24" s="95">
        <f t="shared" si="40"/>
        <v>2110.11</v>
      </c>
      <c r="AZ24" s="87">
        <f t="shared" si="41"/>
        <v>936.4</v>
      </c>
      <c r="BA24" s="87">
        <f t="shared" si="42"/>
        <v>936.4</v>
      </c>
      <c r="BB24" s="87">
        <f t="shared" si="43"/>
        <v>0</v>
      </c>
      <c r="BC24" s="87">
        <f t="shared" si="44"/>
        <v>936.4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v>6</v>
      </c>
      <c r="D25" s="80" t="s">
        <v>1679</v>
      </c>
      <c r="E25" s="87">
        <f t="shared" si="33"/>
        <v>5268.17</v>
      </c>
      <c r="F25" s="88"/>
      <c r="G25" s="89">
        <f t="shared" si="34"/>
        <v>2337.85</v>
      </c>
      <c r="H25" s="90">
        <f t="shared" si="35"/>
        <v>2337.85</v>
      </c>
      <c r="I25" s="1397">
        <v>2337.85</v>
      </c>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6</v>
      </c>
      <c r="AY25" s="95">
        <f t="shared" si="40"/>
        <v>5268.17</v>
      </c>
      <c r="AZ25" s="87">
        <f t="shared" si="41"/>
        <v>2337.85</v>
      </c>
      <c r="BA25" s="87">
        <f t="shared" si="42"/>
        <v>2337.85</v>
      </c>
      <c r="BB25" s="87">
        <f t="shared" si="43"/>
        <v>2337.85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v>8</v>
      </c>
      <c r="D26" s="80" t="s">
        <v>1679</v>
      </c>
      <c r="E26" s="87">
        <f t="shared" si="33"/>
        <v>11074.91</v>
      </c>
      <c r="F26" s="88"/>
      <c r="G26" s="89">
        <f t="shared" si="34"/>
        <v>4914.7</v>
      </c>
      <c r="H26" s="90">
        <f t="shared" si="35"/>
        <v>4914.7</v>
      </c>
      <c r="I26" s="1397">
        <v>4914.7</v>
      </c>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8</v>
      </c>
      <c r="AY26" s="95">
        <f t="shared" si="40"/>
        <v>11074.91</v>
      </c>
      <c r="AZ26" s="87">
        <f t="shared" si="41"/>
        <v>4914.7</v>
      </c>
      <c r="BA26" s="87">
        <f t="shared" si="42"/>
        <v>4914.7</v>
      </c>
      <c r="BB26" s="87">
        <f t="shared" si="43"/>
        <v>4914.7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v>9</v>
      </c>
      <c r="D27" s="80" t="s">
        <v>1679</v>
      </c>
      <c r="E27" s="87">
        <f t="shared" si="33"/>
        <v>576.91999999999996</v>
      </c>
      <c r="F27" s="88"/>
      <c r="G27" s="89">
        <f t="shared" si="34"/>
        <v>256.02</v>
      </c>
      <c r="H27" s="90">
        <f t="shared" si="35"/>
        <v>256.02</v>
      </c>
      <c r="I27" s="1397">
        <v>256.02</v>
      </c>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9</v>
      </c>
      <c r="AY27" s="95">
        <f t="shared" si="40"/>
        <v>576.91999999999996</v>
      </c>
      <c r="AZ27" s="87">
        <f t="shared" si="41"/>
        <v>256.02</v>
      </c>
      <c r="BA27" s="87">
        <f t="shared" si="42"/>
        <v>256.02</v>
      </c>
      <c r="BB27" s="87">
        <f t="shared" si="43"/>
        <v>256.02</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v>10</v>
      </c>
      <c r="D28" s="80" t="s">
        <v>1679</v>
      </c>
      <c r="E28" s="87">
        <f t="shared" si="33"/>
        <v>2290.83</v>
      </c>
      <c r="F28" s="88"/>
      <c r="G28" s="89">
        <f t="shared" si="34"/>
        <v>1016.6</v>
      </c>
      <c r="H28" s="90">
        <f t="shared" si="35"/>
        <v>1016.6</v>
      </c>
      <c r="I28" s="1397">
        <v>1016.6</v>
      </c>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10</v>
      </c>
      <c r="AY28" s="95">
        <f t="shared" si="40"/>
        <v>2290.83</v>
      </c>
      <c r="AZ28" s="87">
        <f t="shared" si="41"/>
        <v>1016.6</v>
      </c>
      <c r="BA28" s="87">
        <f t="shared" si="42"/>
        <v>1016.6</v>
      </c>
      <c r="BB28" s="87">
        <f t="shared" si="43"/>
        <v>1016.6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v>14</v>
      </c>
      <c r="D29" s="80" t="s">
        <v>1679</v>
      </c>
      <c r="E29" s="87">
        <f t="shared" si="33"/>
        <v>346.35</v>
      </c>
      <c r="F29" s="88"/>
      <c r="G29" s="89">
        <f t="shared" si="34"/>
        <v>153.69999999999999</v>
      </c>
      <c r="H29" s="90">
        <f t="shared" si="35"/>
        <v>153.69999999999999</v>
      </c>
      <c r="I29" s="1397">
        <v>153.69999999999999</v>
      </c>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14</v>
      </c>
      <c r="AY29" s="95">
        <f t="shared" si="40"/>
        <v>346.35</v>
      </c>
      <c r="AZ29" s="87">
        <f t="shared" si="41"/>
        <v>153.69999999999999</v>
      </c>
      <c r="BA29" s="87">
        <f t="shared" si="42"/>
        <v>153.69999999999999</v>
      </c>
      <c r="BB29" s="87">
        <f t="shared" si="43"/>
        <v>153.69999999999999</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v>15</v>
      </c>
      <c r="D30" s="80" t="s">
        <v>1679</v>
      </c>
      <c r="E30" s="87">
        <f t="shared" si="33"/>
        <v>345.68</v>
      </c>
      <c r="F30" s="88"/>
      <c r="G30" s="89">
        <f t="shared" si="34"/>
        <v>153.4</v>
      </c>
      <c r="H30" s="90">
        <f t="shared" si="35"/>
        <v>153.4</v>
      </c>
      <c r="I30" s="1397"/>
      <c r="J30" s="91"/>
      <c r="K30" s="1397">
        <v>153.4</v>
      </c>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15</v>
      </c>
      <c r="AY30" s="95">
        <f t="shared" si="40"/>
        <v>345.68</v>
      </c>
      <c r="AZ30" s="87">
        <f t="shared" si="41"/>
        <v>153.4</v>
      </c>
      <c r="BA30" s="87">
        <f t="shared" si="42"/>
        <v>153.4</v>
      </c>
      <c r="BB30" s="87">
        <f t="shared" si="43"/>
        <v>0</v>
      </c>
      <c r="BC30" s="87">
        <f t="shared" si="44"/>
        <v>153.4</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v>35</v>
      </c>
      <c r="D31" s="80" t="s">
        <v>1679</v>
      </c>
      <c r="E31" s="87">
        <f t="shared" si="33"/>
        <v>6559.72</v>
      </c>
      <c r="F31" s="88"/>
      <c r="G31" s="89">
        <f t="shared" si="34"/>
        <v>2911</v>
      </c>
      <c r="H31" s="90">
        <f t="shared" si="35"/>
        <v>2911</v>
      </c>
      <c r="I31" s="1397"/>
      <c r="J31" s="91"/>
      <c r="K31" s="1397"/>
      <c r="L31" s="91"/>
      <c r="M31" s="91"/>
      <c r="N31" s="91"/>
      <c r="O31" s="91">
        <v>2911</v>
      </c>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35</v>
      </c>
      <c r="AY31" s="95">
        <f t="shared" si="40"/>
        <v>6559.72</v>
      </c>
      <c r="AZ31" s="87">
        <f t="shared" si="41"/>
        <v>2911</v>
      </c>
      <c r="BA31" s="87">
        <f t="shared" si="42"/>
        <v>2911</v>
      </c>
      <c r="BB31" s="87">
        <f t="shared" si="43"/>
        <v>0</v>
      </c>
      <c r="BC31" s="87">
        <f t="shared" si="44"/>
        <v>0</v>
      </c>
      <c r="BD31" s="87">
        <f t="shared" si="45"/>
        <v>0</v>
      </c>
      <c r="BE31" s="87">
        <f t="shared" si="46"/>
        <v>2911</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v>36</v>
      </c>
      <c r="D32" s="80" t="s">
        <v>1679</v>
      </c>
      <c r="E32" s="87">
        <f t="shared" si="33"/>
        <v>19194.82</v>
      </c>
      <c r="F32" s="88"/>
      <c r="G32" s="89">
        <f t="shared" si="34"/>
        <v>8518.06</v>
      </c>
      <c r="H32" s="90">
        <f t="shared" si="35"/>
        <v>8518.06</v>
      </c>
      <c r="I32" s="1397"/>
      <c r="J32" s="91"/>
      <c r="K32" s="1397"/>
      <c r="L32" s="91"/>
      <c r="M32" s="91">
        <v>8518.06</v>
      </c>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36</v>
      </c>
      <c r="AY32" s="95">
        <f t="shared" si="40"/>
        <v>19194.82</v>
      </c>
      <c r="AZ32" s="87">
        <f t="shared" si="41"/>
        <v>8518.06</v>
      </c>
      <c r="BA32" s="87">
        <f t="shared" si="42"/>
        <v>8518.06</v>
      </c>
      <c r="BB32" s="87">
        <f t="shared" si="43"/>
        <v>0</v>
      </c>
      <c r="BC32" s="87">
        <f t="shared" si="44"/>
        <v>0</v>
      </c>
      <c r="BD32" s="87">
        <f t="shared" si="45"/>
        <v>8518.06</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57">
      <c r="A33" s="3015" t="s">
        <v>3030</v>
      </c>
      <c r="B33" s="1394"/>
      <c r="C33" s="1395">
        <v>1</v>
      </c>
      <c r="D33" s="80" t="s">
        <v>1679</v>
      </c>
      <c r="E33" s="87">
        <f t="shared" si="33"/>
        <v>5585.12</v>
      </c>
      <c r="F33" s="88"/>
      <c r="G33" s="89">
        <f t="shared" si="34"/>
        <v>2478.5</v>
      </c>
      <c r="H33" s="90">
        <f t="shared" si="35"/>
        <v>2478.5</v>
      </c>
      <c r="I33" s="1397"/>
      <c r="J33" s="91"/>
      <c r="K33" s="1397"/>
      <c r="L33" s="91"/>
      <c r="M33" s="91"/>
      <c r="N33" s="91"/>
      <c r="O33" s="91"/>
      <c r="P33" s="91"/>
      <c r="Q33" s="91">
        <v>2478.5</v>
      </c>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t="str">
        <f t="shared" si="37"/>
        <v>京房权证海股移字第0109921号</v>
      </c>
      <c r="AW33" s="1980">
        <f t="shared" si="38"/>
        <v>0</v>
      </c>
      <c r="AX33" s="1980">
        <f t="shared" si="39"/>
        <v>1</v>
      </c>
      <c r="AY33" s="95">
        <f t="shared" si="40"/>
        <v>5585.12</v>
      </c>
      <c r="AZ33" s="87">
        <f t="shared" si="41"/>
        <v>2478.5</v>
      </c>
      <c r="BA33" s="87">
        <f t="shared" si="42"/>
        <v>2478.5</v>
      </c>
      <c r="BB33" s="87">
        <f t="shared" si="43"/>
        <v>0</v>
      </c>
      <c r="BC33" s="87">
        <f t="shared" si="44"/>
        <v>0</v>
      </c>
      <c r="BD33" s="87">
        <f t="shared" si="45"/>
        <v>0</v>
      </c>
      <c r="BE33" s="87">
        <f t="shared" si="46"/>
        <v>0</v>
      </c>
      <c r="BF33" s="87">
        <f t="shared" si="47"/>
        <v>2478.5</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v>2</v>
      </c>
      <c r="D34" s="80" t="s">
        <v>1679</v>
      </c>
      <c r="E34" s="87">
        <f t="shared" si="33"/>
        <v>1547.88</v>
      </c>
      <c r="F34" s="88"/>
      <c r="G34" s="89">
        <f t="shared" si="34"/>
        <v>686.9</v>
      </c>
      <c r="H34" s="90">
        <f t="shared" si="35"/>
        <v>686.9</v>
      </c>
      <c r="I34" s="1397">
        <v>686.9</v>
      </c>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2</v>
      </c>
      <c r="AY34" s="95">
        <f t="shared" si="40"/>
        <v>1547.88</v>
      </c>
      <c r="AZ34" s="87">
        <f t="shared" si="41"/>
        <v>686.9</v>
      </c>
      <c r="BA34" s="87">
        <f t="shared" si="42"/>
        <v>686.9</v>
      </c>
      <c r="BB34" s="87">
        <f t="shared" si="43"/>
        <v>686.9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v>14</v>
      </c>
      <c r="D35" s="80" t="s">
        <v>1679</v>
      </c>
      <c r="E35" s="87">
        <f t="shared" si="33"/>
        <v>359.2</v>
      </c>
      <c r="F35" s="88"/>
      <c r="G35" s="89">
        <f t="shared" si="34"/>
        <v>159.4</v>
      </c>
      <c r="H35" s="90">
        <f t="shared" si="35"/>
        <v>159.4</v>
      </c>
      <c r="I35" s="1397">
        <v>159.4</v>
      </c>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14</v>
      </c>
      <c r="AY35" s="95">
        <f t="shared" si="40"/>
        <v>359.2</v>
      </c>
      <c r="AZ35" s="87">
        <f t="shared" si="41"/>
        <v>159.4</v>
      </c>
      <c r="BA35" s="87">
        <f t="shared" si="42"/>
        <v>159.4</v>
      </c>
      <c r="BB35" s="87">
        <f t="shared" si="43"/>
        <v>159.4</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v>16</v>
      </c>
      <c r="D36" s="80" t="s">
        <v>1679</v>
      </c>
      <c r="E36" s="87">
        <f t="shared" si="33"/>
        <v>1961.16</v>
      </c>
      <c r="F36" s="88"/>
      <c r="G36" s="89">
        <f t="shared" si="34"/>
        <v>870.3</v>
      </c>
      <c r="H36" s="90">
        <f t="shared" si="35"/>
        <v>870.3</v>
      </c>
      <c r="I36" s="1397">
        <v>870.3</v>
      </c>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16</v>
      </c>
      <c r="AY36" s="95">
        <f t="shared" si="40"/>
        <v>1961.16</v>
      </c>
      <c r="AZ36" s="87">
        <f t="shared" si="41"/>
        <v>870.3</v>
      </c>
      <c r="BA36" s="87">
        <f t="shared" si="42"/>
        <v>870.3</v>
      </c>
      <c r="BB36" s="87">
        <f t="shared" si="43"/>
        <v>870.3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v>17</v>
      </c>
      <c r="D37" s="80" t="s">
        <v>1679</v>
      </c>
      <c r="E37" s="87">
        <f t="shared" si="33"/>
        <v>2514.8200000000002</v>
      </c>
      <c r="F37" s="88"/>
      <c r="G37" s="89">
        <f t="shared" si="34"/>
        <v>1116</v>
      </c>
      <c r="H37" s="90">
        <f t="shared" si="35"/>
        <v>1116</v>
      </c>
      <c r="I37" s="1397">
        <v>1116</v>
      </c>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17</v>
      </c>
      <c r="AY37" s="95">
        <f t="shared" si="40"/>
        <v>2514.8200000000002</v>
      </c>
      <c r="AZ37" s="87">
        <f t="shared" si="41"/>
        <v>1116</v>
      </c>
      <c r="BA37" s="87">
        <f t="shared" si="42"/>
        <v>1116</v>
      </c>
      <c r="BB37" s="87">
        <f t="shared" si="43"/>
        <v>1116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v>18</v>
      </c>
      <c r="D38" s="80" t="s">
        <v>1679</v>
      </c>
      <c r="E38" s="87">
        <f t="shared" si="33"/>
        <v>645.38</v>
      </c>
      <c r="F38" s="88"/>
      <c r="G38" s="89">
        <f t="shared" si="34"/>
        <v>286.39999999999998</v>
      </c>
      <c r="H38" s="90">
        <f t="shared" si="35"/>
        <v>286.39999999999998</v>
      </c>
      <c r="I38" s="1397">
        <v>286.39999999999998</v>
      </c>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18</v>
      </c>
      <c r="AY38" s="95">
        <f t="shared" si="40"/>
        <v>645.38</v>
      </c>
      <c r="AZ38" s="87">
        <f t="shared" si="41"/>
        <v>286.39999999999998</v>
      </c>
      <c r="BA38" s="87">
        <f t="shared" si="42"/>
        <v>286.39999999999998</v>
      </c>
      <c r="BB38" s="87">
        <f t="shared" si="43"/>
        <v>286.39999999999998</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v>20</v>
      </c>
      <c r="D39" s="80" t="s">
        <v>1679</v>
      </c>
      <c r="E39" s="87">
        <f t="shared" si="33"/>
        <v>3201.44</v>
      </c>
      <c r="F39" s="88"/>
      <c r="G39" s="89">
        <f t="shared" si="34"/>
        <v>1420.7</v>
      </c>
      <c r="H39" s="90">
        <f t="shared" si="35"/>
        <v>1420.7</v>
      </c>
      <c r="I39" s="1397">
        <v>1420.7</v>
      </c>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20</v>
      </c>
      <c r="AY39" s="95">
        <f t="shared" si="40"/>
        <v>3201.44</v>
      </c>
      <c r="AZ39" s="87">
        <f t="shared" si="41"/>
        <v>1420.7</v>
      </c>
      <c r="BA39" s="87">
        <f t="shared" si="42"/>
        <v>1420.7</v>
      </c>
      <c r="BB39" s="87">
        <f t="shared" si="43"/>
        <v>1420.7</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v>24</v>
      </c>
      <c r="D40" s="80" t="s">
        <v>1679</v>
      </c>
      <c r="E40" s="87">
        <f t="shared" si="33"/>
        <v>91.94</v>
      </c>
      <c r="F40" s="88"/>
      <c r="G40" s="89">
        <f t="shared" si="34"/>
        <v>40.799999999999997</v>
      </c>
      <c r="H40" s="90">
        <f t="shared" si="35"/>
        <v>40.799999999999997</v>
      </c>
      <c r="I40" s="1397">
        <v>40.799999999999997</v>
      </c>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24</v>
      </c>
      <c r="AY40" s="95">
        <f t="shared" si="40"/>
        <v>91.94</v>
      </c>
      <c r="AZ40" s="87">
        <f t="shared" si="41"/>
        <v>40.799999999999997</v>
      </c>
      <c r="BA40" s="87">
        <f t="shared" si="42"/>
        <v>40.799999999999997</v>
      </c>
      <c r="BB40" s="87">
        <f t="shared" si="43"/>
        <v>40.799999999999997</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v>25</v>
      </c>
      <c r="D41" s="80" t="s">
        <v>1679</v>
      </c>
      <c r="E41" s="87">
        <f t="shared" si="33"/>
        <v>431.53</v>
      </c>
      <c r="F41" s="88"/>
      <c r="G41" s="89">
        <f t="shared" si="34"/>
        <v>191.5</v>
      </c>
      <c r="H41" s="90">
        <f t="shared" si="35"/>
        <v>191.5</v>
      </c>
      <c r="I41" s="1397">
        <v>191.5</v>
      </c>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25</v>
      </c>
      <c r="AY41" s="95">
        <f t="shared" si="40"/>
        <v>431.53</v>
      </c>
      <c r="AZ41" s="87">
        <f t="shared" si="41"/>
        <v>191.5</v>
      </c>
      <c r="BA41" s="87">
        <f t="shared" si="42"/>
        <v>191.5</v>
      </c>
      <c r="BB41" s="87">
        <f t="shared" si="43"/>
        <v>191.5</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v>26</v>
      </c>
      <c r="D42" s="80" t="s">
        <v>1679</v>
      </c>
      <c r="E42" s="87">
        <f t="shared" si="33"/>
        <v>556.37</v>
      </c>
      <c r="F42" s="88"/>
      <c r="G42" s="89">
        <f t="shared" si="34"/>
        <v>246.9</v>
      </c>
      <c r="H42" s="90">
        <f t="shared" si="35"/>
        <v>246.9</v>
      </c>
      <c r="I42" s="1397">
        <v>246.9</v>
      </c>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26</v>
      </c>
      <c r="AY42" s="95">
        <f t="shared" si="40"/>
        <v>556.37</v>
      </c>
      <c r="AZ42" s="87">
        <f t="shared" si="41"/>
        <v>246.9</v>
      </c>
      <c r="BA42" s="87">
        <f t="shared" si="42"/>
        <v>246.9</v>
      </c>
      <c r="BB42" s="87">
        <f t="shared" si="43"/>
        <v>246.9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v>28</v>
      </c>
      <c r="D43" s="80" t="s">
        <v>1679</v>
      </c>
      <c r="E43" s="87">
        <f t="shared" si="33"/>
        <v>144.66999999999999</v>
      </c>
      <c r="F43" s="88"/>
      <c r="G43" s="89">
        <f t="shared" si="34"/>
        <v>64.2</v>
      </c>
      <c r="H43" s="90">
        <f t="shared" si="35"/>
        <v>64.2</v>
      </c>
      <c r="I43" s="1397">
        <v>64.2</v>
      </c>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28</v>
      </c>
      <c r="AY43" s="95">
        <f t="shared" si="40"/>
        <v>144.66999999999999</v>
      </c>
      <c r="AZ43" s="87">
        <f t="shared" si="41"/>
        <v>64.2</v>
      </c>
      <c r="BA43" s="87">
        <f t="shared" si="42"/>
        <v>64.2</v>
      </c>
      <c r="BB43" s="87">
        <f t="shared" si="43"/>
        <v>64.2</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v>44</v>
      </c>
      <c r="D44" s="80" t="s">
        <v>1679</v>
      </c>
      <c r="E44" s="87">
        <f t="shared" si="33"/>
        <v>601.89</v>
      </c>
      <c r="F44" s="88"/>
      <c r="G44" s="89">
        <f t="shared" si="34"/>
        <v>267.10000000000002</v>
      </c>
      <c r="H44" s="90">
        <f t="shared" si="35"/>
        <v>267.10000000000002</v>
      </c>
      <c r="I44" s="1397">
        <v>267.10000000000002</v>
      </c>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44</v>
      </c>
      <c r="AY44" s="95">
        <f t="shared" si="40"/>
        <v>601.89</v>
      </c>
      <c r="AZ44" s="87">
        <f t="shared" si="41"/>
        <v>267.10000000000002</v>
      </c>
      <c r="BA44" s="87">
        <f t="shared" si="42"/>
        <v>267.10000000000002</v>
      </c>
      <c r="BB44" s="87">
        <f t="shared" si="43"/>
        <v>267.10000000000002</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57">
      <c r="A45" s="3015" t="s">
        <v>3031</v>
      </c>
      <c r="B45" s="1394"/>
      <c r="C45" s="1395">
        <v>37</v>
      </c>
      <c r="D45" s="80" t="s">
        <v>1679</v>
      </c>
      <c r="E45" s="87">
        <f t="shared" si="33"/>
        <v>698.27</v>
      </c>
      <c r="F45" s="88"/>
      <c r="G45" s="89">
        <f t="shared" si="34"/>
        <v>309.87</v>
      </c>
      <c r="H45" s="90">
        <f t="shared" si="35"/>
        <v>309.87</v>
      </c>
      <c r="I45" s="1397">
        <v>309.87</v>
      </c>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t="str">
        <f t="shared" si="37"/>
        <v>京房权证海股移字第0110559号</v>
      </c>
      <c r="AW45" s="1980">
        <f t="shared" si="38"/>
        <v>0</v>
      </c>
      <c r="AX45" s="1980">
        <f t="shared" si="39"/>
        <v>37</v>
      </c>
      <c r="AY45" s="95">
        <f t="shared" si="40"/>
        <v>698.27</v>
      </c>
      <c r="AZ45" s="87">
        <f t="shared" si="41"/>
        <v>309.87</v>
      </c>
      <c r="BA45" s="87">
        <f t="shared" si="42"/>
        <v>309.87</v>
      </c>
      <c r="BB45" s="87">
        <f t="shared" si="43"/>
        <v>309.87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57">
      <c r="A46" s="3015" t="s">
        <v>3032</v>
      </c>
      <c r="B46" s="1394"/>
      <c r="C46" s="1395">
        <v>38</v>
      </c>
      <c r="D46" s="80" t="s">
        <v>1679</v>
      </c>
      <c r="E46" s="87">
        <f t="shared" si="33"/>
        <v>4578.0200000000004</v>
      </c>
      <c r="F46" s="88"/>
      <c r="G46" s="89">
        <f t="shared" si="34"/>
        <v>2031.58</v>
      </c>
      <c r="H46" s="90">
        <f t="shared" si="35"/>
        <v>2031.58</v>
      </c>
      <c r="I46" s="1397">
        <v>2031.58</v>
      </c>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t="str">
        <f t="shared" si="37"/>
        <v>京房权证海股移字第0110567号</v>
      </c>
      <c r="AW46" s="1980">
        <f t="shared" si="38"/>
        <v>0</v>
      </c>
      <c r="AX46" s="1980">
        <f t="shared" si="39"/>
        <v>38</v>
      </c>
      <c r="AY46" s="95">
        <f t="shared" si="40"/>
        <v>4578.0200000000004</v>
      </c>
      <c r="AZ46" s="87">
        <f t="shared" si="41"/>
        <v>2031.58</v>
      </c>
      <c r="BA46" s="87">
        <f t="shared" si="42"/>
        <v>2031.58</v>
      </c>
      <c r="BB46" s="87">
        <f t="shared" si="43"/>
        <v>2031.58</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57">
      <c r="A47" s="3015" t="s">
        <v>3033</v>
      </c>
      <c r="B47" s="1394"/>
      <c r="C47" s="1395">
        <v>46</v>
      </c>
      <c r="D47" s="80" t="s">
        <v>1679</v>
      </c>
      <c r="E47" s="87">
        <f t="shared" si="33"/>
        <v>2253.34</v>
      </c>
      <c r="F47" s="88"/>
      <c r="G47" s="89">
        <f t="shared" si="34"/>
        <v>999.96</v>
      </c>
      <c r="H47" s="90">
        <f t="shared" si="35"/>
        <v>999.96</v>
      </c>
      <c r="I47" s="1397">
        <v>999.96</v>
      </c>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t="str">
        <f t="shared" si="37"/>
        <v>京房权证海股移字第0110573号</v>
      </c>
      <c r="AW47" s="1980">
        <f t="shared" si="38"/>
        <v>0</v>
      </c>
      <c r="AX47" s="1980">
        <f t="shared" si="39"/>
        <v>46</v>
      </c>
      <c r="AY47" s="95">
        <f t="shared" si="40"/>
        <v>2253.34</v>
      </c>
      <c r="AZ47" s="87">
        <f t="shared" si="41"/>
        <v>999.96</v>
      </c>
      <c r="BA47" s="87">
        <f t="shared" si="42"/>
        <v>999.96</v>
      </c>
      <c r="BB47" s="87">
        <f t="shared" si="43"/>
        <v>999.96</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57">
      <c r="A48" s="3015" t="s">
        <v>3034</v>
      </c>
      <c r="B48" s="1394"/>
      <c r="C48" s="1395">
        <v>47</v>
      </c>
      <c r="D48" s="80" t="s">
        <v>1679</v>
      </c>
      <c r="E48" s="87">
        <f t="shared" si="33"/>
        <v>2248.27</v>
      </c>
      <c r="F48" s="88"/>
      <c r="G48" s="89">
        <f t="shared" si="34"/>
        <v>997.71</v>
      </c>
      <c r="H48" s="90">
        <f t="shared" si="35"/>
        <v>997.71</v>
      </c>
      <c r="I48" s="1395">
        <v>997.71</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t="str">
        <f t="shared" si="37"/>
        <v>京房权证海股移字第0110574号</v>
      </c>
      <c r="AW48" s="1980">
        <f t="shared" si="38"/>
        <v>0</v>
      </c>
      <c r="AX48" s="1980">
        <f t="shared" si="39"/>
        <v>47</v>
      </c>
      <c r="AY48" s="95">
        <f t="shared" si="40"/>
        <v>2248.27</v>
      </c>
      <c r="AZ48" s="87">
        <f t="shared" si="41"/>
        <v>997.71</v>
      </c>
      <c r="BA48" s="87">
        <f t="shared" si="42"/>
        <v>997.71</v>
      </c>
      <c r="BB48" s="87">
        <f t="shared" si="43"/>
        <v>997.71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3015"/>
      <c r="B49" s="1394"/>
      <c r="C49" s="1395"/>
      <c r="D49" s="80" t="s">
        <v>1679</v>
      </c>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4" t="s">
        <v>203</v>
      </c>
      <c r="B2" s="3314"/>
      <c r="C2" s="3314"/>
      <c r="D2" s="1976" t="s">
        <v>204</v>
      </c>
      <c r="E2" s="106" t="s">
        <v>205</v>
      </c>
      <c r="F2" s="1985"/>
      <c r="G2" s="1198"/>
      <c r="H2" s="1199"/>
      <c r="I2" s="1200" t="s">
        <v>857</v>
      </c>
      <c r="J2" s="1985"/>
      <c r="K2" s="1985"/>
      <c r="L2" s="1985"/>
    </row>
    <row r="3" spans="1:16" ht="15.75" thickBot="1">
      <c r="A3" s="3315" t="s">
        <v>206</v>
      </c>
      <c r="B3" s="3315"/>
      <c r="C3" s="3315"/>
      <c r="D3" s="107">
        <f>'数据-基础表'!AY6</f>
        <v>130380.53</v>
      </c>
      <c r="E3" s="107">
        <f>'数据-基础表'!AZ5</f>
        <v>57858.8</v>
      </c>
      <c r="F3" s="1985"/>
      <c r="G3" s="280" t="s">
        <v>858</v>
      </c>
      <c r="H3" s="275" t="s">
        <v>859</v>
      </c>
      <c r="I3" s="1977">
        <f>ROUND('数据-基础表'!B3/'数据-基础表'!A3,2)</f>
        <v>0.44</v>
      </c>
      <c r="J3" s="1985"/>
      <c r="K3" s="1985"/>
      <c r="L3" s="1985"/>
    </row>
    <row r="4" spans="1:16" ht="15">
      <c r="A4" s="3316"/>
      <c r="B4" s="3317"/>
      <c r="C4" s="3318"/>
      <c r="D4" s="108" t="s">
        <v>204</v>
      </c>
      <c r="E4" s="109" t="s">
        <v>205</v>
      </c>
      <c r="F4" s="1985"/>
      <c r="G4" s="1201"/>
      <c r="H4" s="275" t="s">
        <v>860</v>
      </c>
      <c r="I4" s="1977">
        <f>ROUND(SUMIF('数据-基础表'!I9:AS9,"地上",'数据-基础表'!I5:AS5)/'数据-基础表'!A3,2)</f>
        <v>0.44</v>
      </c>
      <c r="J4" s="1985"/>
      <c r="K4" s="1985"/>
      <c r="L4" s="1985"/>
    </row>
    <row r="5" spans="1:16">
      <c r="A5" s="110" t="s">
        <v>207</v>
      </c>
      <c r="B5" s="3319" t="s">
        <v>230</v>
      </c>
      <c r="C5" s="3319"/>
      <c r="D5" s="111">
        <f>ROUND($D$3*E5/$E$3,2)</f>
        <v>0</v>
      </c>
      <c r="E5" s="112">
        <f>SUMIF('数据-基础表'!$11:$11,"住宅",'数据-基础表'!$5:$5)</f>
        <v>0</v>
      </c>
      <c r="F5" s="1985"/>
      <c r="G5" s="280" t="s">
        <v>861</v>
      </c>
      <c r="H5" s="275" t="s">
        <v>859</v>
      </c>
      <c r="I5" s="1977">
        <f>ROUND(E31/D31,2)</f>
        <v>0.44</v>
      </c>
      <c r="J5" s="1985"/>
      <c r="K5" s="1985"/>
      <c r="L5" s="1985"/>
    </row>
    <row r="6" spans="1:16" ht="15" thickBot="1">
      <c r="A6" s="113"/>
      <c r="B6" s="3319" t="s">
        <v>208</v>
      </c>
      <c r="C6" s="3319"/>
      <c r="D6" s="111">
        <f>ROUND($D$3*E6/$E$3,2)</f>
        <v>130380.53</v>
      </c>
      <c r="E6" s="112">
        <f>E3-E5</f>
        <v>57858.8</v>
      </c>
      <c r="F6" s="1985"/>
      <c r="G6" s="1201"/>
      <c r="H6" s="275" t="s">
        <v>860</v>
      </c>
      <c r="I6" s="1977">
        <f>ROUND(F31/D31,2)</f>
        <v>0.44</v>
      </c>
      <c r="J6" s="1985"/>
      <c r="K6" s="1985"/>
      <c r="L6" s="1985"/>
    </row>
    <row r="7" spans="1:16" ht="15">
      <c r="A7" s="3311"/>
      <c r="B7" s="3312"/>
      <c r="C7" s="3313"/>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130380.53</v>
      </c>
      <c r="E8" s="116">
        <f>SUMIF('数据-基础表'!BB10:BK10,"地上",'数据-基础表'!BB5:BK5)</f>
        <v>57858.799999999996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130380.53</v>
      </c>
      <c r="E16" s="120">
        <f>SUM(E8:E15)</f>
        <v>57858.799999999996</v>
      </c>
      <c r="F16" s="1985"/>
      <c r="G16" s="1987"/>
      <c r="H16" s="968" t="s">
        <v>219</v>
      </c>
      <c r="I16" s="969"/>
      <c r="J16" s="1985"/>
      <c r="K16" s="3305" t="s">
        <v>2569</v>
      </c>
      <c r="L16" s="3306"/>
      <c r="M16" s="3306"/>
      <c r="N16" s="3306"/>
      <c r="O16" s="3306"/>
      <c r="P16" s="3307"/>
    </row>
    <row r="17" spans="1:19" ht="15">
      <c r="A17" s="121" t="s">
        <v>216</v>
      </c>
      <c r="B17" s="122" t="s">
        <v>217</v>
      </c>
      <c r="C17" s="2299" t="s">
        <v>2316</v>
      </c>
      <c r="D17" s="108" t="s">
        <v>204</v>
      </c>
      <c r="E17" s="124" t="s">
        <v>205</v>
      </c>
      <c r="F17" s="125"/>
      <c r="G17" s="1366"/>
      <c r="H17" s="970" t="s">
        <v>218</v>
      </c>
      <c r="I17" s="971" t="s">
        <v>2315</v>
      </c>
      <c r="J17" s="1985"/>
      <c r="K17" s="3308" t="s">
        <v>2570</v>
      </c>
      <c r="L17" s="3309"/>
      <c r="M17" s="3310"/>
      <c r="N17" s="3308" t="s">
        <v>2571</v>
      </c>
      <c r="O17" s="3309"/>
      <c r="P17" s="3310"/>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tr">
        <f>'数据-基础表'!I11</f>
        <v>平房</v>
      </c>
      <c r="D19" s="111">
        <f t="shared" ref="D19:D26" si="1">ROUND($D$3*E19/$E$3,2)</f>
        <v>51286.83</v>
      </c>
      <c r="E19" s="134">
        <f t="shared" ref="E19:E26" si="2">SUM(F19:G19)</f>
        <v>22759.489999999998</v>
      </c>
      <c r="F19" s="135">
        <f>'数据-基础表'!I5</f>
        <v>22759.489999999998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51286.83</v>
      </c>
      <c r="S19" s="2302">
        <f t="shared" si="5"/>
        <v>22759.489999999998</v>
      </c>
    </row>
    <row r="20" spans="1:19">
      <c r="A20" s="138"/>
      <c r="B20" s="115" t="s">
        <v>226</v>
      </c>
      <c r="C20" s="3026">
        <f>'数据-基础表'!K11</f>
        <v>2</v>
      </c>
      <c r="D20" s="111">
        <f t="shared" si="1"/>
        <v>9603.2000000000007</v>
      </c>
      <c r="E20" s="134">
        <f t="shared" si="2"/>
        <v>4261.5999999999995</v>
      </c>
      <c r="F20" s="135">
        <f>'数据-基础表'!K5</f>
        <v>4261.5999999999995</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9603.2000000000007</v>
      </c>
      <c r="S20" s="2302">
        <f t="shared" si="5"/>
        <v>4261.5999999999995</v>
      </c>
    </row>
    <row r="21" spans="1:19">
      <c r="A21" s="138"/>
      <c r="B21" s="115" t="s">
        <v>226</v>
      </c>
      <c r="C21" s="3026">
        <f>'数据-基础表'!M11</f>
        <v>3</v>
      </c>
      <c r="D21" s="111">
        <f t="shared" si="1"/>
        <v>57345.66</v>
      </c>
      <c r="E21" s="134">
        <f t="shared" si="2"/>
        <v>25448.21</v>
      </c>
      <c r="F21" s="135">
        <f>'数据-基础表'!M5</f>
        <v>25448.21</v>
      </c>
      <c r="G21" s="1368"/>
      <c r="H21" s="974">
        <f t="shared" si="6"/>
        <v>0</v>
      </c>
      <c r="I21" s="116">
        <f t="shared" si="7"/>
        <v>0</v>
      </c>
      <c r="J21" s="1985"/>
      <c r="K21" s="2609">
        <f t="shared" si="3"/>
        <v>0</v>
      </c>
      <c r="L21" s="275">
        <f t="shared" si="4"/>
        <v>0</v>
      </c>
      <c r="M21" s="2610">
        <f t="shared" si="8"/>
        <v>0</v>
      </c>
      <c r="N21" s="2611"/>
      <c r="O21" s="2612"/>
      <c r="P21" s="2613">
        <f t="shared" si="9"/>
        <v>0</v>
      </c>
      <c r="R21" s="275">
        <f t="shared" si="5"/>
        <v>57345.66</v>
      </c>
      <c r="S21" s="2302">
        <f t="shared" si="5"/>
        <v>25448.21</v>
      </c>
    </row>
    <row r="22" spans="1:19">
      <c r="A22" s="138"/>
      <c r="B22" s="115" t="s">
        <v>226</v>
      </c>
      <c r="C22" s="1365">
        <f>'数据-基础表'!O11</f>
        <v>6</v>
      </c>
      <c r="D22" s="111">
        <f t="shared" si="1"/>
        <v>6559.72</v>
      </c>
      <c r="E22" s="134">
        <f t="shared" si="2"/>
        <v>2911</v>
      </c>
      <c r="F22" s="140">
        <f>'数据-基础表'!O5</f>
        <v>2911</v>
      </c>
      <c r="G22" s="1369"/>
      <c r="H22" s="974">
        <f t="shared" si="6"/>
        <v>0</v>
      </c>
      <c r="I22" s="116">
        <f t="shared" si="7"/>
        <v>0</v>
      </c>
      <c r="J22" s="1985"/>
      <c r="K22" s="2609">
        <f t="shared" si="3"/>
        <v>0</v>
      </c>
      <c r="L22" s="275">
        <f t="shared" si="4"/>
        <v>0</v>
      </c>
      <c r="M22" s="2610">
        <f t="shared" si="8"/>
        <v>0</v>
      </c>
      <c r="N22" s="2611"/>
      <c r="O22" s="2612"/>
      <c r="P22" s="2613">
        <f t="shared" si="9"/>
        <v>0</v>
      </c>
      <c r="R22" s="275">
        <f t="shared" si="5"/>
        <v>6559.72</v>
      </c>
      <c r="S22" s="2302">
        <f t="shared" si="5"/>
        <v>2911</v>
      </c>
    </row>
    <row r="23" spans="1:19">
      <c r="A23" s="138"/>
      <c r="B23" s="115" t="s">
        <v>226</v>
      </c>
      <c r="C23" s="139">
        <f>'数据-基础表'!Q11</f>
        <v>4</v>
      </c>
      <c r="D23" s="111">
        <f>ROUND($D$3*E23/$E$3,2)</f>
        <v>5585.12</v>
      </c>
      <c r="E23" s="134">
        <f>SUM(F23:G23)</f>
        <v>2478.5</v>
      </c>
      <c r="F23" s="140">
        <f>'数据-基础表'!Q5</f>
        <v>2478.5</v>
      </c>
      <c r="G23" s="1369"/>
      <c r="H23" s="974">
        <f>ROUND($D$3*I23/$E$3,2)</f>
        <v>0</v>
      </c>
      <c r="I23" s="116">
        <f t="shared" si="7"/>
        <v>0</v>
      </c>
      <c r="J23" s="1985"/>
      <c r="K23" s="2609">
        <f t="shared" si="3"/>
        <v>0</v>
      </c>
      <c r="L23" s="275">
        <f t="shared" si="4"/>
        <v>0</v>
      </c>
      <c r="M23" s="2610">
        <f t="shared" si="8"/>
        <v>0</v>
      </c>
      <c r="N23" s="2611"/>
      <c r="O23" s="2612"/>
      <c r="P23" s="2613">
        <f t="shared" si="9"/>
        <v>0</v>
      </c>
      <c r="R23" s="275">
        <f t="shared" si="5"/>
        <v>5585.12</v>
      </c>
      <c r="S23" s="2302">
        <f t="shared" si="5"/>
        <v>2478.5</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130380.53</v>
      </c>
      <c r="E27" s="143">
        <f>IF(SUM(E19:E26)='数据-基础表'!BA5,SUM(E19:E26),IF(F27="地上面积有误","面积有误","地下面积有误"))</f>
        <v>57858.799999999996</v>
      </c>
      <c r="F27" s="134">
        <f>IF(SUM(F19:F26)=E8,SUM(F19:F26),"地上面积有误")</f>
        <v>57858.799999999996</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130380.53</v>
      </c>
      <c r="S27" s="275">
        <f>IF(SUM(S19:S26)=$E$3,SUM(S19:S26),SUM(S19:S26)&amp;"误差"&amp;ROUND(SUM(S19:S26)-E3,2))</f>
        <v>57858.799999999996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130380.53</v>
      </c>
      <c r="E31" s="1372">
        <f>E27+E30</f>
        <v>57858.799999999996</v>
      </c>
      <c r="F31" s="1373">
        <f>F27+F30</f>
        <v>57858.799999999996</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43410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平房</v>
      </c>
      <c r="B6" s="2338" t="str">
        <f>IF(A6=0,"","经营性")</f>
        <v>经营性</v>
      </c>
      <c r="C6" s="173" t="s">
        <v>982</v>
      </c>
      <c r="D6" s="2309">
        <f>SUMIF(项目基本情况!D$15:I$15,C6,项目基本情况!D$18:I$18)</f>
        <v>50</v>
      </c>
      <c r="E6" s="2310">
        <f>IF(B6="","",SUMIF(项目基本情况!D$15:I$15,C6,项目基本情况!D$17:I$17))</f>
        <v>54945</v>
      </c>
      <c r="F6" s="174">
        <f>SUMIF(项目基本情况!D$15:I$15,C6,项目基本情况!D$19:I$19)</f>
        <v>31.6</v>
      </c>
      <c r="G6" s="175">
        <f>IF(ISERROR(ROUND(POWER(1+H6,D6-F6)*(POWER(1+H6,F6)-1)/(POWER(1+H6,D6)-1),3)),0,ROUND(POWER(1+H6,D6-F6)*(POWER(1+H6,F6)-1)/(POWER(1+H6,D6)-1),3))</f>
        <v>0.80700000000000005</v>
      </c>
      <c r="H6" s="3027">
        <v>3.5000000000000003E-2</v>
      </c>
      <c r="I6" s="3027">
        <v>0.04</v>
      </c>
      <c r="J6" s="176">
        <v>7.0000000000000007E-2</v>
      </c>
      <c r="K6" s="179">
        <f>SUMIF('数据-汇总表'!C$19:C$33,'数据-取费表'!A6,'数据-汇总表'!E$19:E$33)</f>
        <v>22759.489999999998</v>
      </c>
      <c r="L6" s="3028"/>
      <c r="M6" s="177">
        <f t="shared" ref="M6:M14" si="0">ROUND(K6*L6/10000,0)</f>
        <v>0</v>
      </c>
      <c r="N6" s="3029"/>
      <c r="O6" s="177">
        <f>IF($N$5="成新度","——",ROUND(M6*N6,0))</f>
        <v>0</v>
      </c>
      <c r="P6" s="178">
        <f>IF($N$5="成新度","——",M6-O6)</f>
        <v>0</v>
      </c>
      <c r="Q6" s="3030">
        <v>0.15</v>
      </c>
      <c r="R6" s="179">
        <f>SUMIF('数据-汇总表'!C$19:C$33,A6,'数据-汇总表'!R$19:R$33)</f>
        <v>51286.83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0.66300000000000003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2</v>
      </c>
      <c r="B7" s="2338" t="str">
        <f t="shared" ref="B7:B13" si="1">IF(A7=0,"","经营性")</f>
        <v>经营性</v>
      </c>
      <c r="C7" s="173" t="s">
        <v>982</v>
      </c>
      <c r="D7" s="2309">
        <f>SUMIF(项目基本情况!D$15:I$15,C7,项目基本情况!D$18:I$18)</f>
        <v>50</v>
      </c>
      <c r="E7" s="2310">
        <f>IF(B7="","",SUMIF(项目基本情况!D$15:I$15,C7,项目基本情况!D$17:I$17))</f>
        <v>54945</v>
      </c>
      <c r="F7" s="174">
        <f>SUMIF(项目基本情况!D$15:I$15,C7,项目基本情况!D$19:I$19)</f>
        <v>31.6</v>
      </c>
      <c r="G7" s="175">
        <f t="shared" ref="G7:G11" si="2">IF(ISERROR(ROUND(POWER(1+H7,D7-F7)*(POWER(1+H7,F7)-1)/(POWER(1+H7,D7)-1),3)),0,ROUND(POWER(1+H7,D7-F7)*(POWER(1+H7,F7)-1)/(POWER(1+H7,D7)-1),3))</f>
        <v>0.80700000000000005</v>
      </c>
      <c r="H7" s="3027">
        <v>3.5000000000000003E-2</v>
      </c>
      <c r="I7" s="3027">
        <v>0.04</v>
      </c>
      <c r="J7" s="176">
        <v>7.0000000000000007E-2</v>
      </c>
      <c r="K7" s="179">
        <f>SUMIF('数据-汇总表'!C$19:C$33,'数据-取费表'!A7,'数据-汇总表'!E$19:E$33)</f>
        <v>4261.5999999999995</v>
      </c>
      <c r="L7" s="3028"/>
      <c r="M7" s="177">
        <f t="shared" si="0"/>
        <v>0</v>
      </c>
      <c r="N7" s="3029"/>
      <c r="O7" s="177">
        <f t="shared" ref="O7:O14" si="3">IF($N$5="成新度","——",ROUND(M7*N7,0))</f>
        <v>0</v>
      </c>
      <c r="P7" s="178">
        <f t="shared" ref="P7:P14" si="4">IF($N$5="成新度","——",M7-O7)</f>
        <v>0</v>
      </c>
      <c r="Q7" s="3030">
        <v>0.15</v>
      </c>
      <c r="R7" s="179">
        <f>SUMIF('数据-汇总表'!C$19:C$33,A7,'数据-汇总表'!R$19:R$33)</f>
        <v>9603.2000000000007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0.66300000000000003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3</v>
      </c>
      <c r="B8" s="2338" t="str">
        <f t="shared" si="1"/>
        <v>经营性</v>
      </c>
      <c r="C8" s="173" t="s">
        <v>982</v>
      </c>
      <c r="D8" s="2309">
        <f>SUMIF(项目基本情况!D$15:I$15,C8,项目基本情况!D$18:I$18)</f>
        <v>50</v>
      </c>
      <c r="E8" s="2310">
        <f>IF(B8="","",SUMIF(项目基本情况!D$15:I$15,C8,项目基本情况!D$17:I$17))</f>
        <v>54945</v>
      </c>
      <c r="F8" s="174">
        <f>SUMIF(项目基本情况!D$15:I$15,C8,项目基本情况!D$19:I$19)</f>
        <v>31.6</v>
      </c>
      <c r="G8" s="175">
        <f t="shared" si="2"/>
        <v>0.80700000000000005</v>
      </c>
      <c r="H8" s="3027">
        <v>3.5000000000000003E-2</v>
      </c>
      <c r="I8" s="3027">
        <v>0.04</v>
      </c>
      <c r="J8" s="176">
        <v>7.0000000000000007E-2</v>
      </c>
      <c r="K8" s="179">
        <f>SUMIF('数据-汇总表'!C$19:C$33,'数据-取费表'!A8,'数据-汇总表'!E$19:E$33)</f>
        <v>25448.21</v>
      </c>
      <c r="L8" s="3028"/>
      <c r="M8" s="177">
        <f>ROUND(K8*L8/10000,0)</f>
        <v>0</v>
      </c>
      <c r="N8" s="3029"/>
      <c r="O8" s="177">
        <f t="shared" si="3"/>
        <v>0</v>
      </c>
      <c r="P8" s="178">
        <f t="shared" si="4"/>
        <v>0</v>
      </c>
      <c r="Q8" s="3030">
        <v>0.15</v>
      </c>
      <c r="R8" s="179">
        <f>SUMIF('数据-汇总表'!C$19:C$33,A8,'数据-汇总表'!R$19:R$33)</f>
        <v>57345.66</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0.66300000000000003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6</v>
      </c>
      <c r="B9" s="2338" t="str">
        <f t="shared" si="1"/>
        <v>经营性</v>
      </c>
      <c r="C9" s="173" t="s">
        <v>982</v>
      </c>
      <c r="D9" s="2309">
        <f>SUMIF(项目基本情况!D$15:I$15,C9,项目基本情况!D$18:I$18)</f>
        <v>50</v>
      </c>
      <c r="E9" s="2310">
        <f>IF(B9="","",SUMIF(项目基本情况!D$15:I$15,C9,项目基本情况!D$17:I$17))</f>
        <v>54945</v>
      </c>
      <c r="F9" s="174">
        <f>SUMIF(项目基本情况!D$15:I$15,C9,项目基本情况!D$19:I$19)</f>
        <v>31.6</v>
      </c>
      <c r="G9" s="175">
        <f t="shared" si="2"/>
        <v>0.80700000000000005</v>
      </c>
      <c r="H9" s="3027">
        <v>3.5000000000000003E-2</v>
      </c>
      <c r="I9" s="3027">
        <v>0.04</v>
      </c>
      <c r="J9" s="176">
        <v>7.0000000000000007E-2</v>
      </c>
      <c r="K9" s="179">
        <f>SUMIF('数据-汇总表'!C$19:C$33,'数据-取费表'!A9,'数据-汇总表'!E$19:E$33)</f>
        <v>2911</v>
      </c>
      <c r="L9" s="193"/>
      <c r="M9" s="177">
        <f t="shared" si="0"/>
        <v>0</v>
      </c>
      <c r="N9" s="194"/>
      <c r="O9" s="177">
        <f t="shared" si="3"/>
        <v>0</v>
      </c>
      <c r="P9" s="178">
        <f t="shared" si="4"/>
        <v>0</v>
      </c>
      <c r="Q9" s="192">
        <v>0.15</v>
      </c>
      <c r="R9" s="179">
        <f>SUMIF('数据-汇总表'!C$19:C$33,A9,'数据-汇总表'!R$19:R$33)</f>
        <v>6559.72</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0.66300000000000003</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4</v>
      </c>
      <c r="B10" s="2338" t="str">
        <f t="shared" si="1"/>
        <v>经营性</v>
      </c>
      <c r="C10" s="173" t="s">
        <v>982</v>
      </c>
      <c r="D10" s="2309">
        <f>SUMIF(项目基本情况!D$15:I$15,C10,项目基本情况!D$18:I$18)</f>
        <v>50</v>
      </c>
      <c r="E10" s="2310">
        <f>IF(B10="","",SUMIF(项目基本情况!D$15:I$15,C10,项目基本情况!D$17:I$17))</f>
        <v>54945</v>
      </c>
      <c r="F10" s="174">
        <f>SUMIF(项目基本情况!D$15:I$15,C10,项目基本情况!D$19:I$19)</f>
        <v>31.6</v>
      </c>
      <c r="G10" s="175">
        <f t="shared" si="2"/>
        <v>0.80700000000000005</v>
      </c>
      <c r="H10" s="3027">
        <v>3.5000000000000003E-2</v>
      </c>
      <c r="I10" s="3027">
        <v>0.04</v>
      </c>
      <c r="J10" s="176">
        <v>7.0000000000000007E-2</v>
      </c>
      <c r="K10" s="179">
        <f>SUMIF('数据-汇总表'!C$19:C$33,'数据-取费表'!A10,'数据-汇总表'!E$19:E$33)</f>
        <v>2478.5</v>
      </c>
      <c r="L10" s="193"/>
      <c r="M10" s="177">
        <f t="shared" si="0"/>
        <v>0</v>
      </c>
      <c r="N10" s="194"/>
      <c r="O10" s="177">
        <f t="shared" si="3"/>
        <v>0</v>
      </c>
      <c r="P10" s="178">
        <f t="shared" si="4"/>
        <v>0</v>
      </c>
      <c r="Q10" s="192">
        <v>0.15</v>
      </c>
      <c r="R10" s="179">
        <f>SUMIF('数据-汇总表'!C$19:C$33,A10,'数据-汇总表'!R$19:R$33)</f>
        <v>5585.12</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0.66300000000000003</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0.80700000000000005</v>
      </c>
      <c r="H16" s="203">
        <f>ROUND(SUMPRODUCT(H6:H13,K6:K13)/SUMPRODUCT((H6:H13&gt;0)*(K6:K13)),3)</f>
        <v>3.5000000000000003E-2</v>
      </c>
      <c r="I16" s="204"/>
      <c r="J16" s="204"/>
      <c r="K16" s="205">
        <f>SUM(K6:K15)</f>
        <v>57858.799999999996</v>
      </c>
      <c r="L16" s="206">
        <f>ROUND(M16*10000/SUM(K6:K14),0)</f>
        <v>0</v>
      </c>
      <c r="M16" s="206">
        <f>SUM(M6:M14)</f>
        <v>0</v>
      </c>
      <c r="N16" s="207" t="e">
        <f>ROUND(SUMPRODUCT(M6:M14,N6:N14)/M16,3)</f>
        <v>#DIV/0!</v>
      </c>
      <c r="O16" s="206">
        <f>SUM(O6:O14)</f>
        <v>0</v>
      </c>
      <c r="P16" s="206">
        <f>SUM(P6:P14)</f>
        <v>0</v>
      </c>
      <c r="Q16" s="208">
        <f>ROUND(SUMPRODUCT(Q6:Q13,K6:K13)/SUMPRODUCT((Q6:Q13&gt;0)*(K6:K13)),2)</f>
        <v>0.15</v>
      </c>
      <c r="R16" s="2312">
        <f>SUM(R6:R13)</f>
        <v>130380.53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0.66300000000000003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1</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160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2907</v>
      </c>
      <c r="D53" s="3079"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2909</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2910</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2911</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2912</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2913</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2914</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0" t="s">
        <v>1664</v>
      </c>
      <c r="B1" s="3321"/>
      <c r="C1" s="3321"/>
      <c r="D1" s="3321"/>
      <c r="E1" s="3321"/>
      <c r="F1" s="3321"/>
      <c r="G1" s="332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2925</v>
      </c>
      <c r="D3" s="2010"/>
      <c r="E3" s="1229" t="s">
        <v>1667</v>
      </c>
      <c r="F3" s="1230" t="s">
        <v>1655</v>
      </c>
      <c r="G3" s="3087" t="s">
        <v>2924</v>
      </c>
      <c r="H3" s="2009"/>
      <c r="I3" s="2009"/>
      <c r="J3" s="2009"/>
      <c r="K3" s="2009"/>
      <c r="L3" s="2009"/>
      <c r="M3" s="2009"/>
      <c r="N3" s="2009"/>
      <c r="O3" s="2009"/>
      <c r="P3" s="2009"/>
      <c r="Q3" s="2009"/>
      <c r="R3" s="2009"/>
    </row>
    <row r="4" spans="1:18" ht="41.25">
      <c r="A4" s="1229"/>
      <c r="B4" s="1231" t="s">
        <v>1668</v>
      </c>
      <c r="C4" s="3084" t="s">
        <v>2926</v>
      </c>
      <c r="D4" s="2010"/>
      <c r="E4" s="1232"/>
      <c r="F4" s="1233" t="s">
        <v>1669</v>
      </c>
      <c r="G4" s="3085" t="s">
        <v>2921</v>
      </c>
      <c r="H4" s="2009"/>
      <c r="I4" s="2009"/>
      <c r="J4" s="2009"/>
      <c r="K4" s="2009"/>
      <c r="L4" s="2009"/>
      <c r="M4" s="2009"/>
      <c r="N4" s="2009"/>
      <c r="O4" s="2009"/>
      <c r="P4" s="2009"/>
      <c r="Q4" s="2009"/>
      <c r="R4" s="2009"/>
    </row>
    <row r="5" spans="1:18" ht="41.25">
      <c r="A5" s="1229"/>
      <c r="B5" s="1231" t="s">
        <v>1670</v>
      </c>
      <c r="C5" s="3084" t="s">
        <v>2927</v>
      </c>
      <c r="D5" s="2010"/>
      <c r="E5" s="1232"/>
      <c r="F5" s="1231" t="s">
        <v>2549</v>
      </c>
      <c r="G5" s="3085" t="s">
        <v>2922</v>
      </c>
      <c r="H5" s="2009"/>
      <c r="I5" s="2009"/>
      <c r="J5" s="2009"/>
      <c r="K5" s="2009"/>
      <c r="L5" s="2009"/>
      <c r="M5" s="2009"/>
      <c r="N5" s="2009"/>
      <c r="O5" s="2009"/>
      <c r="P5" s="2009"/>
      <c r="Q5" s="2009"/>
      <c r="R5" s="2009"/>
    </row>
    <row r="6" spans="1:18" ht="54">
      <c r="A6" s="1229"/>
      <c r="B6" s="1231" t="s">
        <v>1656</v>
      </c>
      <c r="C6" s="3085" t="s">
        <v>2921</v>
      </c>
      <c r="D6" s="2010"/>
      <c r="E6" s="1232"/>
      <c r="F6" s="1231" t="s">
        <v>2550</v>
      </c>
      <c r="G6" s="3085" t="s">
        <v>2919</v>
      </c>
      <c r="H6" s="2009"/>
      <c r="I6" s="2009"/>
      <c r="J6" s="2009"/>
      <c r="K6" s="2009"/>
      <c r="L6" s="2009"/>
      <c r="M6" s="2009"/>
      <c r="N6" s="2009"/>
      <c r="O6" s="2009"/>
      <c r="P6" s="2009"/>
      <c r="Q6" s="2009"/>
      <c r="R6" s="2009"/>
    </row>
    <row r="7" spans="1:18" ht="41.25" thickBot="1">
      <c r="A7" s="1229"/>
      <c r="B7" s="1231" t="s">
        <v>2549</v>
      </c>
      <c r="C7" s="3085" t="s">
        <v>2922</v>
      </c>
      <c r="D7" s="2011"/>
      <c r="E7" s="1234"/>
      <c r="F7" s="1235" t="s">
        <v>1671</v>
      </c>
      <c r="G7" s="3088" t="s">
        <v>2923</v>
      </c>
      <c r="H7" s="2009"/>
      <c r="I7" s="2009"/>
      <c r="J7" s="2009"/>
      <c r="K7" s="2009"/>
      <c r="L7" s="2009"/>
      <c r="M7" s="2009"/>
      <c r="N7" s="2009"/>
      <c r="O7" s="2009"/>
      <c r="P7" s="2009"/>
      <c r="Q7" s="2009"/>
      <c r="R7" s="2009"/>
    </row>
    <row r="8" spans="1:18" ht="27">
      <c r="A8" s="1229"/>
      <c r="B8" s="1231" t="s">
        <v>2550</v>
      </c>
      <c r="C8" s="3085" t="s">
        <v>2919</v>
      </c>
      <c r="D8" s="2011"/>
      <c r="E8" s="2011"/>
      <c r="F8" s="1554"/>
      <c r="G8" s="1554"/>
      <c r="H8" s="2009"/>
      <c r="I8" s="2009"/>
      <c r="J8" s="2009"/>
      <c r="K8" s="2009"/>
      <c r="L8" s="2009"/>
      <c r="M8" s="2009"/>
      <c r="N8" s="2009"/>
      <c r="O8" s="2009"/>
      <c r="P8" s="2009"/>
      <c r="Q8" s="2009"/>
      <c r="R8" s="2009"/>
    </row>
    <row r="9" spans="1:18" ht="40.5">
      <c r="A9" s="1229"/>
      <c r="B9" s="1231" t="s">
        <v>1657</v>
      </c>
      <c r="C9" s="3084"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2846</v>
      </c>
      <c r="B1" s="3047">
        <f>SUM(B14:B23)</f>
        <v>57858.8</v>
      </c>
      <c r="C1" s="3048"/>
      <c r="D1" s="3048"/>
      <c r="E1" s="3048"/>
      <c r="F1" s="3048"/>
    </row>
    <row r="2" spans="1:9" ht="16.5">
      <c r="A2" s="3047" t="s">
        <v>2847</v>
      </c>
      <c r="B2" s="3047">
        <f>SUM(C14:C23)</f>
        <v>130380.53</v>
      </c>
      <c r="C2" s="3048"/>
      <c r="D2" s="3048"/>
      <c r="E2" s="3048"/>
      <c r="F2" s="3048"/>
    </row>
    <row r="3" spans="1:9" ht="16.5">
      <c r="A3" s="3047" t="s">
        <v>2848</v>
      </c>
      <c r="B3" s="3049">
        <f>项目基本情况!D3</f>
        <v>43410</v>
      </c>
      <c r="C3" s="3048"/>
      <c r="D3" s="3048"/>
      <c r="E3" s="3048"/>
      <c r="F3" s="3048"/>
    </row>
    <row r="4" spans="1:9" ht="33">
      <c r="A4" s="3047" t="s">
        <v>2849</v>
      </c>
      <c r="B4" s="3047" t="s">
        <v>2850</v>
      </c>
      <c r="C4" s="3047" t="s">
        <v>2851</v>
      </c>
      <c r="D4" s="3047" t="s">
        <v>2852</v>
      </c>
      <c r="E4" s="3048"/>
      <c r="F4" s="3048"/>
    </row>
    <row r="5" spans="1:9" ht="16.5">
      <c r="A5" s="3047" t="s">
        <v>2853</v>
      </c>
      <c r="B5" s="3047">
        <f ca="1">SUM(D14:D23)</f>
        <v>82125</v>
      </c>
      <c r="C5" s="3047">
        <f ca="1">ROUND(B5*10000/$B$1,0)</f>
        <v>14194</v>
      </c>
      <c r="D5" s="3047">
        <f ca="1">ROUND(B5*10000/$B$2,0)</f>
        <v>6299</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57858.8</v>
      </c>
      <c r="C14" s="3051">
        <f>结果表!K38</f>
        <v>130380.53</v>
      </c>
      <c r="D14" s="3051">
        <f ca="1">结果表!C42</f>
        <v>82125</v>
      </c>
      <c r="E14" s="3051">
        <f ca="1">ROUND(D14*10000/B14,0)</f>
        <v>14194</v>
      </c>
      <c r="F14" s="3051">
        <f ca="1">ROUND(D14*10000/C14,0)</f>
        <v>6299</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58" t="str">
        <f>项目基本情况!K2</f>
        <v>北京市海淀区清河安宁庄东路1号出让国有建设用地使用权</v>
      </c>
      <c r="B2" s="3359"/>
      <c r="C2" s="3360"/>
      <c r="D2" s="3360"/>
      <c r="E2" s="3360"/>
      <c r="F2" s="3360"/>
      <c r="G2" s="3359"/>
      <c r="H2" s="3359"/>
      <c r="I2" s="3361"/>
      <c r="J2" s="2031"/>
      <c r="K2" s="2030"/>
      <c r="L2" s="2030"/>
      <c r="M2" s="2030"/>
      <c r="N2" s="2030"/>
      <c r="O2" s="2030"/>
      <c r="P2" s="2030"/>
      <c r="Q2" s="2030"/>
      <c r="R2" s="2030"/>
      <c r="S2" s="2030"/>
      <c r="T2" s="2030"/>
      <c r="U2" s="2030"/>
      <c r="V2" s="2030"/>
    </row>
    <row r="3" spans="1:22" ht="14.25">
      <c r="A3" s="3351" t="s">
        <v>298</v>
      </c>
      <c r="B3" s="3352"/>
      <c r="C3" s="3352"/>
      <c r="D3" s="3352"/>
      <c r="E3" s="3352"/>
      <c r="F3" s="3352"/>
      <c r="G3" s="3352"/>
      <c r="H3" s="3352"/>
      <c r="I3" s="3352"/>
      <c r="J3" s="2031"/>
      <c r="K3" s="2030"/>
      <c r="L3" s="2030"/>
      <c r="M3" s="2030"/>
      <c r="N3" s="2030"/>
      <c r="O3" s="2030"/>
      <c r="P3" s="2030"/>
      <c r="Q3" s="2030"/>
      <c r="R3" s="2030"/>
      <c r="S3" s="2030"/>
      <c r="T3" s="2030"/>
      <c r="U3" s="2030"/>
      <c r="V3" s="2030"/>
    </row>
    <row r="4" spans="1:22" ht="14.25">
      <c r="A4" s="258" t="s">
        <v>299</v>
      </c>
      <c r="B4" s="259" t="s">
        <v>300</v>
      </c>
      <c r="C4" s="260" t="s">
        <v>2955</v>
      </c>
      <c r="D4" s="260" t="s">
        <v>3048</v>
      </c>
      <c r="E4" s="3323" t="s">
        <v>301</v>
      </c>
      <c r="F4" s="3324"/>
      <c r="G4" s="3324"/>
      <c r="H4" s="3324"/>
      <c r="I4" s="3353"/>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322" t="s">
        <v>302</v>
      </c>
      <c r="B5" s="3348">
        <v>25</v>
      </c>
      <c r="C5" s="3346">
        <v>3</v>
      </c>
      <c r="D5" s="3350">
        <f>10-C5</f>
        <v>7</v>
      </c>
      <c r="E5" s="261" t="s">
        <v>303</v>
      </c>
      <c r="F5" s="262"/>
      <c r="G5" s="262"/>
      <c r="H5" s="262"/>
      <c r="I5" s="263"/>
      <c r="J5" s="2031"/>
      <c r="K5" s="2030"/>
      <c r="L5" s="2030"/>
      <c r="M5" s="2030"/>
      <c r="N5" s="2030"/>
      <c r="O5" s="2030"/>
      <c r="P5" s="2030"/>
      <c r="Q5" s="2030"/>
      <c r="R5" s="2030"/>
      <c r="S5" s="2030"/>
      <c r="T5" s="2030"/>
      <c r="U5" s="2030"/>
      <c r="V5" s="2030"/>
    </row>
    <row r="6" spans="1:22" ht="14.25">
      <c r="A6" s="3322"/>
      <c r="B6" s="3348"/>
      <c r="C6" s="3349"/>
      <c r="D6" s="3350"/>
      <c r="E6" s="261" t="s">
        <v>304</v>
      </c>
      <c r="F6" s="262"/>
      <c r="G6" s="262"/>
      <c r="H6" s="262"/>
      <c r="I6" s="263"/>
      <c r="J6" s="2031"/>
      <c r="K6" s="2030"/>
      <c r="L6" s="2030"/>
      <c r="M6" s="2030"/>
      <c r="N6" s="2030"/>
      <c r="O6" s="2030"/>
      <c r="P6" s="2030"/>
      <c r="Q6" s="2030"/>
      <c r="R6" s="2030"/>
      <c r="S6" s="2030"/>
      <c r="T6" s="2030"/>
      <c r="U6" s="2030"/>
      <c r="V6" s="2030"/>
    </row>
    <row r="7" spans="1:22" ht="14.25">
      <c r="A7" s="3322"/>
      <c r="B7" s="3348"/>
      <c r="C7" s="3347"/>
      <c r="D7" s="3350"/>
      <c r="E7" s="261" t="s">
        <v>305</v>
      </c>
      <c r="F7" s="262"/>
      <c r="G7" s="262"/>
      <c r="H7" s="262"/>
      <c r="I7" s="263"/>
      <c r="J7" s="2031"/>
      <c r="K7" s="2030"/>
      <c r="L7" s="2030"/>
      <c r="M7" s="2030"/>
      <c r="N7" s="2030"/>
      <c r="O7" s="2030"/>
      <c r="P7" s="2030"/>
      <c r="Q7" s="2030"/>
      <c r="R7" s="2030"/>
      <c r="S7" s="2030"/>
      <c r="T7" s="2030"/>
      <c r="U7" s="2030"/>
      <c r="V7" s="2030"/>
    </row>
    <row r="8" spans="1:22" ht="14.25">
      <c r="A8" s="3322" t="s">
        <v>306</v>
      </c>
      <c r="B8" s="3348">
        <v>15</v>
      </c>
      <c r="C8" s="3346"/>
      <c r="D8" s="3350"/>
      <c r="E8" s="261" t="s">
        <v>307</v>
      </c>
      <c r="F8" s="262"/>
      <c r="G8" s="262"/>
      <c r="H8" s="262"/>
      <c r="I8" s="263"/>
      <c r="J8" s="2031"/>
      <c r="K8" s="2030"/>
      <c r="L8" s="2030"/>
      <c r="M8" s="2030"/>
      <c r="N8" s="2030"/>
      <c r="O8" s="2030"/>
      <c r="P8" s="2030"/>
      <c r="Q8" s="2030"/>
      <c r="R8" s="2030"/>
      <c r="S8" s="2030"/>
      <c r="T8" s="2030"/>
      <c r="U8" s="2030"/>
      <c r="V8" s="2030"/>
    </row>
    <row r="9" spans="1:22" ht="14.25">
      <c r="A9" s="3322"/>
      <c r="B9" s="3348"/>
      <c r="C9" s="3347"/>
      <c r="D9" s="3350"/>
      <c r="E9" s="261" t="s">
        <v>308</v>
      </c>
      <c r="F9" s="262"/>
      <c r="G9" s="262"/>
      <c r="H9" s="262"/>
      <c r="I9" s="263"/>
      <c r="J9" s="2031"/>
      <c r="K9" s="2030"/>
      <c r="L9" s="2030"/>
      <c r="M9" s="2030"/>
      <c r="N9" s="2030"/>
      <c r="O9" s="2030"/>
      <c r="P9" s="2030"/>
      <c r="Q9" s="2030"/>
      <c r="R9" s="2030"/>
      <c r="S9" s="2030"/>
      <c r="T9" s="2030"/>
      <c r="U9" s="2030"/>
      <c r="V9" s="2030"/>
    </row>
    <row r="10" spans="1:22" ht="14.25">
      <c r="A10" s="3322" t="s">
        <v>309</v>
      </c>
      <c r="B10" s="3348">
        <v>15</v>
      </c>
      <c r="C10" s="3346"/>
      <c r="D10" s="335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2"/>
      <c r="B11" s="3348"/>
      <c r="C11" s="3347"/>
      <c r="D11" s="335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2" t="s">
        <v>312</v>
      </c>
      <c r="B12" s="3348">
        <v>15</v>
      </c>
      <c r="C12" s="3346"/>
      <c r="D12" s="335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2"/>
      <c r="B13" s="3348"/>
      <c r="C13" s="3347"/>
      <c r="D13" s="335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2" t="s">
        <v>315</v>
      </c>
      <c r="B14" s="3348">
        <v>30</v>
      </c>
      <c r="C14" s="3346"/>
      <c r="D14" s="3350"/>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2"/>
      <c r="B15" s="3348"/>
      <c r="C15" s="3349"/>
      <c r="D15" s="335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2"/>
      <c r="B16" s="3348"/>
      <c r="C16" s="3347"/>
      <c r="D16" s="335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23601</v>
      </c>
      <c r="D19" s="271">
        <f ca="1">SUMIF(INDIRECT("'"&amp;D4&amp;"'"&amp;"!A:A"),结果表!B19,INDIRECT("'"&amp;D4&amp;"'"&amp;"!B:B"))</f>
        <v>107207</v>
      </c>
      <c r="E19" s="268" t="s">
        <v>323</v>
      </c>
      <c r="F19" s="269" t="s">
        <v>322</v>
      </c>
      <c r="G19" s="272">
        <f ca="1">ROUND(C19*$C$18+D19*$D$18,0)</f>
        <v>82125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4079</v>
      </c>
      <c r="D20" s="277">
        <f ca="1">SUMIF(INDIRECT("'"&amp;D4&amp;"'"&amp;"!A:A"),结果表!B20,INDIRECT("'"&amp;D4&amp;"'"&amp;"!B:B"))</f>
        <v>18529</v>
      </c>
      <c r="E20" s="274"/>
      <c r="F20" s="275" t="s">
        <v>325</v>
      </c>
      <c r="G20" s="278">
        <f ca="1">ROUND(C20*$C$18+D20*$D$18,0)</f>
        <v>14194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1810</v>
      </c>
      <c r="D21" s="151">
        <f ca="1">SUMIF(INDIRECT("'"&amp;D4&amp;"'"&amp;"!A:A"),结果表!B21,INDIRECT("'"&amp;D4&amp;"'"&amp;"!B:B"))</f>
        <v>8223</v>
      </c>
      <c r="E21" s="274"/>
      <c r="F21" s="280" t="s">
        <v>327</v>
      </c>
      <c r="G21" s="282">
        <f ca="1">ROUND(C21*$C$18+D21*$D$18,0)</f>
        <v>6299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3.5424770136858612</v>
      </c>
      <c r="E22" s="284"/>
      <c r="F22" s="285"/>
      <c r="G22" s="286">
        <f ca="1">ROUND(G19/('数据-汇总表'!D3/666.67),0)</f>
        <v>420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29"/>
      <c r="B25" s="1321" t="s">
        <v>331</v>
      </c>
      <c r="C25" s="290">
        <f>IF(B30=0,0,C30)</f>
        <v>0</v>
      </c>
      <c r="D25" s="291"/>
      <c r="E25" s="311"/>
      <c r="F25" s="311"/>
      <c r="G25" s="311"/>
      <c r="H25" s="311"/>
      <c r="I25" s="311"/>
      <c r="J25" s="2030"/>
      <c r="K25" s="1255" t="str">
        <f ca="1">项目基本情况!B16&amp;"国有建设用地使用权价格："&amp;O38&amp;"万元"</f>
        <v>出让国有建设用地使用权价格：82125万元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大写金额：人民币捌亿贰仟壹佰贰拾伍万元整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单位面积地价：6299元/平方米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楼面地价：14194元/平方米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82125</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14194</v>
      </c>
      <c r="D33" s="1386" t="s">
        <v>1692</v>
      </c>
      <c r="E33" s="332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6299</v>
      </c>
      <c r="D34" s="1388" t="s">
        <v>1692</v>
      </c>
      <c r="E34" s="336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420</v>
      </c>
      <c r="D35" s="1391" t="s">
        <v>1694</v>
      </c>
      <c r="E35" s="3370"/>
      <c r="F35" s="301" t="s">
        <v>342</v>
      </c>
      <c r="G35" s="982"/>
      <c r="H35" s="981" t="s">
        <v>343</v>
      </c>
      <c r="I35" s="311"/>
      <c r="J35" s="2030"/>
      <c r="K35" s="3343" t="s">
        <v>350</v>
      </c>
      <c r="L35" s="3343" t="s">
        <v>351</v>
      </c>
      <c r="M35" s="1264" t="s">
        <v>352</v>
      </c>
      <c r="N35" s="3343" t="s">
        <v>353</v>
      </c>
      <c r="O35" s="3343" t="s">
        <v>354</v>
      </c>
      <c r="P35" s="2030"/>
      <c r="V35" s="2030"/>
    </row>
    <row r="36" spans="1:26" ht="16.5" customHeight="1">
      <c r="A36" s="303" t="s">
        <v>344</v>
      </c>
      <c r="B36" s="304" t="s">
        <v>333</v>
      </c>
      <c r="C36" s="305" t="s">
        <v>345</v>
      </c>
      <c r="D36" s="305" t="s">
        <v>346</v>
      </c>
      <c r="E36" s="306" t="s">
        <v>347</v>
      </c>
      <c r="F36" s="311"/>
      <c r="G36" s="311"/>
      <c r="H36" s="311"/>
      <c r="I36" s="311"/>
      <c r="J36" s="2032"/>
      <c r="K36" s="3344"/>
      <c r="L36" s="3344"/>
      <c r="M36" s="1266" t="s">
        <v>355</v>
      </c>
      <c r="N36" s="3344"/>
      <c r="O36" s="3344"/>
      <c r="P36" s="2030"/>
      <c r="V36" s="2030"/>
    </row>
    <row r="37" spans="1:26" ht="16.5" customHeight="1" thickBot="1">
      <c r="A37" s="1260" t="s">
        <v>348</v>
      </c>
      <c r="B37" s="307"/>
      <c r="C37" s="294"/>
      <c r="D37" s="294"/>
      <c r="E37" s="295"/>
      <c r="F37" s="311"/>
      <c r="G37" s="311"/>
      <c r="H37" s="311"/>
      <c r="I37" s="311"/>
      <c r="J37" s="2032"/>
      <c r="K37" s="3345"/>
      <c r="L37" s="3345"/>
      <c r="M37" s="1267"/>
      <c r="N37" s="3345"/>
      <c r="O37" s="3345"/>
      <c r="P37" s="2030"/>
      <c r="V37" s="2030"/>
    </row>
    <row r="38" spans="1:26" ht="16.5" customHeight="1" thickBot="1">
      <c r="A38" s="1260" t="s">
        <v>349</v>
      </c>
      <c r="B38" s="307"/>
      <c r="C38" s="294"/>
      <c r="D38" s="294"/>
      <c r="E38" s="295"/>
      <c r="F38" s="311"/>
      <c r="G38" s="311"/>
      <c r="H38" s="311"/>
      <c r="I38" s="311"/>
      <c r="J38" s="2032"/>
      <c r="K38" s="1268">
        <f>'数据-汇总表'!D3</f>
        <v>130380.53</v>
      </c>
      <c r="L38" s="1269">
        <f>'数据-汇总表'!E3</f>
        <v>57858.8</v>
      </c>
      <c r="M38" s="1269">
        <f ca="1">C34</f>
        <v>6299</v>
      </c>
      <c r="N38" s="1269">
        <f ca="1">C33</f>
        <v>14194</v>
      </c>
      <c r="O38" s="1270">
        <f ca="1">C32</f>
        <v>82125</v>
      </c>
      <c r="P38" s="2030"/>
      <c r="V38" s="2030"/>
    </row>
    <row r="39" spans="1:26" ht="16.5" customHeight="1" thickBot="1">
      <c r="A39" s="1265"/>
      <c r="B39" s="308"/>
      <c r="C39" s="309"/>
      <c r="D39" s="309"/>
      <c r="E39" s="310"/>
      <c r="F39" s="311"/>
      <c r="G39" s="311"/>
      <c r="H39" s="311"/>
      <c r="I39" s="311"/>
      <c r="J39" s="2032"/>
      <c r="K39" s="3388" t="str">
        <f>MID(A44,3,LEN(A44)-2)</f>
        <v/>
      </c>
      <c r="L39" s="3389"/>
      <c r="M39" s="3389"/>
      <c r="N39" s="3390"/>
      <c r="O39" s="1393" t="str">
        <f>C44</f>
        <v>——</v>
      </c>
      <c r="P39" s="2030"/>
      <c r="V39" s="2030"/>
    </row>
    <row r="40" spans="1:26" ht="19.5" thickBot="1">
      <c r="A40" s="104" t="s">
        <v>873</v>
      </c>
      <c r="B40" s="311"/>
      <c r="C40" s="311"/>
      <c r="D40" s="311"/>
      <c r="E40" s="311"/>
      <c r="F40" s="311"/>
      <c r="G40" s="311"/>
      <c r="H40" s="311"/>
      <c r="I40" s="311"/>
      <c r="J40" s="2032"/>
      <c r="K40" s="3388" t="str">
        <f t="shared" ref="K40:K41" si="0">MID(A45,3,LEN(A45)-2)</f>
        <v/>
      </c>
      <c r="L40" s="3389"/>
      <c r="M40" s="3389"/>
      <c r="N40" s="3390"/>
      <c r="O40" s="1393" t="str">
        <f>C45</f>
        <v>——</v>
      </c>
      <c r="P40" s="2030"/>
      <c r="V40" s="2030"/>
    </row>
    <row r="41" spans="1:26" ht="16.5" thickBot="1">
      <c r="A41" s="312" t="s">
        <v>356</v>
      </c>
      <c r="B41" s="313"/>
      <c r="C41" s="314" t="s">
        <v>357</v>
      </c>
      <c r="D41" s="315" t="s">
        <v>358</v>
      </c>
      <c r="E41" s="315" t="s">
        <v>359</v>
      </c>
      <c r="F41" s="316" t="s">
        <v>360</v>
      </c>
      <c r="G41" s="311"/>
      <c r="H41" s="311"/>
      <c r="I41" s="311"/>
      <c r="J41" s="2032"/>
      <c r="K41" s="3388" t="str">
        <f t="shared" si="0"/>
        <v/>
      </c>
      <c r="L41" s="3389"/>
      <c r="M41" s="3389"/>
      <c r="N41" s="3390"/>
      <c r="O41" s="1393" t="str">
        <f>C46</f>
        <v>——</v>
      </c>
      <c r="P41" s="2030"/>
      <c r="V41" s="2030"/>
    </row>
    <row r="42" spans="1:26" ht="29.25">
      <c r="A42" s="3330" t="s">
        <v>2070</v>
      </c>
      <c r="B42" s="3331"/>
      <c r="C42" s="264">
        <f ca="1">C32</f>
        <v>82125</v>
      </c>
      <c r="D42" s="317">
        <f ca="1">C33</f>
        <v>14194</v>
      </c>
      <c r="E42" s="317">
        <f ca="1">C34</f>
        <v>6299</v>
      </c>
      <c r="F42" s="318">
        <f ca="1">C35</f>
        <v>420</v>
      </c>
      <c r="G42" s="311"/>
      <c r="H42" s="311"/>
      <c r="I42" s="319"/>
      <c r="J42" s="2032"/>
      <c r="K42" s="1271" t="s">
        <v>361</v>
      </c>
      <c r="L42" s="2049" t="s">
        <v>362</v>
      </c>
      <c r="M42" s="1272" t="s">
        <v>363</v>
      </c>
      <c r="N42" s="2050" t="s">
        <v>364</v>
      </c>
      <c r="O42" s="2051" t="s">
        <v>365</v>
      </c>
      <c r="P42" s="2030"/>
      <c r="V42" s="2030"/>
    </row>
    <row r="43" spans="1:26" ht="18">
      <c r="A43" s="3341" t="s">
        <v>2733</v>
      </c>
      <c r="B43" s="3342"/>
      <c r="C43" s="264">
        <f>IF(H33="正常操作",G33+G34+G35,G34+G35)</f>
        <v>0</v>
      </c>
      <c r="D43" s="317" t="s">
        <v>43</v>
      </c>
      <c r="E43" s="317" t="s">
        <v>44</v>
      </c>
      <c r="F43" s="318" t="s">
        <v>44</v>
      </c>
      <c r="G43" s="2868" t="s">
        <v>952</v>
      </c>
      <c r="H43" s="311"/>
      <c r="I43" s="319"/>
      <c r="J43" s="2032"/>
      <c r="K43" s="1273" t="str">
        <f>C4</f>
        <v>基准地价</v>
      </c>
      <c r="L43" s="1274">
        <f ca="1">IF(L42="估价结果/万元",C19,C20)</f>
        <v>23601</v>
      </c>
      <c r="M43" s="1275">
        <f>C18</f>
        <v>0.3</v>
      </c>
      <c r="N43" s="1276">
        <f ca="1">IF(N42="测算结果/万元",G19,G20)</f>
        <v>82125</v>
      </c>
      <c r="O43" s="1277">
        <f ca="1">IF(O42="最终结果/万元",C32,C33)</f>
        <v>82125</v>
      </c>
      <c r="P43" s="2030"/>
      <c r="V43" s="2030"/>
    </row>
    <row r="44" spans="1:26" ht="18.75" thickBot="1">
      <c r="A44" s="3330" t="str">
        <f>IF(OR(项目基本情况!E8="抵押价格",项目基本情况!E8="已注销及未注销"),"3.抵押价格","——")</f>
        <v>——</v>
      </c>
      <c r="B44" s="333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成本逼近法</v>
      </c>
      <c r="L44" s="1279">
        <f ca="1">IF(L42="估价结果/万元",D19,D20)</f>
        <v>107207</v>
      </c>
      <c r="M44" s="1280">
        <f>D18</f>
        <v>0.7</v>
      </c>
      <c r="N44" s="1281"/>
      <c r="O44" s="1282"/>
      <c r="P44" s="2030"/>
      <c r="V44" s="2030"/>
    </row>
    <row r="45" spans="1:26" ht="15">
      <c r="A45" s="3336" t="str">
        <f>IF(项目基本情况!E8="已注销及未注销","4.抵押担保权已注销时的抵押价格",IF(项目基本情况!E8="已注销","3.抵押担保权已注销时的抵押价格","——"))</f>
        <v>——</v>
      </c>
      <c r="B45" s="333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2" t="str">
        <f>IF(项目基本情况!E9="抵押净值",IF(A45="——","4.抵押净值","5.抵押净值"),"——")</f>
        <v>——</v>
      </c>
      <c r="B46" s="333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77" t="s">
        <v>374</v>
      </c>
      <c r="B63" s="3378"/>
      <c r="C63" s="3379"/>
      <c r="D63" s="341">
        <f ca="1">ROUND(C42*F63,0)</f>
        <v>49275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38" t="s">
        <v>378</v>
      </c>
      <c r="B64" s="3339"/>
      <c r="C64" s="3339"/>
      <c r="D64" s="3339"/>
      <c r="E64" s="3339"/>
      <c r="F64" s="3339"/>
      <c r="G64" s="334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4" t="s">
        <v>386</v>
      </c>
      <c r="B66" s="3335"/>
      <c r="C66" s="3335"/>
      <c r="D66" s="261">
        <f ca="1">IF(H66="情况1",0,IF(H66="情况2",D70,IF(H66="情况3",D71,IF(H66="情况4",D72))))</f>
        <v>2628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2" t="s">
        <v>385</v>
      </c>
      <c r="M66" s="3393"/>
      <c r="N66" s="2460"/>
      <c r="O66" s="2461"/>
      <c r="P66" s="2462"/>
      <c r="Q66" s="2030"/>
      <c r="R66" s="2030"/>
      <c r="S66" s="2030"/>
      <c r="T66" s="2030"/>
      <c r="U66" s="2030"/>
      <c r="V66" s="2030"/>
    </row>
    <row r="67" spans="1:22" ht="25.5" customHeight="1">
      <c r="A67" s="352" t="s">
        <v>390</v>
      </c>
      <c r="B67" s="3325" t="s">
        <v>391</v>
      </c>
      <c r="C67" s="3325"/>
      <c r="D67" s="353">
        <v>0</v>
      </c>
      <c r="E67" s="41" t="s">
        <v>392</v>
      </c>
      <c r="F67" s="62" t="s">
        <v>21</v>
      </c>
      <c r="G67" s="3380"/>
      <c r="H67" s="311"/>
      <c r="I67" s="1292"/>
      <c r="J67" s="2037"/>
      <c r="K67" s="1978">
        <v>2</v>
      </c>
      <c r="L67" s="3391" t="s">
        <v>389</v>
      </c>
      <c r="M67" s="3391"/>
      <c r="N67" s="1325">
        <f>'数据-取费表'!B2</f>
        <v>43410</v>
      </c>
      <c r="O67" s="1325"/>
      <c r="P67" s="1325"/>
      <c r="Q67" s="2030"/>
      <c r="R67" s="2030"/>
      <c r="S67" s="2030"/>
      <c r="T67" s="2030"/>
      <c r="U67" s="2030"/>
      <c r="V67" s="2030"/>
    </row>
    <row r="68" spans="1:22" ht="25.5" customHeight="1">
      <c r="A68" s="354"/>
      <c r="B68" s="3325" t="s">
        <v>394</v>
      </c>
      <c r="C68" s="3325"/>
      <c r="D68" s="355"/>
      <c r="E68" s="77"/>
      <c r="F68" s="356"/>
      <c r="G68" s="3381"/>
      <c r="H68" s="311"/>
      <c r="I68" s="1292"/>
      <c r="J68" s="2037"/>
      <c r="K68" s="1978">
        <v>3</v>
      </c>
      <c r="L68" s="3391" t="s">
        <v>393</v>
      </c>
      <c r="M68" s="3391"/>
      <c r="N68" s="1293">
        <f ca="1">C42</f>
        <v>82125</v>
      </c>
      <c r="O68" s="1293"/>
      <c r="P68" s="1293"/>
      <c r="Q68" s="2030"/>
      <c r="R68" s="2030"/>
      <c r="S68" s="2030"/>
      <c r="T68" s="2030"/>
      <c r="U68" s="2030"/>
      <c r="V68" s="2030"/>
    </row>
    <row r="69" spans="1:22" ht="12" customHeight="1">
      <c r="A69" s="357"/>
      <c r="B69" s="3325" t="s">
        <v>395</v>
      </c>
      <c r="C69" s="3325"/>
      <c r="D69" s="358"/>
      <c r="E69" s="73"/>
      <c r="F69" s="356"/>
      <c r="G69" s="3382"/>
      <c r="H69" s="311"/>
      <c r="I69" s="1292"/>
      <c r="J69" s="2037"/>
      <c r="K69" s="1294">
        <v>4</v>
      </c>
      <c r="L69" s="3396" t="s">
        <v>2885</v>
      </c>
      <c r="M69" s="3397"/>
      <c r="N69" s="1295" t="str">
        <f>C44</f>
        <v>——</v>
      </c>
      <c r="O69" s="1295"/>
      <c r="P69" s="1295"/>
      <c r="Q69" s="2030"/>
      <c r="R69" s="2030"/>
      <c r="S69" s="2030"/>
      <c r="T69" s="2030"/>
      <c r="U69" s="2030"/>
      <c r="V69" s="2030"/>
    </row>
    <row r="70" spans="1:22" ht="24" customHeight="1">
      <c r="A70" s="359" t="s">
        <v>396</v>
      </c>
      <c r="B70" s="3325" t="s">
        <v>397</v>
      </c>
      <c r="C70" s="3325"/>
      <c r="D70" s="358">
        <f ca="1">ROUND(D63*'数据-取费表'!B41/(1+'数据-取费表'!C42),0)</f>
        <v>2628</v>
      </c>
      <c r="E70" s="17" t="s">
        <v>398</v>
      </c>
      <c r="F70" s="360">
        <f>'数据-取费表'!B41</f>
        <v>5.6000000000000001E-2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26" t="s">
        <v>405</v>
      </c>
      <c r="C71" s="3327"/>
      <c r="D71" s="358">
        <f ca="1">ROUND(D63*'数据-取费表'!B41/(1+'数据-取费表'!C42),0)</f>
        <v>2628</v>
      </c>
      <c r="E71" s="17" t="s">
        <v>398</v>
      </c>
      <c r="F71" s="360">
        <f>'数据-取费表'!B41</f>
        <v>5.6000000000000001E-2</v>
      </c>
      <c r="G71" s="361"/>
      <c r="H71" s="311"/>
      <c r="I71" s="1292"/>
      <c r="J71" s="2037"/>
      <c r="K71" s="3063" t="s">
        <v>399</v>
      </c>
      <c r="L71" s="3398" t="s">
        <v>400</v>
      </c>
      <c r="M71" s="3398"/>
      <c r="N71" s="3063" t="s">
        <v>401</v>
      </c>
      <c r="O71" s="3063" t="s">
        <v>402</v>
      </c>
      <c r="P71" s="3063" t="s">
        <v>403</v>
      </c>
      <c r="Q71" s="2030"/>
      <c r="R71" s="2030"/>
      <c r="S71" s="2030"/>
      <c r="T71" s="2030"/>
      <c r="U71" s="2030"/>
      <c r="V71" s="2030"/>
    </row>
    <row r="72" spans="1:22" ht="12" customHeight="1">
      <c r="A72" s="359" t="s">
        <v>407</v>
      </c>
      <c r="B72" s="3326" t="s">
        <v>408</v>
      </c>
      <c r="C72" s="3327"/>
      <c r="D72" s="358">
        <f ca="1">C86</f>
        <v>2516</v>
      </c>
      <c r="E72" s="73" t="s">
        <v>409</v>
      </c>
      <c r="F72" s="360">
        <f>'数据-取费表'!B41</f>
        <v>5.6000000000000001E-2</v>
      </c>
      <c r="G72" s="361"/>
      <c r="H72" s="1298"/>
      <c r="I72" s="1292"/>
      <c r="J72" s="2037"/>
      <c r="K72" s="1978">
        <v>1</v>
      </c>
      <c r="L72" s="3373" t="s">
        <v>406</v>
      </c>
      <c r="M72" s="3373"/>
      <c r="N72" s="1296">
        <f ca="1">D66</f>
        <v>2628</v>
      </c>
      <c r="O72" s="1861" t="str">
        <f>E66</f>
        <v>销售额×税（费）率</v>
      </c>
      <c r="P72" s="1297">
        <f>F66</f>
        <v>5.6000000000000001E-2</v>
      </c>
      <c r="Q72" s="2030"/>
      <c r="R72" s="2030"/>
      <c r="S72" s="2030"/>
      <c r="T72" s="2030"/>
      <c r="U72" s="2030"/>
      <c r="V72" s="2030"/>
    </row>
    <row r="73" spans="1:22" ht="24" customHeight="1">
      <c r="A73" s="3367" t="s">
        <v>411</v>
      </c>
      <c r="B73" s="3335"/>
      <c r="C73" s="3335"/>
      <c r="D73" s="362">
        <f>IF(H73="个人住宅",0,ROUND(D63*I73,0))</f>
        <v>0</v>
      </c>
      <c r="E73" s="17" t="s">
        <v>412</v>
      </c>
      <c r="F73" s="360" t="str">
        <f>IF(H73="正常",I73,"免征")</f>
        <v>免征</v>
      </c>
      <c r="G73" s="361"/>
      <c r="H73" s="191" t="s">
        <v>2458</v>
      </c>
      <c r="I73" s="360">
        <f>'数据-取费表'!B49</f>
        <v>5.0000000000000001E-4</v>
      </c>
      <c r="J73" s="2037"/>
      <c r="K73" s="1978">
        <v>2</v>
      </c>
      <c r="L73" s="3373" t="s">
        <v>410</v>
      </c>
      <c r="M73" s="3373"/>
      <c r="N73" s="1296">
        <f t="shared" ref="N73:P74" si="1">D73</f>
        <v>0</v>
      </c>
      <c r="O73" s="1861" t="str">
        <f t="shared" si="1"/>
        <v>销售额×税（费）率</v>
      </c>
      <c r="P73" s="1297" t="str">
        <f t="shared" si="1"/>
        <v>免征</v>
      </c>
      <c r="Q73" s="2030"/>
      <c r="R73" s="2030"/>
      <c r="S73" s="2030"/>
      <c r="T73" s="2030"/>
      <c r="U73" s="2030"/>
      <c r="V73" s="2030"/>
    </row>
    <row r="74" spans="1:22" ht="24.75">
      <c r="A74" s="3367" t="s">
        <v>415</v>
      </c>
      <c r="B74" s="3335"/>
      <c r="C74" s="3335"/>
      <c r="D74" s="362">
        <f ca="1">IF(H74="个人住宅",D75,D76)</f>
        <v>27234</v>
      </c>
      <c r="E74" s="17" t="s">
        <v>416</v>
      </c>
      <c r="F74" s="360" t="str">
        <f>IF(H74="正常",F76,"免征")</f>
        <v>——</v>
      </c>
      <c r="G74" s="983" t="s">
        <v>417</v>
      </c>
      <c r="H74" s="363" t="s">
        <v>413</v>
      </c>
      <c r="I74" s="42"/>
      <c r="J74" s="2037"/>
      <c r="K74" s="1978">
        <v>3</v>
      </c>
      <c r="L74" s="3373" t="s">
        <v>414</v>
      </c>
      <c r="M74" s="3373"/>
      <c r="N74" s="1296">
        <f t="shared" ca="1" si="1"/>
        <v>27234</v>
      </c>
      <c r="O74" s="1861" t="str">
        <f t="shared" si="1"/>
        <v>增值额×税（费）率</v>
      </c>
      <c r="P74" s="1299" t="str">
        <f t="shared" si="1"/>
        <v>——</v>
      </c>
      <c r="Q74" s="2030"/>
      <c r="R74" s="2030"/>
      <c r="S74" s="2030"/>
      <c r="T74" s="2030"/>
      <c r="U74" s="2030"/>
      <c r="V74" s="2030"/>
    </row>
    <row r="75" spans="1:22" ht="24">
      <c r="A75" s="359" t="s">
        <v>418</v>
      </c>
      <c r="B75" s="3323" t="s">
        <v>419</v>
      </c>
      <c r="C75" s="3353"/>
      <c r="D75" s="364">
        <v>0</v>
      </c>
      <c r="E75" s="41" t="s">
        <v>420</v>
      </c>
      <c r="F75" s="365"/>
      <c r="G75" s="361"/>
      <c r="H75" s="42"/>
      <c r="I75" s="42"/>
      <c r="J75" s="2037"/>
      <c r="K75" s="3056">
        <f>IF(H77="非个人房产","",4)</f>
        <v>4</v>
      </c>
      <c r="L75" s="3373" t="str">
        <f>IF(H77="非个人房产","——","个人所得税")</f>
        <v>个人所得税</v>
      </c>
      <c r="M75" s="3373"/>
      <c r="N75" s="1300">
        <f ca="1">D77</f>
        <v>493</v>
      </c>
      <c r="O75" s="1874" t="str">
        <f>E77</f>
        <v>销售额×税（费）率</v>
      </c>
      <c r="P75" s="1301">
        <f>F77</f>
        <v>0.01</v>
      </c>
      <c r="Q75" s="2030"/>
      <c r="R75" s="2030"/>
      <c r="S75" s="2030"/>
      <c r="T75" s="2030"/>
      <c r="U75" s="2030"/>
      <c r="V75" s="2030"/>
    </row>
    <row r="76" spans="1:22" ht="24.75">
      <c r="A76" s="359" t="s">
        <v>396</v>
      </c>
      <c r="B76" s="3323" t="s">
        <v>422</v>
      </c>
      <c r="C76" s="3324"/>
      <c r="D76" s="362">
        <f ca="1">IF(H76="转让取得",C99,C115)</f>
        <v>27234</v>
      </c>
      <c r="E76" s="17" t="s">
        <v>423</v>
      </c>
      <c r="F76" s="53" t="s">
        <v>21</v>
      </c>
      <c r="G76" s="361"/>
      <c r="H76" s="363" t="s">
        <v>424</v>
      </c>
      <c r="I76" s="42"/>
      <c r="J76" s="2037"/>
      <c r="K76" s="3056" t="str">
        <f>IF(项目基本情况!K6="上海银行",IF(K75="",4,K75+1),"")</f>
        <v/>
      </c>
      <c r="L76" s="3384" t="str">
        <f>IF(项目基本情况!K6="上海银行","其他处置费用","")</f>
        <v/>
      </c>
      <c r="M76" s="3385"/>
      <c r="N76" s="1296" t="str">
        <f>IF(项目基本情况!K6="上海银行",N89,"")</f>
        <v/>
      </c>
      <c r="O76" s="3386" t="str">
        <f>IF(项目基本情况!K6="上海银行","包含处置中涉及的律师、诉讼、拍卖、评估等费用","")</f>
        <v/>
      </c>
      <c r="P76" s="3387"/>
      <c r="Q76" s="2030"/>
      <c r="R76" s="2030"/>
      <c r="S76" s="2030"/>
      <c r="T76" s="2030"/>
      <c r="U76" s="2030"/>
      <c r="V76" s="2030"/>
    </row>
    <row r="77" spans="1:22" ht="26.25" thickBot="1">
      <c r="A77" s="3375" t="s">
        <v>426</v>
      </c>
      <c r="B77" s="3376"/>
      <c r="C77" s="3376"/>
      <c r="D77" s="366">
        <f ca="1">IF(H77="非个人房产","——",IF(H77="个人住宅",0,ROUND(D63*I77,0)))</f>
        <v>493</v>
      </c>
      <c r="E77" s="367" t="str">
        <f>IF(H77="非个人房产","——","销售额×税（费）率")</f>
        <v>销售额×税（费）率</v>
      </c>
      <c r="F77" s="368">
        <f>IF(H77="非个人房产","——",IF(H77="个人住宅","免征",I77))</f>
        <v>0.01</v>
      </c>
      <c r="G77" s="984" t="s">
        <v>417</v>
      </c>
      <c r="H77" s="363" t="s">
        <v>2886</v>
      </c>
      <c r="I77" s="369">
        <v>0.01</v>
      </c>
      <c r="J77" s="2037"/>
      <c r="K77" s="3374">
        <f>IF(AND(K75="",K76=""),4,IF(项目基本情况!K6="上海银行",K76+1,K75+1))</f>
        <v>5</v>
      </c>
      <c r="L77" s="3373" t="s">
        <v>2887</v>
      </c>
      <c r="M77" s="3062" t="s">
        <v>421</v>
      </c>
      <c r="N77" s="1302"/>
      <c r="O77" s="1303">
        <f ca="1">SUMIF(N72:N76,"&lt;9e307")</f>
        <v>30355</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74"/>
      <c r="L78" s="3373"/>
      <c r="M78" s="3062" t="s">
        <v>425</v>
      </c>
      <c r="N78" s="1302"/>
      <c r="O78" s="1303" t="str">
        <f ca="1">NUMBERSTRING(INT(O77*10000),2)&amp;"元整"</f>
        <v>叁亿零叁佰伍拾伍万元整</v>
      </c>
      <c r="P78" s="1304"/>
      <c r="Q78" s="2030"/>
      <c r="R78" s="2030"/>
      <c r="S78" s="2030"/>
      <c r="T78" s="2030"/>
      <c r="U78" s="2030"/>
      <c r="V78" s="2030"/>
    </row>
    <row r="79" spans="1:22" ht="13.5" thickBot="1">
      <c r="A79" s="3368" t="s">
        <v>427</v>
      </c>
      <c r="B79" s="3368"/>
      <c r="C79" s="3368"/>
      <c r="D79" s="3368"/>
      <c r="E79" s="3368"/>
      <c r="F79" s="42"/>
      <c r="G79" s="42"/>
      <c r="H79" s="1003"/>
      <c r="I79" s="311"/>
      <c r="J79" s="2037"/>
      <c r="K79" s="3394">
        <f>K77+1</f>
        <v>6</v>
      </c>
      <c r="L79" s="3373" t="s">
        <v>2888</v>
      </c>
      <c r="M79" s="3062" t="s">
        <v>421</v>
      </c>
      <c r="N79" s="1302"/>
      <c r="O79" s="1303" t="e">
        <f ca="1">N69-O77</f>
        <v>#VALUE!</v>
      </c>
      <c r="P79" s="1304"/>
      <c r="Q79" s="2030"/>
      <c r="R79" s="2030"/>
      <c r="S79" s="2030"/>
      <c r="T79" s="2030"/>
      <c r="U79" s="2030"/>
      <c r="V79" s="2030"/>
    </row>
    <row r="80" spans="1:22" ht="12.75">
      <c r="A80" s="3363" t="s">
        <v>428</v>
      </c>
      <c r="B80" s="3364"/>
      <c r="C80" s="994"/>
      <c r="D80" s="994" t="s">
        <v>429</v>
      </c>
      <c r="E80" s="370" t="s">
        <v>430</v>
      </c>
      <c r="F80" s="42"/>
      <c r="G80" s="42"/>
      <c r="H80" s="1003"/>
      <c r="I80" s="311"/>
      <c r="J80" s="2030"/>
      <c r="K80" s="3395"/>
      <c r="L80" s="3373"/>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46929</v>
      </c>
      <c r="D81" s="373"/>
      <c r="E81" s="374"/>
      <c r="F81" s="42"/>
      <c r="G81" s="42"/>
      <c r="H81" s="1003"/>
      <c r="I81" s="311"/>
      <c r="J81" s="2030"/>
      <c r="K81" s="3056">
        <f>K79+1</f>
        <v>7</v>
      </c>
      <c r="L81" s="3371" t="s">
        <v>2889</v>
      </c>
      <c r="M81" s="3372"/>
      <c r="N81" s="1306"/>
      <c r="O81" s="1307" t="e">
        <f ca="1">ROUND(O79*10000/'数据-汇总表'!E3,0)</f>
        <v>#VALUE!</v>
      </c>
      <c r="P81" s="1308"/>
      <c r="Q81" s="2030"/>
      <c r="R81" s="2030"/>
      <c r="S81" s="2030"/>
      <c r="T81" s="2030"/>
      <c r="U81" s="2030"/>
      <c r="V81" s="2030"/>
    </row>
    <row r="82" spans="1:26" ht="13.5" thickTop="1">
      <c r="A82" s="375" t="s">
        <v>1825</v>
      </c>
      <c r="B82" s="376" t="s">
        <v>432</v>
      </c>
      <c r="C82" s="377">
        <f ca="1">D63</f>
        <v>49275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83"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2944</v>
      </c>
      <c r="F84" s="42"/>
      <c r="G84" s="42"/>
      <c r="H84" s="1003"/>
      <c r="I84" s="311"/>
      <c r="J84" s="2030"/>
      <c r="K84" s="3383"/>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44929</v>
      </c>
      <c r="D85" s="378" t="s">
        <v>19</v>
      </c>
      <c r="E85" s="379"/>
      <c r="F85" s="42"/>
      <c r="G85" s="42"/>
      <c r="H85" s="1003"/>
      <c r="I85" s="311"/>
      <c r="J85" s="2030"/>
      <c r="K85" s="3383"/>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2516</v>
      </c>
      <c r="D86" s="389">
        <f>'数据-取费表'!B41</f>
        <v>5.6000000000000001E-2</v>
      </c>
      <c r="E86" s="390"/>
      <c r="F86" s="42"/>
      <c r="G86" s="42"/>
      <c r="H86" s="1003"/>
      <c r="I86" s="311"/>
      <c r="J86" s="2030"/>
      <c r="K86" s="3383"/>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3"/>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65" t="s">
        <v>437</v>
      </c>
      <c r="B88" s="3366"/>
      <c r="C88" s="3366"/>
      <c r="D88" s="3366"/>
      <c r="E88" s="3366"/>
      <c r="F88" s="3366"/>
      <c r="G88" s="3366"/>
      <c r="H88" s="3366"/>
      <c r="I88" s="1315"/>
      <c r="J88" s="2038"/>
      <c r="K88" s="3383"/>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63" t="s">
        <v>428</v>
      </c>
      <c r="B89" s="3364"/>
      <c r="C89" s="994"/>
      <c r="D89" s="994" t="s">
        <v>429</v>
      </c>
      <c r="E89" s="391" t="s">
        <v>438</v>
      </c>
      <c r="F89" s="392"/>
      <c r="G89" s="392"/>
      <c r="H89" s="393"/>
      <c r="I89" s="1316"/>
      <c r="J89" s="2040"/>
      <c r="K89" s="3383"/>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46929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2843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6" t="s">
        <v>447</v>
      </c>
      <c r="F94" s="3325"/>
      <c r="G94" s="3325"/>
      <c r="H94" s="336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282</v>
      </c>
      <c r="D96" s="406">
        <f>'数据-取费表'!B43</f>
        <v>6.000000000000001E-3</v>
      </c>
      <c r="E96" s="3354" t="s">
        <v>2431</v>
      </c>
      <c r="F96" s="3355"/>
      <c r="G96" s="3355"/>
      <c r="H96" s="335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44086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15.506858951811466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25457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5" t="s">
        <v>454</v>
      </c>
      <c r="B101" s="3366"/>
      <c r="C101" s="3366"/>
      <c r="D101" s="3366"/>
      <c r="E101" s="3366"/>
      <c r="F101" s="3366"/>
      <c r="G101" s="3366"/>
      <c r="H101" s="336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3" t="s">
        <v>428</v>
      </c>
      <c r="B102" s="336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46929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972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57" t="s">
        <v>462</v>
      </c>
      <c r="F109" s="3355"/>
      <c r="G109" s="3355"/>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57" t="s">
        <v>464</v>
      </c>
      <c r="F110" s="3355"/>
      <c r="G110" s="3355"/>
      <c r="H110" s="335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282</v>
      </c>
      <c r="D111" s="406">
        <f>'数据-取费表'!B43</f>
        <v>6.000000000000001E-3</v>
      </c>
      <c r="E111" s="3354" t="s">
        <v>2431</v>
      </c>
      <c r="F111" s="3355"/>
      <c r="G111" s="3355"/>
      <c r="H111" s="335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57" t="s">
        <v>2456</v>
      </c>
      <c r="F112" s="3355"/>
      <c r="G112" s="3355"/>
      <c r="H112" s="335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45957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47.280864197530867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27234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11</v>
      </c>
    </row>
    <row r="2" spans="1:31" s="2043" customFormat="1" ht="18" customHeight="1">
      <c r="A2" s="2103" t="s">
        <v>467</v>
      </c>
      <c r="B2" s="2107">
        <f ca="1">C36</f>
        <v>-2293</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-396</v>
      </c>
      <c r="C3" s="2106"/>
      <c r="D3" s="2106"/>
      <c r="E3" s="2106"/>
      <c r="F3" s="2106"/>
      <c r="G3" s="2106"/>
      <c r="H3" s="2106"/>
      <c r="I3" s="2106"/>
      <c r="J3" s="2106"/>
      <c r="K3" s="2106"/>
    </row>
    <row r="4" spans="1:31" s="2043" customFormat="1" ht="18" customHeight="1">
      <c r="A4" s="426" t="s">
        <v>468</v>
      </c>
      <c r="B4" s="427">
        <f ca="1">ROUND(B2*10000/IF(B1="",'数据-汇总表'!D3,INDIRECT("'数据-取费表'!R"&amp;$K$1)),0)</f>
        <v>-176</v>
      </c>
      <c r="C4" s="428"/>
      <c r="D4" s="422"/>
      <c r="E4" s="422"/>
      <c r="F4" s="422"/>
      <c r="G4" s="422"/>
      <c r="H4" s="422"/>
      <c r="I4" s="422"/>
      <c r="J4" s="422"/>
      <c r="K4" s="422"/>
    </row>
    <row r="5" spans="1:31" s="2043" customFormat="1" ht="18" customHeight="1" thickBot="1">
      <c r="A5" s="429"/>
      <c r="B5" s="430">
        <f ca="1">ROUND(B2/(IF(B1="",'数据-汇总表'!D3,INDIRECT("'数据-取费表'!R"&amp;$K$1))/666.67),0)</f>
        <v>-12</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1157</v>
      </c>
      <c r="D16" s="2846">
        <f ca="1">IF(B1="",'数据-汇总表'!E3,INDIRECT("'数据-取费表'!K"&amp;$K$1)+INDIRECT("'数据-取费表'!S"&amp;$K$1))</f>
        <v>57858.8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1157</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57858.8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1157</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160</v>
      </c>
      <c r="F21" s="2849"/>
      <c r="G21" s="26"/>
      <c r="H21" s="51"/>
      <c r="I21" s="51"/>
      <c r="J21" s="51"/>
      <c r="K21" s="2821"/>
    </row>
    <row r="22" spans="1:14" s="2118" customFormat="1" ht="13.5" customHeight="1">
      <c r="A22" s="2844" t="s">
        <v>1858</v>
      </c>
      <c r="B22" s="2845" t="s">
        <v>492</v>
      </c>
      <c r="C22" s="53">
        <f ca="1">ROUND(D22*E22/10000,0)</f>
        <v>1157</v>
      </c>
      <c r="D22" s="2846">
        <f ca="1">IF(B1="",'数据-汇总表'!E6,IF(INDIRECT("'数据-取费表'!c"&amp;$K$1)="住宅",INDIRECT("'数据-取费表'!s"&amp;$K$1),INDIRECT("'数据-取费表'!k"&amp;$K$1)+INDIRECT("'数据-取费表'!s"&amp;$K$1)))</f>
        <v>57858.8</v>
      </c>
      <c r="E22" s="53">
        <f>'数据-取费表'!B28</f>
        <v>200</v>
      </c>
      <c r="F22" s="2849"/>
      <c r="G22" s="26"/>
      <c r="H22" s="51"/>
      <c r="I22" s="51"/>
      <c r="J22" s="51"/>
      <c r="K22" s="2821"/>
    </row>
    <row r="23" spans="1:14" s="2118" customFormat="1" ht="13.5" customHeight="1">
      <c r="A23" s="2852" t="s">
        <v>1859</v>
      </c>
      <c r="B23" s="3037" t="s">
        <v>2836</v>
      </c>
      <c r="C23" s="2854">
        <f ca="1">ROUND((C18+C19+C20)*F23,0)</f>
        <v>46</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2360</v>
      </c>
      <c r="D30" s="477">
        <f ca="1">C32</f>
        <v>2.9000000000000001E-2</v>
      </c>
      <c r="E30" s="469" t="s">
        <v>495</v>
      </c>
      <c r="F30" s="471"/>
      <c r="G30" s="2822" t="s">
        <v>2976</v>
      </c>
      <c r="H30" s="2815"/>
      <c r="I30" s="2815"/>
      <c r="J30" s="2815"/>
      <c r="K30" s="2816"/>
    </row>
    <row r="31" spans="1:14" s="2122" customFormat="1" ht="13.5" customHeight="1">
      <c r="A31" s="803" t="s">
        <v>1857</v>
      </c>
      <c r="B31" s="2860"/>
      <c r="C31" s="450">
        <f ca="1">C18+C19+C20+C23+C24+C26+C29</f>
        <v>2360</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354</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354</v>
      </c>
      <c r="D35" s="1630"/>
      <c r="E35" s="2866"/>
      <c r="F35" s="1631"/>
      <c r="G35" s="2824"/>
      <c r="H35" s="2825"/>
      <c r="I35" s="2825"/>
      <c r="J35" s="2825"/>
      <c r="K35" s="2826"/>
    </row>
    <row r="36" spans="1:11" s="2087" customFormat="1" ht="13.5" customHeight="1" thickBot="1">
      <c r="A36" s="284" t="s">
        <v>1845</v>
      </c>
      <c r="B36" s="2828"/>
      <c r="C36" s="2867">
        <f ca="1">ROUND((C6-C30-C33)/(1+D30+D33),0)</f>
        <v>-2293</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11</v>
      </c>
    </row>
    <row r="2" spans="1:41" s="2043" customFormat="1" ht="18" customHeight="1">
      <c r="A2" s="423" t="s">
        <v>467</v>
      </c>
      <c r="B2" s="424" t="e">
        <f ca="1">C32</f>
        <v>#DIV/0!</v>
      </c>
      <c r="C2" s="2106"/>
      <c r="D2" s="2106"/>
      <c r="E2" s="2106"/>
      <c r="F2" s="2106"/>
      <c r="G2" s="2106"/>
      <c r="H2" s="2106"/>
      <c r="I2" s="2106"/>
      <c r="J2" s="2106"/>
      <c r="K2" s="2106"/>
    </row>
    <row r="3" spans="1:41" s="2043" customFormat="1" ht="18" customHeight="1">
      <c r="A3" s="1380" t="s">
        <v>1685</v>
      </c>
      <c r="B3" s="425" t="e">
        <f ca="1">ROUND(B2*10000/IF(B1="",'数据-汇总表'!E3,INDIRECT("'数据-取费表'!K"&amp;$K$1)),0)</f>
        <v>#DIV/0!</v>
      </c>
      <c r="C3" s="2106"/>
      <c r="D3" s="2106"/>
      <c r="E3" s="2106"/>
      <c r="F3" s="2106"/>
      <c r="G3" s="2106"/>
      <c r="H3" s="2106"/>
      <c r="I3" s="2106"/>
      <c r="J3" s="2106"/>
      <c r="K3" s="2106"/>
    </row>
    <row r="4" spans="1:41" s="2043" customFormat="1" ht="18" customHeight="1">
      <c r="A4" s="426" t="s">
        <v>468</v>
      </c>
      <c r="B4" s="427" t="e">
        <f ca="1">ROUND(B2*10000/IF(B1="",'数据-汇总表'!D3,INDIRECT("'数据-取费表'!R"&amp;$K$1)),0)</f>
        <v>#DIV/0!</v>
      </c>
      <c r="C4" s="2063"/>
      <c r="D4" s="2106"/>
      <c r="E4" s="2106"/>
      <c r="F4" s="2106"/>
      <c r="G4" s="2106"/>
      <c r="H4" s="2106"/>
      <c r="I4" s="2106"/>
      <c r="J4" s="2106"/>
      <c r="K4" s="2106"/>
    </row>
    <row r="5" spans="1:41" s="2043" customFormat="1" ht="18" customHeight="1" thickBot="1">
      <c r="A5" s="429"/>
      <c r="B5" s="430" t="e">
        <f ca="1">ROUND(B2/(IF(B1="",'数据-汇总表'!D3,INDIRECT("'数据-取费表'!R"&amp;$K$1))/666.67),0)</f>
        <v>#DIV/0!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8" customFormat="1" ht="13.5" customHeight="1">
      <c r="A14" s="1634" t="s">
        <v>1850</v>
      </c>
      <c r="B14" s="449" t="s">
        <v>480</v>
      </c>
      <c r="C14" s="53">
        <f ca="1">ROUND(C13*F14,0)</f>
        <v>0</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1157</v>
      </c>
      <c r="D16" s="451">
        <f ca="1">IF(B1="",'数据-汇总表'!E3,INDIRECT("'数据-取费表'!K"&amp;$K$1)+INDIRECT("'数据-取费表'!S"&amp;$K$1))</f>
        <v>57858.8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1157</v>
      </c>
      <c r="D18" s="461"/>
      <c r="E18" s="462"/>
      <c r="F18" s="462"/>
      <c r="G18" s="1327" t="s">
        <v>2435</v>
      </c>
      <c r="H18" s="447"/>
      <c r="I18" s="447"/>
      <c r="J18" s="447"/>
      <c r="K18" s="448"/>
    </row>
    <row r="19" spans="1:14" s="2121" customFormat="1" ht="13.5" customHeight="1">
      <c r="A19" s="1635" t="s">
        <v>1855</v>
      </c>
      <c r="B19" s="459" t="s">
        <v>493</v>
      </c>
      <c r="C19" s="460">
        <f ca="1">ROUND(C18*F19,0)</f>
        <v>23</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28</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5.0000000000000001E-4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177</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177</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2832</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1500</v>
      </c>
      <c r="D28" s="477"/>
      <c r="E28" s="469"/>
      <c r="F28" s="471"/>
      <c r="G28" s="1327" t="s">
        <v>2437</v>
      </c>
      <c r="H28" s="447"/>
      <c r="I28" s="447"/>
      <c r="J28" s="447"/>
      <c r="K28" s="448"/>
    </row>
    <row r="29" spans="1:14" s="2123"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3" customFormat="1" ht="13.5" customHeight="1">
      <c r="A30" s="443">
        <v>2</v>
      </c>
      <c r="B30" s="476" t="s">
        <v>514</v>
      </c>
      <c r="C30" s="497" t="e">
        <f ca="1">ROUND(C28*C29,0)</f>
        <v>#DIV/0!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85" t="s">
        <v>2977</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4" t="str">
        <f>项目基本情况!B1</f>
        <v>北京市海淀区清河安宁庄东路1号出让国有建设用地使用权市场价格预评估</v>
      </c>
      <c r="C37" s="3234"/>
      <c r="D37" s="3234"/>
      <c r="E37" s="3234"/>
      <c r="F37" s="3234"/>
      <c r="G37" s="3234"/>
      <c r="H37" s="3234"/>
      <c r="I37" s="323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08" t="s">
        <v>522</v>
      </c>
      <c r="D6" s="3409"/>
      <c r="E6" s="3408" t="s">
        <v>523</v>
      </c>
      <c r="F6" s="3409"/>
      <c r="G6" s="3408" t="s">
        <v>524</v>
      </c>
      <c r="H6" s="3409"/>
      <c r="I6" s="3408" t="s">
        <v>525</v>
      </c>
      <c r="J6" s="3409"/>
      <c r="K6" s="514" t="s">
        <v>526</v>
      </c>
      <c r="L6" s="2135"/>
      <c r="M6" s="2134"/>
      <c r="N6" s="2134"/>
      <c r="O6" s="2136"/>
      <c r="P6" s="3410" t="s">
        <v>527</v>
      </c>
      <c r="Q6" s="3411"/>
      <c r="R6" s="3416" t="s">
        <v>523</v>
      </c>
      <c r="S6" s="3417"/>
      <c r="T6" s="3416" t="s">
        <v>524</v>
      </c>
      <c r="U6" s="3417"/>
      <c r="V6" s="3403" t="s">
        <v>525</v>
      </c>
      <c r="W6" s="3403"/>
      <c r="X6" s="1568"/>
      <c r="Y6" s="3416" t="s">
        <v>527</v>
      </c>
      <c r="Z6" s="3417"/>
      <c r="AA6" s="3405" t="s">
        <v>523</v>
      </c>
      <c r="AB6" s="3406" t="s">
        <v>524</v>
      </c>
      <c r="AC6" s="3405" t="s">
        <v>525</v>
      </c>
    </row>
    <row r="7" spans="1:30" ht="20.25">
      <c r="A7" s="515"/>
      <c r="B7" s="516"/>
      <c r="C7" s="3424" t="s">
        <v>2933</v>
      </c>
      <c r="D7" s="3425"/>
      <c r="E7" s="3424" t="s">
        <v>2934</v>
      </c>
      <c r="F7" s="3425"/>
      <c r="G7" s="3424" t="s">
        <v>2935</v>
      </c>
      <c r="H7" s="3425"/>
      <c r="I7" s="3424" t="s">
        <v>2936</v>
      </c>
      <c r="J7" s="3425"/>
      <c r="K7" s="514"/>
      <c r="L7" s="2135"/>
      <c r="M7" s="2134"/>
      <c r="N7" s="2134"/>
      <c r="O7" s="2136"/>
      <c r="P7" s="3412"/>
      <c r="Q7" s="3413"/>
      <c r="R7" s="3418"/>
      <c r="S7" s="3419"/>
      <c r="T7" s="3418"/>
      <c r="U7" s="3419"/>
      <c r="V7" s="3403"/>
      <c r="W7" s="3403"/>
      <c r="X7" s="1568"/>
      <c r="Y7" s="3418"/>
      <c r="Z7" s="3419"/>
      <c r="AA7" s="3406"/>
      <c r="AB7" s="3406"/>
      <c r="AC7" s="3406"/>
    </row>
    <row r="8" spans="1:30" ht="21" thickBot="1">
      <c r="A8" s="515"/>
      <c r="B8" s="516"/>
      <c r="C8" s="3426" t="s">
        <v>2937</v>
      </c>
      <c r="D8" s="3427"/>
      <c r="E8" s="3426" t="s">
        <v>2937</v>
      </c>
      <c r="F8" s="3427"/>
      <c r="G8" s="3422" t="s">
        <v>2937</v>
      </c>
      <c r="H8" s="3423"/>
      <c r="I8" s="3422" t="s">
        <v>2937</v>
      </c>
      <c r="J8" s="3423"/>
      <c r="K8" s="514" t="s">
        <v>528</v>
      </c>
      <c r="L8" s="2135"/>
      <c r="M8" s="2134"/>
      <c r="N8" s="2134"/>
      <c r="O8" s="2136"/>
      <c r="P8" s="3414"/>
      <c r="Q8" s="3415"/>
      <c r="R8" s="3418"/>
      <c r="S8" s="3419"/>
      <c r="T8" s="3420"/>
      <c r="U8" s="3421"/>
      <c r="V8" s="3403"/>
      <c r="W8" s="3403"/>
      <c r="X8" s="1568"/>
      <c r="Y8" s="3420"/>
      <c r="Z8" s="3421"/>
      <c r="AA8" s="3407"/>
      <c r="AB8" s="3407"/>
      <c r="AC8" s="3407"/>
    </row>
    <row r="9" spans="1:30" s="1220" customFormat="1" ht="21" thickBot="1">
      <c r="A9" s="2914"/>
      <c r="B9" s="2921" t="s">
        <v>529</v>
      </c>
      <c r="C9" s="2913">
        <f>'数据-取费表'!B2</f>
        <v>43410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33" t="s">
        <v>530</v>
      </c>
      <c r="Q9" s="3435"/>
      <c r="R9" s="1569" t="s">
        <v>8</v>
      </c>
      <c r="S9" s="1570">
        <f t="shared" ref="S9:S17" si="0">F9</f>
        <v>0</v>
      </c>
      <c r="T9" s="1569" t="s">
        <v>8</v>
      </c>
      <c r="U9" s="1570">
        <f t="shared" ref="U9:U17" si="1">H9</f>
        <v>0</v>
      </c>
      <c r="V9" s="1569" t="s">
        <v>8</v>
      </c>
      <c r="W9" s="1570">
        <f t="shared" ref="W9:W17" si="2">J9</f>
        <v>0</v>
      </c>
      <c r="X9" s="1571"/>
      <c r="Y9" s="3433" t="s">
        <v>530</v>
      </c>
      <c r="Z9" s="3434"/>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33" t="s">
        <v>533</v>
      </c>
      <c r="Q10" s="3434"/>
      <c r="R10" s="1569" t="s">
        <v>8</v>
      </c>
      <c r="S10" s="1570">
        <f t="shared" si="0"/>
        <v>0</v>
      </c>
      <c r="T10" s="1569" t="s">
        <v>8</v>
      </c>
      <c r="U10" s="1570">
        <f t="shared" si="1"/>
        <v>0</v>
      </c>
      <c r="V10" s="1569" t="s">
        <v>8</v>
      </c>
      <c r="W10" s="1570">
        <f t="shared" si="2"/>
        <v>0</v>
      </c>
      <c r="X10" s="1571"/>
      <c r="Y10" s="3433" t="s">
        <v>533</v>
      </c>
      <c r="Z10" s="3434"/>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02" t="s">
        <v>535</v>
      </c>
      <c r="Q11" s="1151" t="str">
        <f t="shared" ref="Q11:Q17" si="6">B11</f>
        <v>用途</v>
      </c>
      <c r="R11" s="1569" t="s">
        <v>8</v>
      </c>
      <c r="S11" s="1570">
        <f t="shared" si="0"/>
        <v>100</v>
      </c>
      <c r="T11" s="1569" t="s">
        <v>8</v>
      </c>
      <c r="U11" s="1570">
        <f t="shared" si="1"/>
        <v>100</v>
      </c>
      <c r="V11" s="1569" t="s">
        <v>8</v>
      </c>
      <c r="W11" s="1570">
        <f t="shared" si="2"/>
        <v>100</v>
      </c>
      <c r="X11" s="1571"/>
      <c r="Y11" s="3348"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124</v>
      </c>
      <c r="G12" s="530"/>
      <c r="H12" s="255">
        <f>ROUND(100/'数据-取费表'!G16,0)</f>
        <v>124</v>
      </c>
      <c r="I12" s="530"/>
      <c r="J12" s="255">
        <f>ROUND(100/'数据-取费表'!G16,0)</f>
        <v>124</v>
      </c>
      <c r="K12" s="531"/>
      <c r="L12" s="2140"/>
      <c r="M12" s="2134"/>
      <c r="N12" s="2134"/>
      <c r="O12" s="2141"/>
      <c r="P12" s="3402"/>
      <c r="Q12" s="1151" t="str">
        <f t="shared" si="6"/>
        <v>土地使用年限（年）</v>
      </c>
      <c r="R12" s="1569" t="s">
        <v>8</v>
      </c>
      <c r="S12" s="1570">
        <f t="shared" si="0"/>
        <v>124</v>
      </c>
      <c r="T12" s="1569" t="s">
        <v>8</v>
      </c>
      <c r="U12" s="1570">
        <f t="shared" si="1"/>
        <v>124</v>
      </c>
      <c r="V12" s="1569" t="s">
        <v>8</v>
      </c>
      <c r="W12" s="1570">
        <f t="shared" si="2"/>
        <v>124</v>
      </c>
      <c r="X12" s="1571"/>
      <c r="Y12" s="3348"/>
      <c r="Z12" s="1150" t="str">
        <f t="shared" si="7"/>
        <v>土地使用年限（年）</v>
      </c>
      <c r="AA12" s="1572">
        <f t="shared" si="3"/>
        <v>0.80645161290322576</v>
      </c>
      <c r="AB12" s="1572">
        <f t="shared" si="4"/>
        <v>0.80645161290322576</v>
      </c>
      <c r="AC12" s="1572">
        <f t="shared" si="5"/>
        <v>0.80645161290322576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02"/>
      <c r="Q13" s="1151" t="str">
        <f t="shared" si="6"/>
        <v>容积率</v>
      </c>
      <c r="R13" s="1569" t="s">
        <v>8</v>
      </c>
      <c r="S13" s="1570" t="e">
        <f t="shared" si="0"/>
        <v>#N/A</v>
      </c>
      <c r="T13" s="1569" t="s">
        <v>8</v>
      </c>
      <c r="U13" s="1570" t="e">
        <f t="shared" si="1"/>
        <v>#N/A</v>
      </c>
      <c r="V13" s="1569" t="s">
        <v>8</v>
      </c>
      <c r="W13" s="1570" t="e">
        <f t="shared" si="2"/>
        <v>#N/A</v>
      </c>
      <c r="X13" s="1571"/>
      <c r="Y13" s="3348"/>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2"/>
      <c r="Q14" s="1151" t="str">
        <f t="shared" si="6"/>
        <v>配建</v>
      </c>
      <c r="R14" s="1569" t="s">
        <v>8</v>
      </c>
      <c r="S14" s="1570">
        <f t="shared" si="0"/>
        <v>100</v>
      </c>
      <c r="T14" s="1569" t="s">
        <v>8</v>
      </c>
      <c r="U14" s="1570">
        <f t="shared" si="1"/>
        <v>100</v>
      </c>
      <c r="V14" s="1569" t="s">
        <v>8</v>
      </c>
      <c r="W14" s="1570">
        <f t="shared" si="2"/>
        <v>100</v>
      </c>
      <c r="X14" s="1571"/>
      <c r="Y14" s="3348"/>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2"/>
      <c r="Q15" s="1151">
        <f t="shared" si="6"/>
        <v>111</v>
      </c>
      <c r="R15" s="1569" t="s">
        <v>8</v>
      </c>
      <c r="S15" s="1570">
        <f t="shared" si="0"/>
        <v>100</v>
      </c>
      <c r="T15" s="1569" t="s">
        <v>8</v>
      </c>
      <c r="U15" s="1570">
        <f t="shared" si="1"/>
        <v>100</v>
      </c>
      <c r="V15" s="1569" t="s">
        <v>8</v>
      </c>
      <c r="W15" s="1570">
        <f t="shared" si="2"/>
        <v>100</v>
      </c>
      <c r="X15" s="1571"/>
      <c r="Y15" s="3348"/>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2"/>
      <c r="Q16" s="1151">
        <f t="shared" si="6"/>
        <v>111</v>
      </c>
      <c r="R16" s="1569" t="s">
        <v>8</v>
      </c>
      <c r="S16" s="1570">
        <f t="shared" si="0"/>
        <v>100</v>
      </c>
      <c r="T16" s="1569" t="s">
        <v>8</v>
      </c>
      <c r="U16" s="1570">
        <f t="shared" si="1"/>
        <v>100</v>
      </c>
      <c r="V16" s="1569" t="s">
        <v>8</v>
      </c>
      <c r="W16" s="1570">
        <f t="shared" si="2"/>
        <v>100</v>
      </c>
      <c r="X16" s="1571"/>
      <c r="Y16" s="3348"/>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36" t="s">
        <v>540</v>
      </c>
      <c r="Q17" s="1573" t="str">
        <f t="shared" si="6"/>
        <v>居住社区成熟度</v>
      </c>
      <c r="R17" s="1574" t="s">
        <v>8</v>
      </c>
      <c r="S17" s="1575">
        <f t="shared" si="0"/>
        <v>100</v>
      </c>
      <c r="T17" s="1574" t="s">
        <v>8</v>
      </c>
      <c r="U17" s="1575">
        <f t="shared" si="1"/>
        <v>100</v>
      </c>
      <c r="V17" s="1574" t="s">
        <v>8</v>
      </c>
      <c r="W17" s="1575">
        <f t="shared" si="2"/>
        <v>100</v>
      </c>
      <c r="X17" s="1568"/>
      <c r="Y17" s="343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37"/>
      <c r="Q18" s="1573"/>
      <c r="R18" s="1574"/>
      <c r="S18" s="1575"/>
      <c r="T18" s="1574"/>
      <c r="U18" s="1575"/>
      <c r="V18" s="1574"/>
      <c r="W18" s="1575"/>
      <c r="X18" s="1568"/>
      <c r="Y18" s="343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37"/>
      <c r="Q19" s="1573" t="str">
        <f>B19</f>
        <v>商业繁华度</v>
      </c>
      <c r="R19" s="1574" t="s">
        <v>8</v>
      </c>
      <c r="S19" s="1575">
        <f>F19</f>
        <v>100</v>
      </c>
      <c r="T19" s="1574" t="s">
        <v>8</v>
      </c>
      <c r="U19" s="1575">
        <f>H19</f>
        <v>100</v>
      </c>
      <c r="V19" s="1574" t="s">
        <v>8</v>
      </c>
      <c r="W19" s="1575">
        <f>J19</f>
        <v>100</v>
      </c>
      <c r="X19" s="1568"/>
      <c r="Y19" s="343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37"/>
      <c r="Q20" s="1573"/>
      <c r="R20" s="1574"/>
      <c r="S20" s="1575"/>
      <c r="T20" s="1574"/>
      <c r="U20" s="1575"/>
      <c r="V20" s="1574"/>
      <c r="W20" s="1575"/>
      <c r="X20" s="1568"/>
      <c r="Y20" s="343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37"/>
      <c r="Q21" s="1573" t="str">
        <f>B21</f>
        <v>办公集聚程度</v>
      </c>
      <c r="R21" s="1574" t="s">
        <v>8</v>
      </c>
      <c r="S21" s="1575">
        <f>F21</f>
        <v>100</v>
      </c>
      <c r="T21" s="1574" t="s">
        <v>8</v>
      </c>
      <c r="U21" s="1575">
        <f>H21</f>
        <v>100</v>
      </c>
      <c r="V21" s="1574" t="s">
        <v>8</v>
      </c>
      <c r="W21" s="1575">
        <f>J21</f>
        <v>100</v>
      </c>
      <c r="X21" s="1568"/>
      <c r="Y21" s="343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37"/>
      <c r="Q22" s="1573"/>
      <c r="R22" s="1574"/>
      <c r="S22" s="1575"/>
      <c r="T22" s="1574"/>
      <c r="U22" s="1575"/>
      <c r="V22" s="1574"/>
      <c r="W22" s="1575"/>
      <c r="X22" s="1568"/>
      <c r="Y22" s="343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37"/>
      <c r="Q23" s="1573" t="str">
        <f>B23</f>
        <v>交通便捷度</v>
      </c>
      <c r="R23" s="1574" t="s">
        <v>8</v>
      </c>
      <c r="S23" s="1575">
        <f>F23</f>
        <v>100</v>
      </c>
      <c r="T23" s="1574" t="s">
        <v>8</v>
      </c>
      <c r="U23" s="1575">
        <f>H23</f>
        <v>100</v>
      </c>
      <c r="V23" s="1574" t="s">
        <v>8</v>
      </c>
      <c r="W23" s="1575">
        <f>J23</f>
        <v>100</v>
      </c>
      <c r="X23" s="1568"/>
      <c r="Y23" s="343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37"/>
      <c r="Q24" s="1573"/>
      <c r="R24" s="1574"/>
      <c r="S24" s="1575"/>
      <c r="T24" s="1574"/>
      <c r="U24" s="1575"/>
      <c r="V24" s="1574"/>
      <c r="W24" s="1575"/>
      <c r="X24" s="1568"/>
      <c r="Y24" s="343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37"/>
      <c r="Q25" s="1573" t="str">
        <f t="shared" ref="Q25:Q39" si="8">B25</f>
        <v>区域土地利用方向</v>
      </c>
      <c r="R25" s="1574" t="s">
        <v>8</v>
      </c>
      <c r="S25" s="1575">
        <f>F25</f>
        <v>100</v>
      </c>
      <c r="T25" s="1574" t="s">
        <v>8</v>
      </c>
      <c r="U25" s="1575">
        <f>H25</f>
        <v>100</v>
      </c>
      <c r="V25" s="1574" t="s">
        <v>8</v>
      </c>
      <c r="W25" s="1575">
        <f>J25</f>
        <v>100</v>
      </c>
      <c r="X25" s="1568"/>
      <c r="Y25" s="343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37"/>
      <c r="Q26" s="1573"/>
      <c r="R26" s="1574"/>
      <c r="S26" s="1575"/>
      <c r="T26" s="1574"/>
      <c r="U26" s="1575"/>
      <c r="V26" s="1574"/>
      <c r="W26" s="1575"/>
      <c r="X26" s="1568"/>
      <c r="Y26" s="343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37"/>
      <c r="Q27" s="1573" t="str">
        <f t="shared" si="8"/>
        <v>自然及人文环境状况</v>
      </c>
      <c r="R27" s="1574" t="s">
        <v>8</v>
      </c>
      <c r="S27" s="1575">
        <f>F27</f>
        <v>100</v>
      </c>
      <c r="T27" s="1574" t="s">
        <v>8</v>
      </c>
      <c r="U27" s="1575">
        <f>H27</f>
        <v>100</v>
      </c>
      <c r="V27" s="1574" t="s">
        <v>8</v>
      </c>
      <c r="W27" s="1575">
        <f>J27</f>
        <v>100</v>
      </c>
      <c r="X27" s="1568"/>
      <c r="Y27" s="343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37"/>
      <c r="Q28" s="1573"/>
      <c r="R28" s="1574"/>
      <c r="S28" s="1575"/>
      <c r="T28" s="1574"/>
      <c r="U28" s="1575"/>
      <c r="V28" s="1574"/>
      <c r="W28" s="1575"/>
      <c r="X28" s="1568"/>
      <c r="Y28" s="3437"/>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37"/>
      <c r="Q29" s="1151" t="str">
        <f t="shared" si="8"/>
        <v>公共配套设施</v>
      </c>
      <c r="R29" s="1569" t="s">
        <v>8</v>
      </c>
      <c r="S29" s="1570">
        <f>F29</f>
        <v>100</v>
      </c>
      <c r="T29" s="1569" t="s">
        <v>8</v>
      </c>
      <c r="U29" s="1570">
        <f>H29</f>
        <v>100</v>
      </c>
      <c r="V29" s="1569" t="s">
        <v>8</v>
      </c>
      <c r="W29" s="1570">
        <f>J29</f>
        <v>100</v>
      </c>
      <c r="X29" s="1571"/>
      <c r="Y29" s="343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37"/>
      <c r="Q30" s="1151"/>
      <c r="R30" s="1569"/>
      <c r="S30" s="1570"/>
      <c r="T30" s="1569"/>
      <c r="U30" s="1570"/>
      <c r="V30" s="1569"/>
      <c r="W30" s="1570"/>
      <c r="X30" s="1571"/>
      <c r="Y30" s="3437"/>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37"/>
      <c r="Q31" s="2580" t="str">
        <f t="shared" ref="Q31" si="9">B31</f>
        <v>基础设施水平</v>
      </c>
      <c r="R31" s="1569" t="s">
        <v>8</v>
      </c>
      <c r="S31" s="1570">
        <f>F31</f>
        <v>100</v>
      </c>
      <c r="T31" s="1569" t="s">
        <v>8</v>
      </c>
      <c r="U31" s="1570">
        <f>H31</f>
        <v>100</v>
      </c>
      <c r="V31" s="1569" t="s">
        <v>8</v>
      </c>
      <c r="W31" s="1570">
        <f>J31</f>
        <v>100</v>
      </c>
      <c r="X31" s="1571"/>
      <c r="Y31" s="3437"/>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37"/>
      <c r="Q32" s="2580"/>
      <c r="R32" s="1569"/>
      <c r="S32" s="1570"/>
      <c r="T32" s="1569"/>
      <c r="U32" s="1570"/>
      <c r="V32" s="1569"/>
      <c r="W32" s="1570"/>
      <c r="X32" s="1571"/>
      <c r="Y32" s="3437"/>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3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3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37"/>
      <c r="Q34" s="1573" t="str">
        <f t="shared" si="8"/>
        <v>毗邻道路的类型与等级</v>
      </c>
      <c r="R34" s="1574" t="s">
        <v>8</v>
      </c>
      <c r="S34" s="1575">
        <f t="shared" si="10"/>
        <v>100</v>
      </c>
      <c r="T34" s="1574" t="s">
        <v>8</v>
      </c>
      <c r="U34" s="1575">
        <f t="shared" si="11"/>
        <v>100</v>
      </c>
      <c r="V34" s="1574" t="s">
        <v>8</v>
      </c>
      <c r="W34" s="1575">
        <f t="shared" si="12"/>
        <v>100</v>
      </c>
      <c r="X34" s="1568"/>
      <c r="Y34" s="343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37"/>
      <c r="Q35" s="1573"/>
      <c r="R35" s="1574"/>
      <c r="S35" s="1575"/>
      <c r="T35" s="1574"/>
      <c r="U35" s="1575"/>
      <c r="V35" s="1574"/>
      <c r="W35" s="1575"/>
      <c r="X35" s="1568"/>
      <c r="Y35" s="343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37"/>
      <c r="Q36" s="1573" t="str">
        <f t="shared" si="8"/>
        <v>土地级别</v>
      </c>
      <c r="R36" s="1574" t="s">
        <v>8</v>
      </c>
      <c r="S36" s="1575">
        <f t="shared" si="10"/>
        <v>100</v>
      </c>
      <c r="T36" s="1574" t="s">
        <v>8</v>
      </c>
      <c r="U36" s="1575">
        <f t="shared" si="11"/>
        <v>100</v>
      </c>
      <c r="V36" s="1574" t="s">
        <v>8</v>
      </c>
      <c r="W36" s="1575">
        <f t="shared" si="12"/>
        <v>100</v>
      </c>
      <c r="X36" s="1568"/>
      <c r="Y36" s="343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37"/>
      <c r="Q37" s="1573">
        <f t="shared" si="8"/>
        <v>111</v>
      </c>
      <c r="R37" s="1574" t="s">
        <v>8</v>
      </c>
      <c r="S37" s="1575">
        <f t="shared" si="10"/>
        <v>100</v>
      </c>
      <c r="T37" s="1574" t="s">
        <v>8</v>
      </c>
      <c r="U37" s="1575">
        <f t="shared" si="11"/>
        <v>100</v>
      </c>
      <c r="V37" s="1574" t="s">
        <v>8</v>
      </c>
      <c r="W37" s="1575">
        <f t="shared" si="12"/>
        <v>100</v>
      </c>
      <c r="X37" s="1568"/>
      <c r="Y37" s="343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38" t="s">
        <v>550</v>
      </c>
      <c r="Q38" s="1573">
        <f t="shared" si="8"/>
        <v>111</v>
      </c>
      <c r="R38" s="1574" t="s">
        <v>8</v>
      </c>
      <c r="S38" s="1575">
        <f t="shared" si="10"/>
        <v>100</v>
      </c>
      <c r="T38" s="1574" t="s">
        <v>8</v>
      </c>
      <c r="U38" s="1575">
        <f t="shared" si="11"/>
        <v>100</v>
      </c>
      <c r="V38" s="1574" t="s">
        <v>8</v>
      </c>
      <c r="W38" s="1575">
        <f t="shared" si="12"/>
        <v>100</v>
      </c>
      <c r="X38" s="1568"/>
      <c r="Y38" s="343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39"/>
      <c r="Q39" s="1573">
        <f t="shared" si="8"/>
        <v>111</v>
      </c>
      <c r="R39" s="1578" t="s">
        <v>8</v>
      </c>
      <c r="S39" s="1579">
        <f t="shared" si="10"/>
        <v>100</v>
      </c>
      <c r="T39" s="1578" t="s">
        <v>8</v>
      </c>
      <c r="U39" s="1579">
        <f t="shared" si="11"/>
        <v>100</v>
      </c>
      <c r="V39" s="1578" t="s">
        <v>8</v>
      </c>
      <c r="W39" s="1579">
        <f t="shared" si="12"/>
        <v>100</v>
      </c>
      <c r="X39" s="1580"/>
      <c r="Y39" s="3439"/>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39"/>
      <c r="Q40" s="1573" t="str">
        <f>B40</f>
        <v>宗地面积</v>
      </c>
      <c r="R40" s="1574" t="s">
        <v>8</v>
      </c>
      <c r="S40" s="1575" t="e">
        <f t="shared" si="10"/>
        <v>#N/A</v>
      </c>
      <c r="T40" s="1574" t="s">
        <v>8</v>
      </c>
      <c r="U40" s="1575" t="e">
        <f t="shared" si="11"/>
        <v>#N/A</v>
      </c>
      <c r="V40" s="1574" t="s">
        <v>8</v>
      </c>
      <c r="W40" s="1575" t="e">
        <f t="shared" si="12"/>
        <v>#N/A</v>
      </c>
      <c r="X40" s="1568"/>
      <c r="Y40" s="343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39"/>
      <c r="Q41" s="1573" t="str">
        <f t="shared" ref="Q41:Q47" si="14">B41</f>
        <v>宗地形状</v>
      </c>
      <c r="R41" s="1574" t="s">
        <v>8</v>
      </c>
      <c r="S41" s="1575">
        <f t="shared" si="10"/>
        <v>100</v>
      </c>
      <c r="T41" s="1574" t="s">
        <v>8</v>
      </c>
      <c r="U41" s="1575">
        <f t="shared" si="11"/>
        <v>100</v>
      </c>
      <c r="V41" s="1574" t="s">
        <v>8</v>
      </c>
      <c r="W41" s="1575">
        <f t="shared" si="12"/>
        <v>100</v>
      </c>
      <c r="X41" s="1568"/>
      <c r="Y41" s="343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39"/>
      <c r="Q42" s="1573" t="str">
        <f t="shared" si="14"/>
        <v>临街宽度及深度</v>
      </c>
      <c r="R42" s="1574" t="s">
        <v>8</v>
      </c>
      <c r="S42" s="1575">
        <f t="shared" si="10"/>
        <v>100</v>
      </c>
      <c r="T42" s="1574" t="s">
        <v>8</v>
      </c>
      <c r="U42" s="1575">
        <f t="shared" si="11"/>
        <v>100</v>
      </c>
      <c r="V42" s="1574" t="s">
        <v>8</v>
      </c>
      <c r="W42" s="1575">
        <f t="shared" si="12"/>
        <v>100</v>
      </c>
      <c r="X42" s="1568"/>
      <c r="Y42" s="3439"/>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39"/>
      <c r="Q43" s="1573" t="str">
        <f t="shared" si="14"/>
        <v>宗地开发程度</v>
      </c>
      <c r="R43" s="1569" t="s">
        <v>8</v>
      </c>
      <c r="S43" s="1570">
        <f t="shared" si="10"/>
        <v>100</v>
      </c>
      <c r="T43" s="1569" t="s">
        <v>8</v>
      </c>
      <c r="U43" s="1570">
        <f t="shared" si="11"/>
        <v>100</v>
      </c>
      <c r="V43" s="1569" t="s">
        <v>8</v>
      </c>
      <c r="W43" s="1570">
        <f t="shared" si="12"/>
        <v>100</v>
      </c>
      <c r="X43" s="1571"/>
      <c r="Y43" s="343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39" t="s">
        <v>550</v>
      </c>
      <c r="Q44" s="1573" t="str">
        <f t="shared" si="14"/>
        <v>工程地质条件</v>
      </c>
      <c r="R44" s="1574" t="s">
        <v>8</v>
      </c>
      <c r="S44" s="1575">
        <f t="shared" si="10"/>
        <v>100</v>
      </c>
      <c r="T44" s="1574" t="s">
        <v>8</v>
      </c>
      <c r="U44" s="1575">
        <f t="shared" si="11"/>
        <v>100</v>
      </c>
      <c r="V44" s="1574" t="s">
        <v>8</v>
      </c>
      <c r="W44" s="1575">
        <f t="shared" si="12"/>
        <v>100</v>
      </c>
      <c r="X44" s="1568"/>
      <c r="Y44" s="343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39"/>
      <c r="Q45" s="1573">
        <f t="shared" si="14"/>
        <v>111</v>
      </c>
      <c r="R45" s="1574" t="s">
        <v>8</v>
      </c>
      <c r="S45" s="1575">
        <f t="shared" si="10"/>
        <v>100</v>
      </c>
      <c r="T45" s="1574" t="s">
        <v>8</v>
      </c>
      <c r="U45" s="1575">
        <f t="shared" si="11"/>
        <v>100</v>
      </c>
      <c r="V45" s="1574" t="s">
        <v>8</v>
      </c>
      <c r="W45" s="1575">
        <f t="shared" si="12"/>
        <v>100</v>
      </c>
      <c r="X45" s="1568"/>
      <c r="Y45" s="343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39"/>
      <c r="Q46" s="1573">
        <f t="shared" si="14"/>
        <v>111</v>
      </c>
      <c r="R46" s="1574" t="s">
        <v>8</v>
      </c>
      <c r="S46" s="1575">
        <f t="shared" si="10"/>
        <v>100</v>
      </c>
      <c r="T46" s="1574" t="s">
        <v>8</v>
      </c>
      <c r="U46" s="1575">
        <f t="shared" si="11"/>
        <v>100</v>
      </c>
      <c r="V46" s="1574" t="s">
        <v>8</v>
      </c>
      <c r="W46" s="1575">
        <f t="shared" si="12"/>
        <v>100</v>
      </c>
      <c r="X46" s="1568"/>
      <c r="Y46" s="343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39"/>
      <c r="Q47" s="1573">
        <f t="shared" si="14"/>
        <v>111</v>
      </c>
      <c r="R47" s="1578" t="s">
        <v>8</v>
      </c>
      <c r="S47" s="1579">
        <f t="shared" si="10"/>
        <v>100</v>
      </c>
      <c r="T47" s="1578" t="s">
        <v>8</v>
      </c>
      <c r="U47" s="1579">
        <f t="shared" si="11"/>
        <v>100</v>
      </c>
      <c r="V47" s="1578" t="s">
        <v>8</v>
      </c>
      <c r="W47" s="1579">
        <f t="shared" si="12"/>
        <v>100</v>
      </c>
      <c r="X47" s="1580"/>
      <c r="Y47" s="3439"/>
      <c r="Z47" s="1581">
        <f t="shared" si="13"/>
        <v>111</v>
      </c>
      <c r="AA47" s="1577">
        <f t="shared" si="3"/>
        <v>1</v>
      </c>
      <c r="AB47" s="1577">
        <f t="shared" si="4"/>
        <v>1</v>
      </c>
      <c r="AC47" s="1577">
        <f t="shared" si="5"/>
        <v>1</v>
      </c>
    </row>
    <row r="48" spans="1:29" ht="20.25">
      <c r="A48" s="607" t="s">
        <v>556</v>
      </c>
      <c r="B48" s="608" t="s">
        <v>2938</v>
      </c>
      <c r="C48" s="609" t="s">
        <v>1</v>
      </c>
      <c r="D48" s="610"/>
      <c r="E48" s="611"/>
      <c r="F48" s="612"/>
      <c r="G48" s="613"/>
      <c r="H48" s="614"/>
      <c r="I48" s="611"/>
      <c r="J48" s="614"/>
      <c r="K48" s="1340"/>
      <c r="L48" s="2146"/>
      <c r="M48" s="2134"/>
      <c r="N48" s="2134"/>
      <c r="O48" s="2147"/>
      <c r="P48" s="3402" t="str">
        <f>A48</f>
        <v>成交单价</v>
      </c>
      <c r="Q48" s="3402"/>
      <c r="R48" s="3403">
        <f>E48</f>
        <v>0</v>
      </c>
      <c r="S48" s="3403"/>
      <c r="T48" s="3403">
        <f>G48</f>
        <v>0</v>
      </c>
      <c r="U48" s="3403"/>
      <c r="V48" s="3403">
        <f>I48</f>
        <v>0</v>
      </c>
      <c r="W48" s="3403"/>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02" t="str">
        <f>A49</f>
        <v>比较价格（元/平方米）</v>
      </c>
      <c r="Q49" s="3402"/>
      <c r="R49" s="3404" t="e">
        <f>ROUND(PRODUCT(R48,AA9:AA47),0)</f>
        <v>#DIV/0!</v>
      </c>
      <c r="S49" s="3404"/>
      <c r="T49" s="3404" t="e">
        <f>ROUND(PRODUCT(T48,AB9:AB47),0)</f>
        <v>#DIV/0!</v>
      </c>
      <c r="U49" s="3404"/>
      <c r="V49" s="3404" t="e">
        <f>ROUND(PRODUCT(V48,AC9:AC47),0)</f>
        <v>#DIV/0!</v>
      </c>
      <c r="W49" s="3404"/>
      <c r="X49" s="1560"/>
      <c r="Y49" s="1560"/>
      <c r="Z49" s="1560"/>
      <c r="AA49" s="1560"/>
      <c r="AB49" s="1560"/>
      <c r="AC49" s="1560"/>
    </row>
    <row r="50" spans="1:29" ht="21" thickBot="1">
      <c r="A50" s="621" t="s">
        <v>2939</v>
      </c>
      <c r="B50" s="622"/>
      <c r="C50" s="623" t="e">
        <f>R50</f>
        <v>#DIV/0!</v>
      </c>
      <c r="D50" s="623"/>
      <c r="E50" s="623"/>
      <c r="F50" s="623"/>
      <c r="G50" s="623"/>
      <c r="H50" s="623"/>
      <c r="I50" s="623"/>
      <c r="J50" s="623"/>
      <c r="K50" s="1342"/>
      <c r="L50" s="2146"/>
      <c r="M50" s="2134"/>
      <c r="N50" s="2134"/>
      <c r="O50" s="2147"/>
      <c r="P50" s="3399" t="str">
        <f>A50</f>
        <v>估价对象XX用房的比较价格（楼面单价，元/平方米）</v>
      </c>
      <c r="Q50" s="3400"/>
      <c r="R50" s="3401" t="e">
        <f>ROUND(AVERAGE(R49:V49),0)</f>
        <v>#DIV/0!</v>
      </c>
      <c r="S50" s="3401"/>
      <c r="T50" s="3401"/>
      <c r="U50" s="3401"/>
      <c r="V50" s="3401"/>
      <c r="W50" s="340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28" t="s">
        <v>2284</v>
      </c>
      <c r="H57" s="3429"/>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57858.799999999996</v>
      </c>
      <c r="F58" s="636" t="e">
        <f t="shared" ref="F58:F67" si="15">ROUND(B58*E58/10000,0)</f>
        <v>#DIV/0!</v>
      </c>
      <c r="G58" s="3430"/>
      <c r="H58" s="343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32"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3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3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3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130380.53</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08" t="s">
        <v>522</v>
      </c>
      <c r="D6" s="3409"/>
      <c r="E6" s="3442" t="s">
        <v>523</v>
      </c>
      <c r="F6" s="3443"/>
      <c r="G6" s="3408" t="s">
        <v>524</v>
      </c>
      <c r="H6" s="3409"/>
      <c r="I6" s="3408" t="s">
        <v>525</v>
      </c>
      <c r="J6" s="3409"/>
      <c r="K6" s="514" t="s">
        <v>526</v>
      </c>
      <c r="L6" s="2135"/>
      <c r="M6" s="2136"/>
      <c r="N6" s="2136"/>
      <c r="O6" s="2136"/>
      <c r="P6" s="3410" t="s">
        <v>527</v>
      </c>
      <c r="Q6" s="3411"/>
      <c r="R6" s="3416" t="s">
        <v>523</v>
      </c>
      <c r="S6" s="3417"/>
      <c r="T6" s="3416" t="s">
        <v>524</v>
      </c>
      <c r="U6" s="3417"/>
      <c r="V6" s="3403" t="s">
        <v>525</v>
      </c>
      <c r="W6" s="3403"/>
      <c r="X6" s="1568"/>
      <c r="Y6" s="3416" t="s">
        <v>527</v>
      </c>
      <c r="Z6" s="3417"/>
      <c r="AA6" s="3405" t="s">
        <v>523</v>
      </c>
      <c r="AB6" s="3406" t="s">
        <v>524</v>
      </c>
      <c r="AC6" s="3405" t="s">
        <v>525</v>
      </c>
    </row>
    <row r="7" spans="1:29" ht="15">
      <c r="A7" s="515"/>
      <c r="B7" s="516"/>
      <c r="C7" s="3424" t="s">
        <v>2933</v>
      </c>
      <c r="D7" s="3425"/>
      <c r="E7" s="3444" t="s">
        <v>2934</v>
      </c>
      <c r="F7" s="3445"/>
      <c r="G7" s="3424" t="s">
        <v>2935</v>
      </c>
      <c r="H7" s="3425"/>
      <c r="I7" s="3424" t="s">
        <v>2936</v>
      </c>
      <c r="J7" s="3425"/>
      <c r="K7" s="514"/>
      <c r="L7" s="2135"/>
      <c r="M7" s="2136"/>
      <c r="N7" s="2136"/>
      <c r="O7" s="2136"/>
      <c r="P7" s="3412"/>
      <c r="Q7" s="3413"/>
      <c r="R7" s="3418"/>
      <c r="S7" s="3419"/>
      <c r="T7" s="3418"/>
      <c r="U7" s="3419"/>
      <c r="V7" s="3403"/>
      <c r="W7" s="3403"/>
      <c r="X7" s="1568"/>
      <c r="Y7" s="3418"/>
      <c r="Z7" s="3419"/>
      <c r="AA7" s="3406"/>
      <c r="AB7" s="3406"/>
      <c r="AC7" s="3406"/>
    </row>
    <row r="8" spans="1:29" ht="15.75" thickBot="1">
      <c r="A8" s="517"/>
      <c r="B8" s="518"/>
      <c r="C8" s="3422" t="s">
        <v>2937</v>
      </c>
      <c r="D8" s="3423"/>
      <c r="E8" s="3440" t="s">
        <v>2937</v>
      </c>
      <c r="F8" s="3441"/>
      <c r="G8" s="3422" t="s">
        <v>2937</v>
      </c>
      <c r="H8" s="3423"/>
      <c r="I8" s="3422" t="s">
        <v>2937</v>
      </c>
      <c r="J8" s="3423"/>
      <c r="K8" s="514" t="s">
        <v>528</v>
      </c>
      <c r="L8" s="2135"/>
      <c r="M8" s="2136"/>
      <c r="N8" s="2136"/>
      <c r="O8" s="2136"/>
      <c r="P8" s="3414"/>
      <c r="Q8" s="3415"/>
      <c r="R8" s="3418"/>
      <c r="S8" s="3419"/>
      <c r="T8" s="3420"/>
      <c r="U8" s="3421"/>
      <c r="V8" s="3403"/>
      <c r="W8" s="3403"/>
      <c r="X8" s="1568"/>
      <c r="Y8" s="3420"/>
      <c r="Z8" s="3421"/>
      <c r="AA8" s="3407"/>
      <c r="AB8" s="3407"/>
      <c r="AC8" s="3407"/>
    </row>
    <row r="9" spans="1:29" s="1220" customFormat="1" ht="15.75" thickBot="1">
      <c r="A9" s="2914"/>
      <c r="B9" s="2921" t="s">
        <v>529</v>
      </c>
      <c r="C9" s="519">
        <f>'数据-取费表'!B2</f>
        <v>43410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3" t="s">
        <v>530</v>
      </c>
      <c r="Q9" s="3435"/>
      <c r="R9" s="1569" t="s">
        <v>8</v>
      </c>
      <c r="S9" s="1570">
        <f t="shared" ref="S9:S17" si="0">F9</f>
        <v>0</v>
      </c>
      <c r="T9" s="1569" t="s">
        <v>8</v>
      </c>
      <c r="U9" s="1570">
        <f t="shared" ref="U9:U17" si="1">H9</f>
        <v>0</v>
      </c>
      <c r="V9" s="1569" t="s">
        <v>8</v>
      </c>
      <c r="W9" s="1570">
        <f t="shared" ref="W9:W17" si="2">J9</f>
        <v>0</v>
      </c>
      <c r="X9" s="1571"/>
      <c r="Y9" s="3433" t="s">
        <v>530</v>
      </c>
      <c r="Z9" s="3434"/>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3" t="s">
        <v>533</v>
      </c>
      <c r="Q10" s="3434"/>
      <c r="R10" s="1569" t="s">
        <v>8</v>
      </c>
      <c r="S10" s="1570">
        <f t="shared" si="0"/>
        <v>0</v>
      </c>
      <c r="T10" s="1569" t="s">
        <v>8</v>
      </c>
      <c r="U10" s="1570">
        <f t="shared" si="1"/>
        <v>0</v>
      </c>
      <c r="V10" s="1569" t="s">
        <v>8</v>
      </c>
      <c r="W10" s="1570">
        <f t="shared" si="2"/>
        <v>0</v>
      </c>
      <c r="X10" s="1571"/>
      <c r="Y10" s="3433" t="s">
        <v>533</v>
      </c>
      <c r="Z10" s="3434"/>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2" t="s">
        <v>535</v>
      </c>
      <c r="Q11" s="1151" t="str">
        <f t="shared" ref="Q11:Q17" si="6">B11</f>
        <v>用途</v>
      </c>
      <c r="R11" s="1569" t="s">
        <v>8</v>
      </c>
      <c r="S11" s="1570">
        <f t="shared" si="0"/>
        <v>100</v>
      </c>
      <c r="T11" s="1569" t="s">
        <v>8</v>
      </c>
      <c r="U11" s="1570">
        <f t="shared" si="1"/>
        <v>100</v>
      </c>
      <c r="V11" s="1569" t="s">
        <v>8</v>
      </c>
      <c r="W11" s="1570">
        <f t="shared" si="2"/>
        <v>100</v>
      </c>
      <c r="X11" s="1571"/>
      <c r="Y11" s="3348"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124</v>
      </c>
      <c r="G12" s="528"/>
      <c r="H12" s="255">
        <f>ROUND(100/'数据-取费表'!G16,0)</f>
        <v>124</v>
      </c>
      <c r="I12" s="528"/>
      <c r="J12" s="255">
        <f>ROUND(100/'数据-取费表'!G16,0)</f>
        <v>124</v>
      </c>
      <c r="K12" s="531"/>
      <c r="L12" s="2140"/>
      <c r="M12" s="2180"/>
      <c r="N12" s="2180"/>
      <c r="O12" s="2141"/>
      <c r="P12" s="3402"/>
      <c r="Q12" s="1151" t="str">
        <f t="shared" si="6"/>
        <v>土地使用年限（年）</v>
      </c>
      <c r="R12" s="1569" t="s">
        <v>8</v>
      </c>
      <c r="S12" s="1570">
        <f t="shared" si="0"/>
        <v>124</v>
      </c>
      <c r="T12" s="1569" t="s">
        <v>8</v>
      </c>
      <c r="U12" s="1570">
        <f t="shared" si="1"/>
        <v>124</v>
      </c>
      <c r="V12" s="1569" t="s">
        <v>8</v>
      </c>
      <c r="W12" s="1570">
        <f t="shared" si="2"/>
        <v>124</v>
      </c>
      <c r="X12" s="1571"/>
      <c r="Y12" s="3348"/>
      <c r="Z12" s="1150" t="str">
        <f t="shared" si="7"/>
        <v>土地使用年限（年）</v>
      </c>
      <c r="AA12" s="1572">
        <f t="shared" si="3"/>
        <v>0.80645161290322576</v>
      </c>
      <c r="AB12" s="1572">
        <f t="shared" si="4"/>
        <v>0.80645161290322576</v>
      </c>
      <c r="AC12" s="1572">
        <f t="shared" si="5"/>
        <v>0.80645161290322576</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2"/>
      <c r="Q13" s="1151" t="str">
        <f t="shared" si="6"/>
        <v>容积率</v>
      </c>
      <c r="R13" s="1569" t="s">
        <v>8</v>
      </c>
      <c r="S13" s="1570" t="e">
        <f t="shared" si="0"/>
        <v>#N/A</v>
      </c>
      <c r="T13" s="1569" t="s">
        <v>8</v>
      </c>
      <c r="U13" s="1570" t="e">
        <f t="shared" si="1"/>
        <v>#N/A</v>
      </c>
      <c r="V13" s="1569" t="s">
        <v>8</v>
      </c>
      <c r="W13" s="1570" t="e">
        <f t="shared" si="2"/>
        <v>#N/A</v>
      </c>
      <c r="X13" s="1571"/>
      <c r="Y13" s="3348"/>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2"/>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2"/>
      <c r="Q15" s="1151">
        <f t="shared" si="6"/>
        <v>111</v>
      </c>
      <c r="R15" s="1569" t="s">
        <v>8</v>
      </c>
      <c r="S15" s="1570">
        <f t="shared" si="0"/>
        <v>100</v>
      </c>
      <c r="T15" s="1569" t="s">
        <v>8</v>
      </c>
      <c r="U15" s="1570">
        <f t="shared" si="1"/>
        <v>100</v>
      </c>
      <c r="V15" s="1569" t="s">
        <v>8</v>
      </c>
      <c r="W15" s="1570">
        <f t="shared" si="2"/>
        <v>100</v>
      </c>
      <c r="X15" s="1571"/>
      <c r="Y15" s="3348"/>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2"/>
      <c r="Q16" s="1151">
        <f t="shared" si="6"/>
        <v>111</v>
      </c>
      <c r="R16" s="1569" t="s">
        <v>8</v>
      </c>
      <c r="S16" s="1570">
        <f t="shared" si="0"/>
        <v>100</v>
      </c>
      <c r="T16" s="1569" t="s">
        <v>8</v>
      </c>
      <c r="U16" s="1570">
        <f t="shared" si="1"/>
        <v>100</v>
      </c>
      <c r="V16" s="1569" t="s">
        <v>8</v>
      </c>
      <c r="W16" s="1570">
        <f t="shared" si="2"/>
        <v>100</v>
      </c>
      <c r="X16" s="1571"/>
      <c r="Y16" s="3348"/>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36" t="s">
        <v>540</v>
      </c>
      <c r="Q17" s="1573" t="str">
        <f t="shared" si="6"/>
        <v>产业集聚程度</v>
      </c>
      <c r="R17" s="1574" t="s">
        <v>8</v>
      </c>
      <c r="S17" s="1575">
        <f t="shared" si="0"/>
        <v>100</v>
      </c>
      <c r="T17" s="1574" t="s">
        <v>8</v>
      </c>
      <c r="U17" s="1575">
        <f t="shared" si="1"/>
        <v>100</v>
      </c>
      <c r="V17" s="1574" t="s">
        <v>8</v>
      </c>
      <c r="W17" s="1575">
        <f t="shared" si="2"/>
        <v>100</v>
      </c>
      <c r="X17" s="1568"/>
      <c r="Y17" s="343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37"/>
      <c r="Q18" s="1573"/>
      <c r="R18" s="1574"/>
      <c r="S18" s="1575"/>
      <c r="T18" s="1574"/>
      <c r="U18" s="1575"/>
      <c r="V18" s="1574"/>
      <c r="W18" s="1575"/>
      <c r="X18" s="1568"/>
      <c r="Y18" s="343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37"/>
      <c r="Q19" s="1573" t="str">
        <f>B19</f>
        <v>交通便捷度</v>
      </c>
      <c r="R19" s="1574" t="s">
        <v>8</v>
      </c>
      <c r="S19" s="1575">
        <f>F19</f>
        <v>100</v>
      </c>
      <c r="T19" s="1574" t="s">
        <v>8</v>
      </c>
      <c r="U19" s="1575">
        <f>H19</f>
        <v>100</v>
      </c>
      <c r="V19" s="1574" t="s">
        <v>8</v>
      </c>
      <c r="W19" s="1575">
        <f>J19</f>
        <v>100</v>
      </c>
      <c r="X19" s="1568"/>
      <c r="Y19" s="343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37"/>
      <c r="Q20" s="1573"/>
      <c r="R20" s="1574"/>
      <c r="S20" s="1575"/>
      <c r="T20" s="1574"/>
      <c r="U20" s="1575"/>
      <c r="V20" s="1574"/>
      <c r="W20" s="1575"/>
      <c r="X20" s="1568"/>
      <c r="Y20" s="343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37"/>
      <c r="Q21" s="1573" t="str">
        <f t="shared" ref="Q21:Q35" si="8">B21</f>
        <v>区域土地利用方向</v>
      </c>
      <c r="R21" s="1574" t="s">
        <v>8</v>
      </c>
      <c r="S21" s="1575">
        <f>F21</f>
        <v>100</v>
      </c>
      <c r="T21" s="1574" t="s">
        <v>8</v>
      </c>
      <c r="U21" s="1575">
        <f>H21</f>
        <v>100</v>
      </c>
      <c r="V21" s="1574" t="s">
        <v>8</v>
      </c>
      <c r="W21" s="1575">
        <f>J21</f>
        <v>100</v>
      </c>
      <c r="X21" s="1568"/>
      <c r="Y21" s="343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37"/>
      <c r="Q22" s="1573"/>
      <c r="R22" s="1574"/>
      <c r="S22" s="1575"/>
      <c r="T22" s="1574"/>
      <c r="U22" s="1575"/>
      <c r="V22" s="1574"/>
      <c r="W22" s="1575"/>
      <c r="X22" s="1568"/>
      <c r="Y22" s="343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37"/>
      <c r="Q23" s="1573" t="str">
        <f t="shared" si="8"/>
        <v>环境状况</v>
      </c>
      <c r="R23" s="1574" t="s">
        <v>8</v>
      </c>
      <c r="S23" s="1575">
        <f>F23</f>
        <v>100</v>
      </c>
      <c r="T23" s="1574" t="s">
        <v>8</v>
      </c>
      <c r="U23" s="1575">
        <f>H23</f>
        <v>100</v>
      </c>
      <c r="V23" s="1574" t="s">
        <v>8</v>
      </c>
      <c r="W23" s="1575">
        <f>J23</f>
        <v>100</v>
      </c>
      <c r="X23" s="1568"/>
      <c r="Y23" s="343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37"/>
      <c r="Q24" s="1573"/>
      <c r="R24" s="1574"/>
      <c r="S24" s="1575"/>
      <c r="T24" s="1574"/>
      <c r="U24" s="1575"/>
      <c r="V24" s="1574"/>
      <c r="W24" s="1575"/>
      <c r="X24" s="1568"/>
      <c r="Y24" s="3437"/>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37"/>
      <c r="Q25" s="1151" t="str">
        <f t="shared" si="8"/>
        <v>公共配套设施</v>
      </c>
      <c r="R25" s="1569" t="s">
        <v>8</v>
      </c>
      <c r="S25" s="1570">
        <f>F25</f>
        <v>100</v>
      </c>
      <c r="T25" s="1569" t="s">
        <v>8</v>
      </c>
      <c r="U25" s="1570">
        <f>H25</f>
        <v>100</v>
      </c>
      <c r="V25" s="1569" t="s">
        <v>8</v>
      </c>
      <c r="W25" s="1570">
        <f>J25</f>
        <v>100</v>
      </c>
      <c r="X25" s="1571"/>
      <c r="Y25" s="3437"/>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37"/>
      <c r="Q26" s="1151"/>
      <c r="R26" s="1569"/>
      <c r="S26" s="1570"/>
      <c r="T26" s="1569"/>
      <c r="U26" s="1570"/>
      <c r="V26" s="1569"/>
      <c r="W26" s="1570"/>
      <c r="X26" s="1571"/>
      <c r="Y26" s="3437"/>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37"/>
      <c r="Q27" s="2580" t="str">
        <f t="shared" ref="Q27" si="9">B27</f>
        <v>基础设施水平</v>
      </c>
      <c r="R27" s="1569" t="s">
        <v>8</v>
      </c>
      <c r="S27" s="1570">
        <f>F27</f>
        <v>100</v>
      </c>
      <c r="T27" s="1569" t="s">
        <v>8</v>
      </c>
      <c r="U27" s="1570">
        <f>H27</f>
        <v>100</v>
      </c>
      <c r="V27" s="1569" t="s">
        <v>8</v>
      </c>
      <c r="W27" s="1570">
        <f>J27</f>
        <v>100</v>
      </c>
      <c r="X27" s="1571"/>
      <c r="Y27" s="3437"/>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37"/>
      <c r="Q28" s="2580"/>
      <c r="R28" s="1569"/>
      <c r="S28" s="1570"/>
      <c r="T28" s="1569"/>
      <c r="U28" s="1570"/>
      <c r="V28" s="1569"/>
      <c r="W28" s="1570"/>
      <c r="X28" s="1571"/>
      <c r="Y28" s="3437"/>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3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37"/>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37"/>
      <c r="Q30" s="1573" t="str">
        <f t="shared" si="8"/>
        <v>毗邻道路的类型与等级</v>
      </c>
      <c r="R30" s="1574" t="s">
        <v>8</v>
      </c>
      <c r="S30" s="1575">
        <f t="shared" si="10"/>
        <v>100</v>
      </c>
      <c r="T30" s="1574" t="s">
        <v>8</v>
      </c>
      <c r="U30" s="1575">
        <f t="shared" si="11"/>
        <v>100</v>
      </c>
      <c r="V30" s="1574" t="s">
        <v>8</v>
      </c>
      <c r="W30" s="1575">
        <f t="shared" si="12"/>
        <v>100</v>
      </c>
      <c r="X30" s="1568"/>
      <c r="Y30" s="343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37"/>
      <c r="Q31" s="1573"/>
      <c r="R31" s="1574"/>
      <c r="S31" s="1575"/>
      <c r="T31" s="1574"/>
      <c r="U31" s="1575"/>
      <c r="V31" s="1574"/>
      <c r="W31" s="1575"/>
      <c r="X31" s="1568"/>
      <c r="Y31" s="3437"/>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37"/>
      <c r="Q32" s="1573" t="str">
        <f t="shared" si="8"/>
        <v>土地级别</v>
      </c>
      <c r="R32" s="1574" t="s">
        <v>8</v>
      </c>
      <c r="S32" s="1575">
        <f t="shared" si="10"/>
        <v>100</v>
      </c>
      <c r="T32" s="1574" t="s">
        <v>8</v>
      </c>
      <c r="U32" s="1575">
        <f t="shared" si="11"/>
        <v>100</v>
      </c>
      <c r="V32" s="1574" t="s">
        <v>8</v>
      </c>
      <c r="W32" s="1575">
        <f t="shared" si="12"/>
        <v>100</v>
      </c>
      <c r="X32" s="1568"/>
      <c r="Y32" s="343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37"/>
      <c r="Q33" s="1573">
        <f t="shared" si="8"/>
        <v>111</v>
      </c>
      <c r="R33" s="1574" t="s">
        <v>8</v>
      </c>
      <c r="S33" s="1575">
        <f t="shared" si="10"/>
        <v>100</v>
      </c>
      <c r="T33" s="1574" t="s">
        <v>8</v>
      </c>
      <c r="U33" s="1575">
        <f t="shared" si="11"/>
        <v>100</v>
      </c>
      <c r="V33" s="1574" t="s">
        <v>8</v>
      </c>
      <c r="W33" s="1575">
        <f t="shared" si="12"/>
        <v>100</v>
      </c>
      <c r="X33" s="1568"/>
      <c r="Y33" s="343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38" t="s">
        <v>550</v>
      </c>
      <c r="Q34" s="1573">
        <f t="shared" si="8"/>
        <v>111</v>
      </c>
      <c r="R34" s="1574" t="s">
        <v>8</v>
      </c>
      <c r="S34" s="1575">
        <f t="shared" si="10"/>
        <v>100</v>
      </c>
      <c r="T34" s="1574" t="s">
        <v>8</v>
      </c>
      <c r="U34" s="1575">
        <f t="shared" si="11"/>
        <v>100</v>
      </c>
      <c r="V34" s="1574" t="s">
        <v>8</v>
      </c>
      <c r="W34" s="1575">
        <f t="shared" si="12"/>
        <v>100</v>
      </c>
      <c r="X34" s="1568"/>
      <c r="Y34" s="3439"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39"/>
      <c r="Q35" s="1573">
        <f t="shared" si="8"/>
        <v>111</v>
      </c>
      <c r="R35" s="1578" t="s">
        <v>8</v>
      </c>
      <c r="S35" s="1579">
        <f t="shared" si="10"/>
        <v>100</v>
      </c>
      <c r="T35" s="1578" t="s">
        <v>8</v>
      </c>
      <c r="U35" s="1579">
        <f t="shared" si="11"/>
        <v>100</v>
      </c>
      <c r="V35" s="1578" t="s">
        <v>8</v>
      </c>
      <c r="W35" s="1579">
        <f t="shared" si="12"/>
        <v>100</v>
      </c>
      <c r="X35" s="1580"/>
      <c r="Y35" s="3439"/>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39"/>
      <c r="Q36" s="1573" t="str">
        <f>B36</f>
        <v>宗地面积</v>
      </c>
      <c r="R36" s="1574" t="s">
        <v>8</v>
      </c>
      <c r="S36" s="1575" t="e">
        <f t="shared" si="10"/>
        <v>#N/A</v>
      </c>
      <c r="T36" s="1574" t="s">
        <v>8</v>
      </c>
      <c r="U36" s="1575" t="e">
        <f t="shared" si="11"/>
        <v>#N/A</v>
      </c>
      <c r="V36" s="1574" t="s">
        <v>8</v>
      </c>
      <c r="W36" s="1575" t="e">
        <f t="shared" si="12"/>
        <v>#N/A</v>
      </c>
      <c r="X36" s="1568"/>
      <c r="Y36" s="343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39"/>
      <c r="Q37" s="1573" t="str">
        <f t="shared" ref="Q37:Q42" si="14">B37</f>
        <v>宗地形状</v>
      </c>
      <c r="R37" s="1574" t="s">
        <v>8</v>
      </c>
      <c r="S37" s="1575">
        <f t="shared" si="10"/>
        <v>100</v>
      </c>
      <c r="T37" s="1574" t="s">
        <v>8</v>
      </c>
      <c r="U37" s="1575">
        <f t="shared" si="11"/>
        <v>100</v>
      </c>
      <c r="V37" s="1574" t="s">
        <v>8</v>
      </c>
      <c r="W37" s="1575">
        <f t="shared" si="12"/>
        <v>100</v>
      </c>
      <c r="X37" s="1568"/>
      <c r="Y37" s="3439"/>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39"/>
      <c r="Q38" s="1573" t="str">
        <f t="shared" si="14"/>
        <v>宗地开发程度</v>
      </c>
      <c r="R38" s="1569" t="s">
        <v>8</v>
      </c>
      <c r="S38" s="1570">
        <f t="shared" si="10"/>
        <v>100</v>
      </c>
      <c r="T38" s="1569" t="s">
        <v>8</v>
      </c>
      <c r="U38" s="1570">
        <f t="shared" si="11"/>
        <v>100</v>
      </c>
      <c r="V38" s="1569" t="s">
        <v>8</v>
      </c>
      <c r="W38" s="1570">
        <f t="shared" si="12"/>
        <v>100</v>
      </c>
      <c r="X38" s="1571"/>
      <c r="Y38" s="343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39" t="s">
        <v>601</v>
      </c>
      <c r="Q39" s="1573" t="str">
        <f t="shared" si="14"/>
        <v>工程地质条件</v>
      </c>
      <c r="R39" s="1574" t="s">
        <v>8</v>
      </c>
      <c r="S39" s="1575">
        <f t="shared" si="10"/>
        <v>100</v>
      </c>
      <c r="T39" s="1574" t="s">
        <v>8</v>
      </c>
      <c r="U39" s="1575">
        <f t="shared" si="11"/>
        <v>100</v>
      </c>
      <c r="V39" s="1574" t="s">
        <v>8</v>
      </c>
      <c r="W39" s="1575">
        <f t="shared" si="12"/>
        <v>100</v>
      </c>
      <c r="X39" s="1568"/>
      <c r="Y39" s="343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39"/>
      <c r="Q40" s="1573">
        <f t="shared" si="14"/>
        <v>111</v>
      </c>
      <c r="R40" s="1574" t="s">
        <v>8</v>
      </c>
      <c r="S40" s="1575">
        <f t="shared" si="10"/>
        <v>100</v>
      </c>
      <c r="T40" s="1574" t="s">
        <v>8</v>
      </c>
      <c r="U40" s="1575">
        <f t="shared" si="11"/>
        <v>100</v>
      </c>
      <c r="V40" s="1574" t="s">
        <v>8</v>
      </c>
      <c r="W40" s="1575">
        <f t="shared" si="12"/>
        <v>100</v>
      </c>
      <c r="X40" s="1568"/>
      <c r="Y40" s="343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39"/>
      <c r="Q41" s="1573">
        <f t="shared" si="14"/>
        <v>111</v>
      </c>
      <c r="R41" s="1574" t="s">
        <v>8</v>
      </c>
      <c r="S41" s="1575">
        <f t="shared" si="10"/>
        <v>100</v>
      </c>
      <c r="T41" s="1574" t="s">
        <v>8</v>
      </c>
      <c r="U41" s="1575">
        <f t="shared" si="11"/>
        <v>100</v>
      </c>
      <c r="V41" s="1574" t="s">
        <v>8</v>
      </c>
      <c r="W41" s="1575">
        <f t="shared" si="12"/>
        <v>100</v>
      </c>
      <c r="X41" s="1568"/>
      <c r="Y41" s="343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39"/>
      <c r="Q42" s="1573">
        <f t="shared" si="14"/>
        <v>111</v>
      </c>
      <c r="R42" s="1578" t="s">
        <v>8</v>
      </c>
      <c r="S42" s="1579">
        <f t="shared" si="10"/>
        <v>100</v>
      </c>
      <c r="T42" s="1578" t="s">
        <v>8</v>
      </c>
      <c r="U42" s="1579">
        <f t="shared" si="11"/>
        <v>100</v>
      </c>
      <c r="V42" s="1578" t="s">
        <v>8</v>
      </c>
      <c r="W42" s="1579">
        <f t="shared" si="12"/>
        <v>100</v>
      </c>
      <c r="X42" s="1580"/>
      <c r="Y42" s="3439"/>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402" t="str">
        <f>A43</f>
        <v>成交单价</v>
      </c>
      <c r="Q43" s="3402"/>
      <c r="R43" s="3403">
        <f>E43</f>
        <v>0</v>
      </c>
      <c r="S43" s="3403"/>
      <c r="T43" s="3403">
        <f>G43</f>
        <v>0</v>
      </c>
      <c r="U43" s="3403"/>
      <c r="V43" s="3403">
        <f>I43</f>
        <v>0</v>
      </c>
      <c r="W43" s="3403"/>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02" t="str">
        <f>A44</f>
        <v>比较价格（元/平方米）</v>
      </c>
      <c r="Q44" s="3402"/>
      <c r="R44" s="3404" t="e">
        <f>ROUND(PRODUCT(R43,AA9:AA42),0)</f>
        <v>#DIV/0!</v>
      </c>
      <c r="S44" s="3404"/>
      <c r="T44" s="3404" t="e">
        <f>ROUND(PRODUCT(T43,AB9:AB42),0)</f>
        <v>#DIV/0!</v>
      </c>
      <c r="U44" s="3404"/>
      <c r="V44" s="3404" t="e">
        <f>ROUND(PRODUCT(V43,AC9:AC42),0)</f>
        <v>#DIV/0!</v>
      </c>
      <c r="W44" s="3404"/>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99" t="str">
        <f>A45</f>
        <v>估价对象XX用房的比较价格（楼面单价，元/平方米）</v>
      </c>
      <c r="Q45" s="3400"/>
      <c r="R45" s="3401" t="e">
        <f>ROUND(AVERAGE(R44:V44),0)</f>
        <v>#DIV/0!</v>
      </c>
      <c r="S45" s="3401"/>
      <c r="T45" s="3401"/>
      <c r="U45" s="3401"/>
      <c r="V45" s="3401"/>
      <c r="W45" s="340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46" t="s">
        <v>2287</v>
      </c>
      <c r="H52" s="3447"/>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57858.799999999996</v>
      </c>
      <c r="F53" s="1952" t="e">
        <f t="shared" ref="F53:F62" si="15">ROUND(B53*E53/10000,0)</f>
        <v>#DIV/0!</v>
      </c>
      <c r="G53" s="3448"/>
      <c r="H53" s="344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0"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130380.53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86" sqref="F8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57858.8</v>
      </c>
      <c r="E1" s="1407" t="s">
        <v>2430</v>
      </c>
      <c r="F1" s="2454">
        <f>项目基本情况!C22</f>
        <v>130380.53</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23601</v>
      </c>
      <c r="C2" s="1408" t="s">
        <v>921</v>
      </c>
      <c r="D2" s="1409" t="s">
        <v>922</v>
      </c>
      <c r="E2" s="1410" t="s">
        <v>982</v>
      </c>
      <c r="F2" s="1409" t="s">
        <v>924</v>
      </c>
      <c r="G2" s="1653" t="str">
        <f>IF(E2="商业",项目基本情况!B43,IF(E2="办公",项目基本情况!C43,IF(E2="住宅",项目基本情况!D43,项目基本情况!E43)))</f>
        <v>五级</v>
      </c>
      <c r="H2" s="1409" t="s">
        <v>926</v>
      </c>
      <c r="I2" s="1654" t="str">
        <f>IF(E2="商业",项目基本情况!B44,IF(E2="办公",项目基本情况!C44,IF(E2="住宅",项目基本情况!D44,项目基本情况!E44)))</f>
        <v>Ⅴ-01</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1.8629</v>
      </c>
      <c r="T2" s="2939">
        <f ca="1">ROUND($C$5*$C$18*$C$19*$C$20*S2*$C$24,0)</f>
        <v>6325</v>
      </c>
      <c r="U2" s="2928"/>
      <c r="V2" s="2939">
        <f ca="1">ROUND(T2*U2/10000,0)</f>
        <v>0</v>
      </c>
      <c r="W2" s="2191"/>
      <c r="X2" s="2191"/>
      <c r="Y2" s="2191"/>
      <c r="Z2" s="2191"/>
      <c r="AA2" s="2191"/>
      <c r="AB2" s="2191"/>
      <c r="AC2" s="2192"/>
    </row>
    <row r="3" spans="1:39" ht="15.75">
      <c r="A3" s="1412" t="s">
        <v>1688</v>
      </c>
      <c r="B3" s="1038">
        <f ca="1">ROUND(B2*10000/D1,0)</f>
        <v>4079</v>
      </c>
      <c r="C3" s="1408" t="s">
        <v>927</v>
      </c>
      <c r="D3" s="1409" t="s">
        <v>928</v>
      </c>
      <c r="E3" s="1413" t="s">
        <v>3037</v>
      </c>
      <c r="F3" s="1414" t="s">
        <v>3036</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1.3371999999999999</v>
      </c>
      <c r="T3" s="2939">
        <f t="shared" ref="T3:T16" ca="1" si="0">ROUND($C$5*$C$18*$C$19*$C$20*S3*$C$24,0)</f>
        <v>4540</v>
      </c>
      <c r="U3" s="2928"/>
      <c r="V3" s="2939">
        <f t="shared" ref="V3:V16" ca="1" si="1">ROUND(T3*U3/10000,0)</f>
        <v>0</v>
      </c>
      <c r="W3" s="2191"/>
      <c r="X3" s="2191"/>
      <c r="Y3" s="2191"/>
      <c r="Z3" s="2191"/>
      <c r="AA3" s="2191"/>
      <c r="AB3" s="2191"/>
      <c r="AC3" s="2192"/>
    </row>
    <row r="4" spans="1:39" ht="28.5">
      <c r="A4" s="1893" t="s">
        <v>2283</v>
      </c>
      <c r="B4" s="2455">
        <f ca="1">ROUND(B2*10000/F1,0)</f>
        <v>1810</v>
      </c>
      <c r="C4" s="1896" t="s">
        <v>2257</v>
      </c>
      <c r="D4" s="1896">
        <f ca="1">ROUND(B2/(F1/666.67),0)</f>
        <v>121</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1.0788</v>
      </c>
      <c r="T4" s="2939">
        <f t="shared" ca="1" si="0"/>
        <v>3663</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2967</v>
      </c>
      <c r="D5" s="3123">
        <f>ROUND(IF(E2="商业",IF(F16="增加",C6+C16,C6-C16)),0)</f>
        <v>0</v>
      </c>
      <c r="E5" s="1417"/>
      <c r="F5" s="1417"/>
      <c r="G5" s="1418"/>
      <c r="H5" s="1418"/>
      <c r="I5" s="1418"/>
      <c r="J5" s="1419"/>
      <c r="K5" s="1595"/>
      <c r="L5" s="1887" t="s">
        <v>2245</v>
      </c>
      <c r="M5" s="1888">
        <f>SUMPRODUCT((区片价!B76:B109=I2)*(区片价!C3:F3=E2)*(区片价!C76:F109))</f>
        <v>3060</v>
      </c>
      <c r="N5" s="1889">
        <f>SUMPRODUCT((因素修正幅度!B76:B109=I2)*(因素修正幅度!C3:F3=E2)*(因素修正幅度!C76:F109))</f>
        <v>0.1</v>
      </c>
      <c r="O5" s="2191"/>
      <c r="P5" s="2191"/>
      <c r="Q5" s="2191"/>
      <c r="R5" s="2939">
        <v>4</v>
      </c>
      <c r="S5" s="2939">
        <f>ROUND(IF(G3&gt;1,IF(R5&lt;7,SUMPRODUCT((B93:B98=R5)*(C92:N92=G2)*(C93:N98)),SUMIF(C92:N92,G2,C100:N100)),IF(R5&lt;7,SUMPRODUCT((B102:B107=R5)*(C92:N92=G2)*(C102:N107)),SUMIF(C92:N92,G2,C109:N109))),4)</f>
        <v>0.86560000000000004</v>
      </c>
      <c r="T5" s="2939">
        <f t="shared" ca="1" si="0"/>
        <v>2939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3060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0.73709999999999998</v>
      </c>
      <c r="T6" s="2939">
        <f t="shared" ca="1" si="0"/>
        <v>2502</v>
      </c>
      <c r="U6" s="2928"/>
      <c r="V6" s="2939">
        <f t="shared" ca="1" si="1"/>
        <v>0</v>
      </c>
      <c r="W6" s="2191"/>
      <c r="X6" s="2191"/>
      <c r="Y6" s="2191"/>
      <c r="Z6" s="2191"/>
      <c r="AA6" s="2191"/>
      <c r="AB6" s="2191"/>
      <c r="AC6" s="2193"/>
      <c r="AD6" s="1420"/>
      <c r="AE6" s="1420"/>
      <c r="AF6" s="1420"/>
      <c r="AG6" s="1420"/>
      <c r="AH6" s="1420"/>
      <c r="AI6" s="1420"/>
      <c r="AJ6" s="1421"/>
    </row>
    <row r="7" spans="1:39" ht="24">
      <c r="A7" s="3460"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0.6482</v>
      </c>
      <c r="T7" s="2939">
        <f t="shared" ca="1" si="0"/>
        <v>2201</v>
      </c>
      <c r="U7" s="2928"/>
      <c r="V7" s="2939">
        <f t="shared" ca="1" si="1"/>
        <v>0</v>
      </c>
      <c r="W7" s="2937" t="s">
        <v>2767</v>
      </c>
      <c r="X7" s="2929" t="str">
        <f>G2</f>
        <v>五级</v>
      </c>
      <c r="Y7" s="2929" t="s">
        <v>2768</v>
      </c>
      <c r="Z7" s="2930">
        <f>G3</f>
        <v>1</v>
      </c>
      <c r="AA7" s="2194"/>
      <c r="AB7" s="2194"/>
      <c r="AC7" s="2195"/>
      <c r="AD7" s="2931"/>
      <c r="AE7" s="2931"/>
      <c r="AF7" s="2931"/>
      <c r="AG7" s="2931"/>
      <c r="AH7" s="2931"/>
      <c r="AI7" s="2931"/>
      <c r="AJ7" s="2932"/>
    </row>
    <row r="8" spans="1:39" ht="15">
      <c r="A8" s="3461"/>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52" t="s">
        <v>2785</v>
      </c>
      <c r="X8" s="3453"/>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61"/>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51" t="s">
        <v>2781</v>
      </c>
      <c r="X9" s="2933" t="s">
        <v>2782</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61"/>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5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61"/>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51"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60"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51"/>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62"/>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51"/>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462"/>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6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460" t="s">
        <v>1839</v>
      </c>
      <c r="B16" s="1428" t="s">
        <v>950</v>
      </c>
      <c r="C16" s="1054">
        <f>ROUND(SUM(G17:J17)/C17,0)</f>
        <v>93</v>
      </c>
      <c r="D16" s="1461" t="s">
        <v>951</v>
      </c>
      <c r="E16" s="1462" t="s">
        <v>3038</v>
      </c>
      <c r="F16" s="1463" t="s">
        <v>3039</v>
      </c>
      <c r="G16" s="1464" t="s">
        <v>3040</v>
      </c>
      <c r="H16" s="1464" t="s">
        <v>3041</v>
      </c>
      <c r="I16" s="1464" t="s">
        <v>3042</v>
      </c>
      <c r="J16" s="1464" t="s">
        <v>3043</v>
      </c>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61"/>
      <c r="B17" s="1466" t="s">
        <v>953</v>
      </c>
      <c r="C17" s="1055">
        <f>SUMPRODUCT((修正!A2:A5=E2)*(修正!B1:M1=G2)*(修正!B2:M5))</f>
        <v>1.5</v>
      </c>
      <c r="D17" s="1468" t="s">
        <v>954</v>
      </c>
      <c r="E17" s="1469" t="str">
        <f>IF(OR(G2="八级",G2="九级",G2="十级",G2="十一级",G2="十二级"),"五通一平","七通一平")</f>
        <v>七通一平</v>
      </c>
      <c r="F17" s="1467" t="s">
        <v>955</v>
      </c>
      <c r="G17" s="1055">
        <f>SUMPRODUCT((七通一平=G16)*(修正!B1:M1=G2)*(修正!B6:M14))</f>
        <v>35</v>
      </c>
      <c r="H17" s="1055">
        <f>SUMPRODUCT((七通一平=H16)*(修正!B1:M1=G2)*(修正!B6:M14))</f>
        <v>50</v>
      </c>
      <c r="I17" s="1055">
        <f>SUMPRODUCT((七通一平=I16)*(修正!B1:M1=G2)*(修正!B6:M14))</f>
        <v>40</v>
      </c>
      <c r="J17" s="1056">
        <f>SUMPRODUCT((七通一平=J16)*(修正!B1:M1=G2)*(修正!B6:M14))</f>
        <v>15</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ROUND(IF(H19="按公示增长率计算",SUMPRODUCT((地价!A3:A24=YEAR(G19)&amp;"-"&amp;ROUNDUP(MONTH(G19)/3,0))*(地价!X2:AB2=E2)*(地价!X3:AB24)),IF(H19="地价指数",M20/M19,(1+I19)^O19)),4)</f>
        <v>1.3087</v>
      </c>
      <c r="D19" s="1475" t="s">
        <v>958</v>
      </c>
      <c r="E19" s="1058">
        <v>41640</v>
      </c>
      <c r="F19" s="1475" t="s">
        <v>959</v>
      </c>
      <c r="G19" s="1059">
        <f>'数据-取费表'!B2</f>
        <v>43410</v>
      </c>
      <c r="H19" s="1476" t="s">
        <v>3190</v>
      </c>
      <c r="I19" s="2786" t="str">
        <f>IF(H19="季度增幅（自定义）",SUMIF(N21:N24,E2,O21:O24),"")</f>
        <v/>
      </c>
      <c r="J19" s="1472"/>
      <c r="K19" s="1482"/>
      <c r="L19" s="3042" t="s">
        <v>2843</v>
      </c>
      <c r="M19" s="3043">
        <f>ROUND(SUMIF(地价!B2:F2,E2,地价!B24:F24),0)</f>
        <v>230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0.85470000000000002</v>
      </c>
      <c r="D20" s="2783" t="s">
        <v>973</v>
      </c>
      <c r="E20" s="3098">
        <f ca="1">存贷款利率!I4/100</f>
        <v>4.3499999999999997E-2</v>
      </c>
      <c r="F20" s="2783" t="s">
        <v>974</v>
      </c>
      <c r="G20" s="2784">
        <f ca="1">SUMIF(M15:P15,E2,M17:P17)</f>
        <v>4.8000000000000001E-2</v>
      </c>
      <c r="H20" s="2783" t="s">
        <v>975</v>
      </c>
      <c r="I20" s="2773">
        <f>SUMIF('数据-取费表'!C6:C15,E2,'数据-取费表'!F6:F15)/COUNTIF('数据-取费表'!C6:C15,E2)</f>
        <v>31.6</v>
      </c>
      <c r="J20" s="2785">
        <f>IF(E2="住宅",70,IF(E2="商业",40,50))</f>
        <v>50</v>
      </c>
      <c r="K20" s="1482"/>
      <c r="L20" s="3044" t="s">
        <v>2844</v>
      </c>
      <c r="M20" s="3045">
        <f>ROUND(SUMPRODUCT((地价!A4:A24=YEAR(G19)&amp;"-"&amp;ROUNDUP(MONTH(G19)/3,0))*(地价!B2:F2=E2)*(地价!B4:F24)),0)</f>
        <v>301</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3044</v>
      </c>
      <c r="C21" s="1158">
        <f>IF(B21="容积率修正",IF(G3&lt;=10,D22,J22),C23)</f>
        <v>1.2015</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1.2015</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1.0229999999999999</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f ca="1">E29+SUM(E33:E39)</f>
        <v>23601</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4079</v>
      </c>
      <c r="D29" s="1505">
        <f>'数据-基础表'!B3</f>
        <v>57858.8</v>
      </c>
      <c r="E29" s="1851">
        <f ca="1">ROUND(C29*D29/10000,0)</f>
        <v>23601</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612</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6" t="s">
        <v>2965</v>
      </c>
      <c r="B33" s="1525" t="s">
        <v>1000</v>
      </c>
      <c r="C33" s="1063">
        <f ca="1">ROUND(D5*C19*C20*C24*F33,0)</f>
        <v>0</v>
      </c>
      <c r="D33" s="1538"/>
      <c r="E33" s="1048">
        <f ca="1">ROUND(C33*D33/10000,0)</f>
        <v>0</v>
      </c>
      <c r="F33" s="1048">
        <f>SUMIF(修正!A45:A56,G2,修正!B45:B56)</f>
        <v>0.7</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7"/>
      <c r="B34" s="1446" t="s">
        <v>1001</v>
      </c>
      <c r="C34" s="1063">
        <f ca="1">ROUND(D5*C19*C20*C24*F34,0)</f>
        <v>0</v>
      </c>
      <c r="D34" s="1538"/>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7"/>
      <c r="B35" s="1446" t="s">
        <v>1002</v>
      </c>
      <c r="C35" s="1063">
        <f ca="1">ROUND(D5*C19*C20*C24*F35,0)</f>
        <v>0</v>
      </c>
      <c r="D35" s="1538"/>
      <c r="E35" s="1048">
        <f t="shared" ca="1" si="7"/>
        <v>0</v>
      </c>
      <c r="F35" s="1048">
        <f>SUMIF(修正!A45:A56,G2,修正!D45:D56)</f>
        <v>0.28000000000000003</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8"/>
      <c r="B36" s="1446" t="s">
        <v>1003</v>
      </c>
      <c r="C36" s="1063">
        <f ca="1">ROUND(D5*C19*C20*C24*F36,0)</f>
        <v>0</v>
      </c>
      <c r="D36" s="1538"/>
      <c r="E36" s="1048">
        <f t="shared" ca="1" si="7"/>
        <v>0</v>
      </c>
      <c r="F36" s="1048">
        <f>SUMIF(修正!A45:A56,G2,修正!E45:E56)</f>
        <v>0.25</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849</v>
      </c>
      <c r="D37" s="1538"/>
      <c r="E37" s="1048">
        <f t="shared" ca="1" si="7"/>
        <v>0</v>
      </c>
      <c r="F37" s="1063">
        <f>SUMIF(修正!A45:A56,G2,修正!F45:F56)</f>
        <v>0.25</v>
      </c>
      <c r="G37" s="1048">
        <f ca="1">ROUND(IF(E2="工业",C37*$M$39,C37*$M$38),0)</f>
        <v>127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849</v>
      </c>
      <c r="D38" s="1538"/>
      <c r="E38" s="1048">
        <f t="shared" ca="1" si="7"/>
        <v>0</v>
      </c>
      <c r="F38" s="1063">
        <f>SUMIF(修正!A45:A56,G2,修正!G45:G56)</f>
        <v>0.25</v>
      </c>
      <c r="G38" s="1048">
        <f ca="1">ROUND(IF(E2="工业",C38*$M$39,C38*$M$38),0)</f>
        <v>127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679</v>
      </c>
      <c r="D39" s="1539"/>
      <c r="E39" s="1051">
        <f t="shared" ca="1" si="7"/>
        <v>0</v>
      </c>
      <c r="F39" s="1065">
        <f>SUMIF(修正!A45:A56,G2,修正!H45:H56)</f>
        <v>0.2</v>
      </c>
      <c r="G39" s="1051">
        <f ca="1">ROUND(IF(E2="工业",C39*$M$39,C39*$M$38),0)</f>
        <v>102</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1.0229999999999999</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t="s">
        <v>3046</v>
      </c>
      <c r="D80" s="2419">
        <f t="shared" ref="D80:D87" si="25">SUMIF($J$79:$N$79,C80,J80:N80)</f>
        <v>1.2999999999999999E-2</v>
      </c>
      <c r="E80" s="2438">
        <f>ROUND(SUM(D80:D87),4)</f>
        <v>2.3E-2</v>
      </c>
      <c r="F80" s="2439">
        <f>IF(E2="工业",SUMIF(L1:L12,G2,N1:N12),"——")</f>
        <v>0.1</v>
      </c>
      <c r="G80" s="2417">
        <v>1.2999999999999999E-2</v>
      </c>
      <c r="H80" s="2463">
        <f t="shared" ref="H80:H87" si="26">IFERROR(ROUNDDOWN($F$80*I80/2,4),"——")</f>
        <v>1.2999999999999999E-2</v>
      </c>
      <c r="I80" s="2437">
        <v>0.26</v>
      </c>
      <c r="J80" s="2440">
        <f t="shared" ref="J80:J87" si="27">K80+$G80</f>
        <v>2.5999999999999999E-2</v>
      </c>
      <c r="K80" s="2440">
        <f t="shared" ref="K80:K87" si="28">$L80+$G80</f>
        <v>1.2999999999999999E-2</v>
      </c>
      <c r="L80" s="2440">
        <v>0</v>
      </c>
      <c r="M80" s="2440">
        <f t="shared" ref="M80:N87" si="29">L80-$G80</f>
        <v>-1.2999999999999999E-2</v>
      </c>
      <c r="N80" s="2440">
        <f t="shared" si="29"/>
        <v>-2.5999999999999999E-2</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t="s">
        <v>3046</v>
      </c>
      <c r="D81" s="2419">
        <f t="shared" si="25"/>
        <v>1.6500000000000001E-2</v>
      </c>
      <c r="E81" s="2447"/>
      <c r="F81" s="2448"/>
      <c r="G81" s="2417">
        <v>1.6500000000000001E-2</v>
      </c>
      <c r="H81" s="2463">
        <f t="shared" si="26"/>
        <v>1.6500000000000001E-2</v>
      </c>
      <c r="I81" s="2437">
        <v>0.33</v>
      </c>
      <c r="J81" s="2440">
        <f t="shared" si="27"/>
        <v>3.3000000000000002E-2</v>
      </c>
      <c r="K81" s="2440">
        <f t="shared" si="28"/>
        <v>1.6500000000000001E-2</v>
      </c>
      <c r="L81" s="2440">
        <v>0</v>
      </c>
      <c r="M81" s="2440">
        <f t="shared" si="29"/>
        <v>-1.6500000000000001E-2</v>
      </c>
      <c r="N81" s="2440">
        <f t="shared" si="29"/>
        <v>-3.3000000000000002E-2</v>
      </c>
      <c r="AC81" s="1406"/>
      <c r="AD81" s="1405"/>
      <c r="AJ81" s="1404"/>
      <c r="AN81" s="1405"/>
    </row>
    <row r="82" spans="1:40" ht="24">
      <c r="A82" s="1067" t="s">
        <v>1023</v>
      </c>
      <c r="B82" s="2410">
        <f>估价对象房地状况!G17</f>
        <v>0</v>
      </c>
      <c r="C82" s="1050" t="s">
        <v>3046</v>
      </c>
      <c r="D82" s="2419">
        <f t="shared" si="25"/>
        <v>2.5000000000000001E-3</v>
      </c>
      <c r="E82" s="2447"/>
      <c r="F82" s="2448"/>
      <c r="G82" s="2417">
        <v>2.5000000000000001E-3</v>
      </c>
      <c r="H82" s="2463">
        <f t="shared" si="26"/>
        <v>2.5000000000000001E-3</v>
      </c>
      <c r="I82" s="2437">
        <v>0.05</v>
      </c>
      <c r="J82" s="2440">
        <f t="shared" si="27"/>
        <v>5.0000000000000001E-3</v>
      </c>
      <c r="K82" s="2440">
        <f t="shared" si="28"/>
        <v>2.5000000000000001E-3</v>
      </c>
      <c r="L82" s="2440">
        <v>0</v>
      </c>
      <c r="M82" s="2440">
        <f t="shared" si="29"/>
        <v>-2.5000000000000001E-3</v>
      </c>
      <c r="N82" s="2440">
        <f t="shared" si="29"/>
        <v>-5.0000000000000001E-3</v>
      </c>
      <c r="AC82" s="1406"/>
      <c r="AD82" s="1405"/>
      <c r="AJ82" s="1404"/>
      <c r="AN82" s="1405"/>
    </row>
    <row r="83" spans="1:40" ht="14.25">
      <c r="A83" s="1067" t="s">
        <v>1035</v>
      </c>
      <c r="B83" s="2410">
        <f>估价对象房地状况!G22</f>
        <v>0</v>
      </c>
      <c r="C83" s="1050" t="s">
        <v>3045</v>
      </c>
      <c r="D83" s="2419">
        <f t="shared" si="25"/>
        <v>0</v>
      </c>
      <c r="E83" s="2447"/>
      <c r="F83" s="2448"/>
      <c r="G83" s="2417">
        <v>2E-3</v>
      </c>
      <c r="H83" s="2463">
        <f t="shared" si="26"/>
        <v>2E-3</v>
      </c>
      <c r="I83" s="2437">
        <v>0.04</v>
      </c>
      <c r="J83" s="2440">
        <f t="shared" si="27"/>
        <v>4.0000000000000001E-3</v>
      </c>
      <c r="K83" s="2440">
        <f t="shared" si="28"/>
        <v>2E-3</v>
      </c>
      <c r="L83" s="2440">
        <v>0</v>
      </c>
      <c r="M83" s="2440">
        <f t="shared" si="29"/>
        <v>-2E-3</v>
      </c>
      <c r="N83" s="2440">
        <f t="shared" si="29"/>
        <v>-4.0000000000000001E-3</v>
      </c>
      <c r="AC83" s="1406"/>
      <c r="AD83" s="1405"/>
      <c r="AJ83" s="1404"/>
      <c r="AN83" s="1405"/>
    </row>
    <row r="84" spans="1:40" ht="24">
      <c r="A84" s="1067" t="s">
        <v>1027</v>
      </c>
      <c r="B84" s="2411" t="str">
        <f>估价对象房地状况!G19</f>
        <v>估价对象所在区域公共配套设施齐备情况</v>
      </c>
      <c r="C84" s="1050" t="s">
        <v>3046</v>
      </c>
      <c r="D84" s="2419">
        <f t="shared" si="25"/>
        <v>3.0000000000000001E-3</v>
      </c>
      <c r="E84" s="2447"/>
      <c r="F84" s="2448"/>
      <c r="G84" s="2417">
        <v>3.0000000000000001E-3</v>
      </c>
      <c r="H84" s="2463">
        <f t="shared" si="26"/>
        <v>3.0000000000000001E-3</v>
      </c>
      <c r="I84" s="2437">
        <v>0.06</v>
      </c>
      <c r="J84" s="2440">
        <f t="shared" si="27"/>
        <v>6.0000000000000001E-3</v>
      </c>
      <c r="K84" s="2440">
        <f t="shared" si="28"/>
        <v>3.0000000000000001E-3</v>
      </c>
      <c r="L84" s="2440">
        <v>0</v>
      </c>
      <c r="M84" s="2440">
        <f t="shared" si="29"/>
        <v>-3.0000000000000001E-3</v>
      </c>
      <c r="N84" s="2440">
        <f t="shared" si="29"/>
        <v>-6.0000000000000001E-3</v>
      </c>
      <c r="AC84" s="1406"/>
      <c r="AD84" s="1405"/>
      <c r="AJ84" s="1404"/>
      <c r="AN84" s="1405"/>
    </row>
    <row r="85" spans="1:40" ht="24">
      <c r="A85" s="1067" t="s">
        <v>1028</v>
      </c>
      <c r="B85" s="2411" t="str">
        <f>估价对象房地状况!G20</f>
        <v>估价对象所在区域基础设施水平</v>
      </c>
      <c r="C85" s="1050" t="s">
        <v>3047</v>
      </c>
      <c r="D85" s="2419">
        <f t="shared" si="25"/>
        <v>-1.4999999999999999E-2</v>
      </c>
      <c r="E85" s="2447"/>
      <c r="F85" s="2448"/>
      <c r="G85" s="2417">
        <v>7.4999999999999997E-3</v>
      </c>
      <c r="H85" s="2463">
        <f t="shared" si="26"/>
        <v>7.4999999999999997E-3</v>
      </c>
      <c r="I85" s="2437">
        <v>0.15</v>
      </c>
      <c r="J85" s="2440">
        <f t="shared" si="27"/>
        <v>1.4999999999999999E-2</v>
      </c>
      <c r="K85" s="2440">
        <f t="shared" si="28"/>
        <v>7.4999999999999997E-3</v>
      </c>
      <c r="L85" s="2440">
        <v>0</v>
      </c>
      <c r="M85" s="2440">
        <f t="shared" si="29"/>
        <v>-7.4999999999999997E-3</v>
      </c>
      <c r="N85" s="2440">
        <f t="shared" si="29"/>
        <v>-1.4999999999999999E-2</v>
      </c>
      <c r="AC85" s="1406"/>
      <c r="AD85" s="1405"/>
      <c r="AJ85" s="1404"/>
      <c r="AN85" s="1405"/>
    </row>
    <row r="86" spans="1:40" ht="24">
      <c r="A86" s="1067" t="s">
        <v>1026</v>
      </c>
      <c r="B86" s="3099" t="s">
        <v>2940</v>
      </c>
      <c r="C86" s="1050" t="s">
        <v>3045</v>
      </c>
      <c r="D86" s="2419">
        <f t="shared" si="25"/>
        <v>0</v>
      </c>
      <c r="E86" s="2447"/>
      <c r="F86" s="2448"/>
      <c r="G86" s="2417">
        <v>2.5000000000000001E-3</v>
      </c>
      <c r="H86" s="2463">
        <f t="shared" si="26"/>
        <v>2.5000000000000001E-3</v>
      </c>
      <c r="I86" s="2437">
        <v>0.05</v>
      </c>
      <c r="J86" s="2440">
        <f t="shared" si="27"/>
        <v>5.0000000000000001E-3</v>
      </c>
      <c r="K86" s="2440">
        <f t="shared" si="28"/>
        <v>2.5000000000000001E-3</v>
      </c>
      <c r="L86" s="2440">
        <v>0</v>
      </c>
      <c r="M86" s="2440">
        <f t="shared" si="29"/>
        <v>-2.5000000000000001E-3</v>
      </c>
      <c r="N86" s="2440">
        <f t="shared" si="29"/>
        <v>-5.0000000000000001E-3</v>
      </c>
      <c r="AC86" s="1406"/>
      <c r="AD86" s="1405"/>
      <c r="AJ86" s="1404"/>
      <c r="AN86" s="1405"/>
    </row>
    <row r="87" spans="1:40" ht="36.75" thickBot="1">
      <c r="A87" s="2443" t="s">
        <v>1039</v>
      </c>
      <c r="B87" s="2412" t="str">
        <f>估价对象房地状况!G18</f>
        <v>该园区内是否有污染型企业，绿化情况，卫生条件，整体环境状况判断</v>
      </c>
      <c r="C87" s="1050" t="s">
        <v>3046</v>
      </c>
      <c r="D87" s="2419">
        <f t="shared" si="25"/>
        <v>3.0000000000000001E-3</v>
      </c>
      <c r="E87" s="2449"/>
      <c r="F87" s="2448"/>
      <c r="G87" s="2417">
        <v>3.0000000000000001E-3</v>
      </c>
      <c r="H87" s="2463">
        <f t="shared" si="26"/>
        <v>3.0000000000000001E-3</v>
      </c>
      <c r="I87" s="2444">
        <v>0.06</v>
      </c>
      <c r="J87" s="2440">
        <f t="shared" si="27"/>
        <v>6.0000000000000001E-3</v>
      </c>
      <c r="K87" s="2440">
        <f t="shared" si="28"/>
        <v>3.0000000000000001E-3</v>
      </c>
      <c r="L87" s="2440">
        <v>0</v>
      </c>
      <c r="M87" s="2440">
        <f t="shared" si="29"/>
        <v>-3.0000000000000001E-3</v>
      </c>
      <c r="N87" s="2440">
        <f t="shared" si="29"/>
        <v>-6.0000000000000001E-3</v>
      </c>
      <c r="AC87" s="1406"/>
      <c r="AD87" s="1405"/>
      <c r="AJ87" s="1404"/>
      <c r="AN87" s="1405"/>
    </row>
    <row r="90" spans="1:40">
      <c r="A90" s="3464" t="s">
        <v>1634</v>
      </c>
      <c r="B90" s="3464"/>
      <c r="C90" s="3464"/>
      <c r="D90" s="3464"/>
      <c r="E90" s="3464"/>
      <c r="F90" s="3464"/>
      <c r="G90" s="3464"/>
      <c r="H90" s="3464"/>
      <c r="I90" s="3464"/>
      <c r="J90" s="3464"/>
      <c r="K90" s="2452"/>
      <c r="L90" s="2452"/>
      <c r="M90" s="2452"/>
      <c r="N90" s="2452"/>
    </row>
    <row r="91" spans="1:40">
      <c r="A91" s="3465" t="s">
        <v>1444</v>
      </c>
      <c r="B91" s="3465" t="s">
        <v>1635</v>
      </c>
      <c r="C91" s="1140" t="s">
        <v>1636</v>
      </c>
      <c r="D91" s="1141"/>
      <c r="E91" s="1141"/>
      <c r="F91" s="1141"/>
      <c r="G91" s="1141"/>
      <c r="H91" s="1141"/>
      <c r="I91" s="1141"/>
      <c r="J91" s="1142"/>
      <c r="K91" s="1134"/>
      <c r="L91" s="1134"/>
      <c r="M91" s="1134"/>
      <c r="N91" s="1134"/>
    </row>
    <row r="92" spans="1:40">
      <c r="A92" s="3465"/>
      <c r="B92" s="3465"/>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54"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4"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55"/>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55"/>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55"/>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55"/>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55"/>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55"/>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55"/>
      <c r="B108" s="345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6"/>
      <c r="B109" s="3458"/>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59" t="s">
        <v>1640</v>
      </c>
      <c r="B110" s="3459"/>
      <c r="C110" s="3459"/>
      <c r="D110" s="3459"/>
      <c r="E110" s="3459"/>
      <c r="F110" s="3459"/>
      <c r="G110" s="3459"/>
      <c r="H110" s="3459"/>
      <c r="I110" s="3459"/>
      <c r="J110" s="3459"/>
      <c r="K110" s="2450"/>
      <c r="L110" s="2450"/>
      <c r="M110" s="2450"/>
      <c r="N110" s="2450"/>
    </row>
    <row r="112" spans="1:14" ht="12.75" thickBot="1"/>
    <row r="113" spans="1:13" ht="25.5" thickBot="1">
      <c r="A113" s="1016" t="s">
        <v>896</v>
      </c>
      <c r="B113" s="2453">
        <f>G3</f>
        <v>1</v>
      </c>
      <c r="C113" s="1017" t="s">
        <v>897</v>
      </c>
      <c r="D113" s="1018">
        <f>SUMPRODUCT((A115:A118=F113)*(B114:M114=H113)*B115:M118)</f>
        <v>0.69230000000000003</v>
      </c>
      <c r="E113" s="1019" t="s">
        <v>898</v>
      </c>
      <c r="F113" s="1020" t="str">
        <f>E2</f>
        <v>工业</v>
      </c>
      <c r="G113" s="1019" t="s">
        <v>899</v>
      </c>
      <c r="H113" s="1020" t="str">
        <f>G2</f>
        <v>五级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5" t="s">
        <v>1008</v>
      </c>
      <c r="B18" s="1154" t="s">
        <v>1447</v>
      </c>
      <c r="C18" s="1131" t="s">
        <v>1448</v>
      </c>
      <c r="D18" s="1132"/>
      <c r="E18" s="1154">
        <v>1</v>
      </c>
      <c r="F18" s="1133" t="s">
        <v>1449</v>
      </c>
      <c r="G18" s="1134"/>
      <c r="H18" s="1105"/>
      <c r="I18" s="1105"/>
    </row>
    <row r="19" spans="1:9" s="1600" customFormat="1" ht="19.5" customHeight="1">
      <c r="A19" s="3465"/>
      <c r="B19" s="3465" t="s">
        <v>1450</v>
      </c>
      <c r="C19" s="1131" t="s">
        <v>1451</v>
      </c>
      <c r="D19" s="1132"/>
      <c r="E19" s="1154">
        <v>0.9</v>
      </c>
      <c r="F19" s="1133" t="s">
        <v>1452</v>
      </c>
      <c r="G19" s="1134"/>
      <c r="H19" s="1105"/>
      <c r="I19" s="1105"/>
    </row>
    <row r="20" spans="1:9" s="1600" customFormat="1" ht="19.5" customHeight="1">
      <c r="A20" s="3465"/>
      <c r="B20" s="3465"/>
      <c r="C20" s="1131" t="s">
        <v>1453</v>
      </c>
      <c r="D20" s="1132"/>
      <c r="E20" s="1154">
        <v>1.1000000000000001</v>
      </c>
      <c r="F20" s="1133" t="s">
        <v>1454</v>
      </c>
      <c r="G20" s="1134"/>
      <c r="H20" s="1105"/>
      <c r="I20" s="1105"/>
    </row>
    <row r="21" spans="1:9" s="1600" customFormat="1" ht="19.5" customHeight="1">
      <c r="A21" s="3465"/>
      <c r="B21" s="3465"/>
      <c r="C21" s="1131" t="s">
        <v>1455</v>
      </c>
      <c r="D21" s="1132"/>
      <c r="E21" s="1154">
        <v>0.8</v>
      </c>
      <c r="F21" s="1133" t="s">
        <v>1456</v>
      </c>
      <c r="G21" s="1134"/>
      <c r="H21" s="1105"/>
      <c r="I21" s="1105"/>
    </row>
    <row r="22" spans="1:9" s="1600" customFormat="1" ht="19.5" customHeight="1">
      <c r="A22" s="3465"/>
      <c r="B22" s="3465"/>
      <c r="C22" s="1131" t="s">
        <v>1457</v>
      </c>
      <c r="D22" s="1132"/>
      <c r="E22" s="1154">
        <v>0.5</v>
      </c>
      <c r="F22" s="1133"/>
      <c r="G22" s="1134"/>
      <c r="H22" s="1105"/>
      <c r="I22" s="1105"/>
    </row>
    <row r="23" spans="1:9" s="1600" customFormat="1" ht="19.5" customHeight="1">
      <c r="A23" s="3465" t="s">
        <v>1030</v>
      </c>
      <c r="B23" s="1154" t="s">
        <v>1447</v>
      </c>
      <c r="C23" s="1131" t="s">
        <v>1458</v>
      </c>
      <c r="D23" s="1132"/>
      <c r="E23" s="1154">
        <v>1</v>
      </c>
      <c r="F23" s="1133" t="s">
        <v>1459</v>
      </c>
      <c r="G23" s="1134"/>
      <c r="H23" s="1105"/>
      <c r="I23" s="1105"/>
    </row>
    <row r="24" spans="1:9" s="1600" customFormat="1" ht="19.5" customHeight="1">
      <c r="A24" s="3465"/>
      <c r="B24" s="3465" t="s">
        <v>1450</v>
      </c>
      <c r="C24" s="1131" t="s">
        <v>1460</v>
      </c>
      <c r="D24" s="1132"/>
      <c r="E24" s="1154">
        <v>0.5</v>
      </c>
      <c r="F24" s="1133"/>
      <c r="G24" s="1134"/>
      <c r="H24" s="1105"/>
      <c r="I24" s="1105"/>
    </row>
    <row r="25" spans="1:9" s="1600" customFormat="1" ht="19.5" customHeight="1">
      <c r="A25" s="3465"/>
      <c r="B25" s="3465"/>
      <c r="C25" s="1131" t="s">
        <v>1461</v>
      </c>
      <c r="D25" s="1132"/>
      <c r="E25" s="1154">
        <v>1.1000000000000001</v>
      </c>
      <c r="F25" s="1133"/>
      <c r="G25" s="1134"/>
      <c r="H25" s="1105"/>
      <c r="I25" s="1105"/>
    </row>
    <row r="26" spans="1:9" s="1600" customFormat="1" ht="19.5" customHeight="1">
      <c r="A26" s="3465"/>
      <c r="B26" s="3465"/>
      <c r="C26" s="1131" t="s">
        <v>1462</v>
      </c>
      <c r="D26" s="1132"/>
      <c r="E26" s="1154">
        <v>1.1000000000000001</v>
      </c>
      <c r="F26" s="1133"/>
      <c r="G26" s="1134"/>
      <c r="H26" s="1105"/>
      <c r="I26" s="1105"/>
    </row>
    <row r="27" spans="1:9" s="1600" customFormat="1" ht="19.5" customHeight="1">
      <c r="A27" s="3465"/>
      <c r="B27" s="3465"/>
      <c r="C27" s="1131" t="s">
        <v>1463</v>
      </c>
      <c r="D27" s="1132"/>
      <c r="E27" s="1154">
        <v>0.9</v>
      </c>
      <c r="F27" s="1133" t="s">
        <v>1464</v>
      </c>
      <c r="G27" s="1134"/>
      <c r="H27" s="1105"/>
      <c r="I27" s="1105"/>
    </row>
    <row r="28" spans="1:9" s="1600" customFormat="1" ht="19.5" customHeight="1">
      <c r="A28" s="3465"/>
      <c r="B28" s="3465"/>
      <c r="C28" s="1131" t="s">
        <v>1465</v>
      </c>
      <c r="D28" s="1132"/>
      <c r="E28" s="1154">
        <v>0.9</v>
      </c>
      <c r="F28" s="1133" t="s">
        <v>1466</v>
      </c>
      <c r="G28" s="1134"/>
      <c r="H28" s="1105"/>
      <c r="I28" s="1105"/>
    </row>
    <row r="29" spans="1:9" s="1600" customFormat="1" ht="19.5" customHeight="1">
      <c r="A29" s="3465"/>
      <c r="B29" s="3465"/>
      <c r="C29" s="1131" t="s">
        <v>1467</v>
      </c>
      <c r="D29" s="1132"/>
      <c r="E29" s="1154">
        <v>0.9</v>
      </c>
      <c r="F29" s="1133" t="s">
        <v>1468</v>
      </c>
      <c r="G29" s="1134"/>
      <c r="H29" s="1105"/>
      <c r="I29" s="1105"/>
    </row>
    <row r="30" spans="1:9" s="1600" customFormat="1" ht="19.5" customHeight="1">
      <c r="A30" s="3465"/>
      <c r="B30" s="3465"/>
      <c r="C30" s="1131" t="s">
        <v>1469</v>
      </c>
      <c r="D30" s="1132"/>
      <c r="E30" s="1154">
        <v>0.9</v>
      </c>
      <c r="F30" s="1133" t="s">
        <v>1470</v>
      </c>
      <c r="G30" s="1134"/>
      <c r="H30" s="1105"/>
      <c r="I30" s="1105"/>
    </row>
    <row r="31" spans="1:9" s="1600" customFormat="1" ht="19.5" customHeight="1">
      <c r="A31" s="3465"/>
      <c r="B31" s="3465"/>
      <c r="C31" s="1131" t="s">
        <v>1471</v>
      </c>
      <c r="D31" s="1132"/>
      <c r="E31" s="1154">
        <v>0.8</v>
      </c>
      <c r="F31" s="1133" t="s">
        <v>1472</v>
      </c>
      <c r="G31" s="1134"/>
      <c r="H31" s="1105"/>
      <c r="I31" s="1105"/>
    </row>
    <row r="32" spans="1:9" s="1600" customFormat="1" ht="19.5" customHeight="1">
      <c r="A32" s="3465"/>
      <c r="B32" s="3465"/>
      <c r="C32" s="1131" t="s">
        <v>1473</v>
      </c>
      <c r="D32" s="1132"/>
      <c r="E32" s="1154">
        <v>0.8</v>
      </c>
      <c r="F32" s="1133" t="s">
        <v>1474</v>
      </c>
      <c r="G32" s="1134"/>
      <c r="H32" s="1105"/>
      <c r="I32" s="1105"/>
    </row>
    <row r="33" spans="1:9" s="1600" customFormat="1" ht="19.5" customHeight="1">
      <c r="A33" s="3465" t="s">
        <v>1475</v>
      </c>
      <c r="B33" s="1154" t="s">
        <v>1447</v>
      </c>
      <c r="C33" s="1131" t="s">
        <v>1476</v>
      </c>
      <c r="D33" s="1132"/>
      <c r="E33" s="1154">
        <v>1</v>
      </c>
      <c r="F33" s="1133" t="s">
        <v>1477</v>
      </c>
      <c r="G33" s="1134"/>
      <c r="H33" s="1105"/>
      <c r="I33" s="1105"/>
    </row>
    <row r="34" spans="1:9" s="1600" customFormat="1" ht="19.5" customHeight="1">
      <c r="A34" s="3465"/>
      <c r="B34" s="1154" t="s">
        <v>1450</v>
      </c>
      <c r="C34" s="1131" t="s">
        <v>1478</v>
      </c>
      <c r="D34" s="1132"/>
      <c r="E34" s="1154">
        <v>1.5</v>
      </c>
      <c r="F34" s="1133" t="s">
        <v>1479</v>
      </c>
      <c r="G34" s="1134"/>
      <c r="H34" s="1105"/>
      <c r="I34" s="1105"/>
    </row>
    <row r="35" spans="1:9" s="1600" customFormat="1" ht="19.5" customHeight="1">
      <c r="A35" s="3465" t="s">
        <v>1433</v>
      </c>
      <c r="B35" s="1154" t="s">
        <v>1447</v>
      </c>
      <c r="C35" s="1131" t="s">
        <v>1480</v>
      </c>
      <c r="D35" s="1132"/>
      <c r="E35" s="1154">
        <v>1</v>
      </c>
      <c r="F35" s="1133" t="s">
        <v>1481</v>
      </c>
      <c r="G35" s="1134"/>
      <c r="H35" s="1105"/>
      <c r="I35" s="1105"/>
    </row>
    <row r="36" spans="1:9" s="1600" customFormat="1" ht="19.5" customHeight="1">
      <c r="A36" s="3465"/>
      <c r="B36" s="3465" t="s">
        <v>1450</v>
      </c>
      <c r="C36" s="1131" t="s">
        <v>1482</v>
      </c>
      <c r="D36" s="1132"/>
      <c r="E36" s="1154">
        <v>1</v>
      </c>
      <c r="F36" s="1133" t="s">
        <v>1483</v>
      </c>
      <c r="G36" s="1134"/>
      <c r="H36" s="1105"/>
      <c r="I36" s="1105"/>
    </row>
    <row r="37" spans="1:9" s="1600" customFormat="1" ht="19.5" customHeight="1">
      <c r="A37" s="3465"/>
      <c r="B37" s="3465"/>
      <c r="C37" s="1131" t="s">
        <v>1484</v>
      </c>
      <c r="D37" s="1132"/>
      <c r="E37" s="1154">
        <v>1.5</v>
      </c>
      <c r="F37" s="1133" t="s">
        <v>1485</v>
      </c>
      <c r="G37" s="1134"/>
      <c r="H37" s="1105"/>
      <c r="I37" s="1105"/>
    </row>
    <row r="38" spans="1:9" s="1600" customFormat="1" ht="19.5" customHeight="1">
      <c r="A38" s="3465"/>
      <c r="B38" s="3465"/>
      <c r="C38" s="1131" t="s">
        <v>1486</v>
      </c>
      <c r="D38" s="1132"/>
      <c r="E38" s="1154">
        <v>1</v>
      </c>
      <c r="F38" s="1133" t="s">
        <v>1487</v>
      </c>
      <c r="G38" s="1134"/>
      <c r="H38" s="1105"/>
      <c r="I38" s="1105"/>
    </row>
    <row r="39" spans="1:9" s="1600" customFormat="1" ht="19.5" customHeight="1">
      <c r="A39" s="3465"/>
      <c r="B39" s="346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5" t="s">
        <v>1502</v>
      </c>
      <c r="C61" s="1068" t="s">
        <v>1503</v>
      </c>
      <c r="D61" s="1068" t="s">
        <v>1504</v>
      </c>
      <c r="E61" s="1139">
        <v>0.5</v>
      </c>
      <c r="F61" s="1154">
        <v>80</v>
      </c>
      <c r="H61" s="1105">
        <f>SUMIF(C59:C119,基准地价!C8,E59:E119)</f>
        <v>0</v>
      </c>
    </row>
    <row r="62" spans="1:8" s="1105" customFormat="1" ht="24">
      <c r="A62" s="1154">
        <v>2</v>
      </c>
      <c r="B62" s="3465"/>
      <c r="C62" s="1068" t="s">
        <v>1505</v>
      </c>
      <c r="D62" s="1068" t="s">
        <v>1506</v>
      </c>
      <c r="E62" s="1139">
        <v>0.5</v>
      </c>
      <c r="F62" s="1154">
        <v>80</v>
      </c>
    </row>
    <row r="63" spans="1:8" s="1105" customFormat="1" ht="36">
      <c r="A63" s="1154">
        <v>3</v>
      </c>
      <c r="B63" s="3465"/>
      <c r="C63" s="1068" t="s">
        <v>1507</v>
      </c>
      <c r="D63" s="1068" t="s">
        <v>1508</v>
      </c>
      <c r="E63" s="1139">
        <v>0.5</v>
      </c>
      <c r="F63" s="1154">
        <v>80</v>
      </c>
    </row>
    <row r="64" spans="1:8" s="1105" customFormat="1" ht="36">
      <c r="A64" s="1154">
        <v>4</v>
      </c>
      <c r="B64" s="3465"/>
      <c r="C64" s="1068" t="s">
        <v>1509</v>
      </c>
      <c r="D64" s="1068" t="s">
        <v>1510</v>
      </c>
      <c r="E64" s="1139">
        <v>0.4</v>
      </c>
      <c r="F64" s="1154">
        <v>60</v>
      </c>
    </row>
    <row r="65" spans="1:6" s="1105" customFormat="1" ht="36">
      <c r="A65" s="1154">
        <v>5</v>
      </c>
      <c r="B65" s="3465"/>
      <c r="C65" s="1068" t="s">
        <v>1511</v>
      </c>
      <c r="D65" s="1068" t="s">
        <v>1512</v>
      </c>
      <c r="E65" s="1139">
        <v>0.2</v>
      </c>
      <c r="F65" s="1154">
        <v>30</v>
      </c>
    </row>
    <row r="66" spans="1:6" s="1105" customFormat="1" ht="36">
      <c r="A66" s="1154">
        <v>6</v>
      </c>
      <c r="B66" s="3465"/>
      <c r="C66" s="1068" t="s">
        <v>1513</v>
      </c>
      <c r="D66" s="1068" t="s">
        <v>1514</v>
      </c>
      <c r="E66" s="1139">
        <v>0.3</v>
      </c>
      <c r="F66" s="1154">
        <v>50</v>
      </c>
    </row>
    <row r="67" spans="1:6" s="1105" customFormat="1" ht="36">
      <c r="A67" s="1154">
        <v>7</v>
      </c>
      <c r="B67" s="3465"/>
      <c r="C67" s="1068" t="s">
        <v>1515</v>
      </c>
      <c r="D67" s="1068" t="s">
        <v>1516</v>
      </c>
      <c r="E67" s="1139">
        <v>0.2</v>
      </c>
      <c r="F67" s="1154">
        <v>30</v>
      </c>
    </row>
    <row r="68" spans="1:6" s="1105" customFormat="1" ht="36">
      <c r="A68" s="1154">
        <v>8</v>
      </c>
      <c r="B68" s="3465"/>
      <c r="C68" s="1068" t="s">
        <v>1517</v>
      </c>
      <c r="D68" s="1068" t="s">
        <v>1518</v>
      </c>
      <c r="E68" s="1139">
        <v>0.2</v>
      </c>
      <c r="F68" s="1154">
        <v>30</v>
      </c>
    </row>
    <row r="69" spans="1:6" s="1105" customFormat="1" ht="36">
      <c r="A69" s="1154">
        <v>9</v>
      </c>
      <c r="B69" s="3465"/>
      <c r="C69" s="1068" t="s">
        <v>1519</v>
      </c>
      <c r="D69" s="1068" t="s">
        <v>1520</v>
      </c>
      <c r="E69" s="1139">
        <v>0.2</v>
      </c>
      <c r="F69" s="1154">
        <v>30</v>
      </c>
    </row>
    <row r="70" spans="1:6" s="1105" customFormat="1" ht="48">
      <c r="A70" s="1154">
        <v>10</v>
      </c>
      <c r="B70" s="3465"/>
      <c r="C70" s="1068" t="s">
        <v>1521</v>
      </c>
      <c r="D70" s="1068" t="s">
        <v>1522</v>
      </c>
      <c r="E70" s="1139">
        <v>0.2</v>
      </c>
      <c r="F70" s="1154">
        <v>30</v>
      </c>
    </row>
    <row r="71" spans="1:6" s="1105" customFormat="1" ht="48">
      <c r="A71" s="1154">
        <v>11</v>
      </c>
      <c r="B71" s="3465"/>
      <c r="C71" s="1068" t="s">
        <v>1523</v>
      </c>
      <c r="D71" s="1068" t="s">
        <v>1524</v>
      </c>
      <c r="E71" s="1139">
        <v>0.2</v>
      </c>
      <c r="F71" s="1154">
        <v>30</v>
      </c>
    </row>
    <row r="72" spans="1:6" s="1105" customFormat="1" ht="36">
      <c r="A72" s="1154">
        <v>12</v>
      </c>
      <c r="B72" s="3465"/>
      <c r="C72" s="1068" t="s">
        <v>1525</v>
      </c>
      <c r="D72" s="1068" t="s">
        <v>1526</v>
      </c>
      <c r="E72" s="1139">
        <v>0.5</v>
      </c>
      <c r="F72" s="1154">
        <v>80</v>
      </c>
    </row>
    <row r="73" spans="1:6" s="1105" customFormat="1" ht="24">
      <c r="A73" s="1154">
        <v>13</v>
      </c>
      <c r="B73" s="3465"/>
      <c r="C73" s="1068" t="s">
        <v>1527</v>
      </c>
      <c r="D73" s="1068" t="s">
        <v>1528</v>
      </c>
      <c r="E73" s="1139">
        <v>0.4</v>
      </c>
      <c r="F73" s="1154">
        <v>60</v>
      </c>
    </row>
    <row r="74" spans="1:6" s="1105" customFormat="1" ht="24">
      <c r="A74" s="1154">
        <v>14</v>
      </c>
      <c r="B74" s="3465"/>
      <c r="C74" s="1068" t="s">
        <v>1529</v>
      </c>
      <c r="D74" s="1068" t="s">
        <v>1530</v>
      </c>
      <c r="E74" s="1139">
        <v>0.2</v>
      </c>
      <c r="F74" s="1154">
        <v>30</v>
      </c>
    </row>
    <row r="75" spans="1:6" s="1105" customFormat="1" ht="24">
      <c r="A75" s="1154">
        <v>15</v>
      </c>
      <c r="B75" s="3465"/>
      <c r="C75" s="1068" t="s">
        <v>1531</v>
      </c>
      <c r="D75" s="1068" t="s">
        <v>1532</v>
      </c>
      <c r="E75" s="1139">
        <v>0.2</v>
      </c>
      <c r="F75" s="1154">
        <v>30</v>
      </c>
    </row>
    <row r="76" spans="1:6" s="1105" customFormat="1" ht="24">
      <c r="A76" s="1154">
        <v>16</v>
      </c>
      <c r="B76" s="3465" t="s">
        <v>1533</v>
      </c>
      <c r="C76" s="1068" t="s">
        <v>1534</v>
      </c>
      <c r="D76" s="1068" t="s">
        <v>1535</v>
      </c>
      <c r="E76" s="1139">
        <v>0.5</v>
      </c>
      <c r="F76" s="1154">
        <v>80</v>
      </c>
    </row>
    <row r="77" spans="1:6" s="1105" customFormat="1" ht="24">
      <c r="A77" s="1154">
        <v>17</v>
      </c>
      <c r="B77" s="3465"/>
      <c r="C77" s="1068" t="s">
        <v>1536</v>
      </c>
      <c r="D77" s="1068" t="s">
        <v>1537</v>
      </c>
      <c r="E77" s="1139">
        <v>0.5</v>
      </c>
      <c r="F77" s="1154">
        <v>80</v>
      </c>
    </row>
    <row r="78" spans="1:6" s="1105" customFormat="1" ht="24">
      <c r="A78" s="1154">
        <v>18</v>
      </c>
      <c r="B78" s="3465"/>
      <c r="C78" s="1068" t="s">
        <v>1538</v>
      </c>
      <c r="D78" s="1068" t="s">
        <v>1539</v>
      </c>
      <c r="E78" s="1139">
        <v>0.2</v>
      </c>
      <c r="F78" s="1154">
        <v>30</v>
      </c>
    </row>
    <row r="79" spans="1:6" s="1105" customFormat="1" ht="24">
      <c r="A79" s="1154">
        <v>19</v>
      </c>
      <c r="B79" s="3465"/>
      <c r="C79" s="1068" t="s">
        <v>1540</v>
      </c>
      <c r="D79" s="1068" t="s">
        <v>1541</v>
      </c>
      <c r="E79" s="1139">
        <v>0.5</v>
      </c>
      <c r="F79" s="1154">
        <v>80</v>
      </c>
    </row>
    <row r="80" spans="1:6" s="1105" customFormat="1" ht="36">
      <c r="A80" s="1154">
        <v>20</v>
      </c>
      <c r="B80" s="3465"/>
      <c r="C80" s="1068" t="s">
        <v>1542</v>
      </c>
      <c r="D80" s="1068" t="s">
        <v>1543</v>
      </c>
      <c r="E80" s="1139">
        <v>0.2</v>
      </c>
      <c r="F80" s="1154">
        <v>30</v>
      </c>
    </row>
    <row r="81" spans="1:6" s="1105" customFormat="1" ht="36">
      <c r="A81" s="1154">
        <v>21</v>
      </c>
      <c r="B81" s="3465"/>
      <c r="C81" s="1068" t="s">
        <v>1544</v>
      </c>
      <c r="D81" s="1068" t="s">
        <v>1545</v>
      </c>
      <c r="E81" s="1139">
        <v>0.2</v>
      </c>
      <c r="F81" s="1154">
        <v>30</v>
      </c>
    </row>
    <row r="82" spans="1:6" s="1105" customFormat="1" ht="48">
      <c r="A82" s="1154">
        <v>22</v>
      </c>
      <c r="B82" s="3465"/>
      <c r="C82" s="1068" t="s">
        <v>1546</v>
      </c>
      <c r="D82" s="1068" t="s">
        <v>1547</v>
      </c>
      <c r="E82" s="1139">
        <v>0.2</v>
      </c>
      <c r="F82" s="1154">
        <v>30</v>
      </c>
    </row>
    <row r="83" spans="1:6" s="1105" customFormat="1" ht="48">
      <c r="A83" s="1154">
        <v>23</v>
      </c>
      <c r="B83" s="3465"/>
      <c r="C83" s="1068" t="s">
        <v>1548</v>
      </c>
      <c r="D83" s="1068" t="s">
        <v>1549</v>
      </c>
      <c r="E83" s="1139">
        <v>0.2</v>
      </c>
      <c r="F83" s="1154">
        <v>30</v>
      </c>
    </row>
    <row r="84" spans="1:6" s="1105" customFormat="1" ht="36">
      <c r="A84" s="1154">
        <v>24</v>
      </c>
      <c r="B84" s="3465"/>
      <c r="C84" s="1068" t="s">
        <v>1550</v>
      </c>
      <c r="D84" s="1068" t="s">
        <v>1551</v>
      </c>
      <c r="E84" s="1139">
        <v>0.2</v>
      </c>
      <c r="F84" s="1154">
        <v>30</v>
      </c>
    </row>
    <row r="85" spans="1:6" s="1105" customFormat="1" ht="36">
      <c r="A85" s="1154">
        <v>25</v>
      </c>
      <c r="B85" s="3465"/>
      <c r="C85" s="1068" t="s">
        <v>1552</v>
      </c>
      <c r="D85" s="1068" t="s">
        <v>1553</v>
      </c>
      <c r="E85" s="1139">
        <v>0.5</v>
      </c>
      <c r="F85" s="1154">
        <v>80</v>
      </c>
    </row>
    <row r="86" spans="1:6" s="1105" customFormat="1" ht="36">
      <c r="A86" s="1154">
        <v>26</v>
      </c>
      <c r="B86" s="3465"/>
      <c r="C86" s="1068" t="s">
        <v>1554</v>
      </c>
      <c r="D86" s="1068" t="s">
        <v>1555</v>
      </c>
      <c r="E86" s="1139">
        <v>0.2</v>
      </c>
      <c r="F86" s="1154">
        <v>30</v>
      </c>
    </row>
    <row r="87" spans="1:6" s="1105" customFormat="1" ht="36">
      <c r="A87" s="1154">
        <v>27</v>
      </c>
      <c r="B87" s="3465"/>
      <c r="C87" s="1068" t="s">
        <v>1556</v>
      </c>
      <c r="D87" s="1068" t="s">
        <v>1557</v>
      </c>
      <c r="E87" s="1139">
        <v>0.2</v>
      </c>
      <c r="F87" s="1154">
        <v>30</v>
      </c>
    </row>
    <row r="88" spans="1:6" s="1105" customFormat="1" ht="36">
      <c r="A88" s="1154">
        <v>28</v>
      </c>
      <c r="B88" s="3465"/>
      <c r="C88" s="1068" t="s">
        <v>1558</v>
      </c>
      <c r="D88" s="1068" t="s">
        <v>1559</v>
      </c>
      <c r="E88" s="1139">
        <v>0.2</v>
      </c>
      <c r="F88" s="1154">
        <v>30</v>
      </c>
    </row>
    <row r="89" spans="1:6" s="1105" customFormat="1" ht="24">
      <c r="A89" s="1154">
        <v>29</v>
      </c>
      <c r="B89" s="3465"/>
      <c r="C89" s="1068" t="s">
        <v>1560</v>
      </c>
      <c r="D89" s="1068" t="s">
        <v>1561</v>
      </c>
      <c r="E89" s="1139">
        <v>0.2</v>
      </c>
      <c r="F89" s="1154">
        <v>30</v>
      </c>
    </row>
    <row r="90" spans="1:6" s="1105" customFormat="1" ht="24">
      <c r="A90" s="1154">
        <v>30</v>
      </c>
      <c r="B90" s="3465"/>
      <c r="C90" s="1068" t="s">
        <v>1562</v>
      </c>
      <c r="D90" s="1068" t="s">
        <v>1563</v>
      </c>
      <c r="E90" s="1139">
        <v>0.2</v>
      </c>
      <c r="F90" s="1154">
        <v>30</v>
      </c>
    </row>
    <row r="91" spans="1:6" s="1105" customFormat="1" ht="36">
      <c r="A91" s="1154">
        <v>31</v>
      </c>
      <c r="B91" s="3465"/>
      <c r="C91" s="1068" t="s">
        <v>1564</v>
      </c>
      <c r="D91" s="1068" t="s">
        <v>1565</v>
      </c>
      <c r="E91" s="1139">
        <v>0.2</v>
      </c>
      <c r="F91" s="1154">
        <v>30</v>
      </c>
    </row>
    <row r="92" spans="1:6" s="1105" customFormat="1" ht="24">
      <c r="A92" s="1154">
        <v>32</v>
      </c>
      <c r="B92" s="3465" t="s">
        <v>1566</v>
      </c>
      <c r="C92" s="1154" t="s">
        <v>1567</v>
      </c>
      <c r="D92" s="1068" t="s">
        <v>1568</v>
      </c>
      <c r="E92" s="1139">
        <v>0.2</v>
      </c>
      <c r="F92" s="1154">
        <v>30</v>
      </c>
    </row>
    <row r="93" spans="1:6" s="1105" customFormat="1" ht="36">
      <c r="A93" s="1154">
        <v>33</v>
      </c>
      <c r="B93" s="3465"/>
      <c r="C93" s="1154" t="s">
        <v>1569</v>
      </c>
      <c r="D93" s="1068" t="s">
        <v>1570</v>
      </c>
      <c r="E93" s="1139">
        <v>0.2</v>
      </c>
      <c r="F93" s="1154">
        <v>30</v>
      </c>
    </row>
    <row r="94" spans="1:6" s="1105" customFormat="1" ht="48">
      <c r="A94" s="1154">
        <v>34</v>
      </c>
      <c r="B94" s="3465"/>
      <c r="C94" s="1154" t="s">
        <v>1571</v>
      </c>
      <c r="D94" s="1068" t="s">
        <v>1572</v>
      </c>
      <c r="E94" s="1139">
        <v>0.2</v>
      </c>
      <c r="F94" s="1154">
        <v>30</v>
      </c>
    </row>
    <row r="95" spans="1:6" s="1105" customFormat="1" ht="36">
      <c r="A95" s="1154">
        <v>35</v>
      </c>
      <c r="B95" s="3465"/>
      <c r="C95" s="1154" t="s">
        <v>1573</v>
      </c>
      <c r="D95" s="1068" t="s">
        <v>1574</v>
      </c>
      <c r="E95" s="1139">
        <v>0.2</v>
      </c>
      <c r="F95" s="1154">
        <v>30</v>
      </c>
    </row>
    <row r="96" spans="1:6" s="1105" customFormat="1" ht="48">
      <c r="A96" s="1154">
        <v>36</v>
      </c>
      <c r="B96" s="3465"/>
      <c r="C96" s="1068" t="s">
        <v>1575</v>
      </c>
      <c r="D96" s="1068" t="s">
        <v>1576</v>
      </c>
      <c r="E96" s="1139">
        <v>0.2</v>
      </c>
      <c r="F96" s="1154">
        <v>30</v>
      </c>
    </row>
    <row r="97" spans="1:6" s="1105" customFormat="1" ht="36">
      <c r="A97" s="1154">
        <v>37</v>
      </c>
      <c r="B97" s="3465"/>
      <c r="C97" s="1154" t="s">
        <v>1577</v>
      </c>
      <c r="D97" s="1068" t="s">
        <v>1578</v>
      </c>
      <c r="E97" s="1139">
        <v>0.2</v>
      </c>
      <c r="F97" s="1154">
        <v>30</v>
      </c>
    </row>
    <row r="98" spans="1:6" s="1105" customFormat="1" ht="36">
      <c r="A98" s="1154">
        <v>38</v>
      </c>
      <c r="B98" s="3465"/>
      <c r="C98" s="1154" t="s">
        <v>1579</v>
      </c>
      <c r="D98" s="1068" t="s">
        <v>1580</v>
      </c>
      <c r="E98" s="1139">
        <v>0.2</v>
      </c>
      <c r="F98" s="1154">
        <v>30</v>
      </c>
    </row>
    <row r="99" spans="1:6" s="1105" customFormat="1" ht="36">
      <c r="A99" s="1154">
        <v>39</v>
      </c>
      <c r="B99" s="3465" t="s">
        <v>1581</v>
      </c>
      <c r="C99" s="1154" t="s">
        <v>1582</v>
      </c>
      <c r="D99" s="1068" t="s">
        <v>1583</v>
      </c>
      <c r="E99" s="1139">
        <v>0.3</v>
      </c>
      <c r="F99" s="1154">
        <v>50</v>
      </c>
    </row>
    <row r="100" spans="1:6" s="1105" customFormat="1" ht="24">
      <c r="A100" s="1154">
        <v>40</v>
      </c>
      <c r="B100" s="3465"/>
      <c r="C100" s="1154" t="s">
        <v>1584</v>
      </c>
      <c r="D100" s="1068" t="s">
        <v>1585</v>
      </c>
      <c r="E100" s="1139">
        <v>0.2</v>
      </c>
      <c r="F100" s="1154">
        <v>30</v>
      </c>
    </row>
    <row r="101" spans="1:6" s="1105" customFormat="1" ht="36">
      <c r="A101" s="1154">
        <v>41</v>
      </c>
      <c r="B101" s="346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5" t="s">
        <v>1596</v>
      </c>
      <c r="C105" s="1154" t="s">
        <v>1597</v>
      </c>
      <c r="D105" s="1068" t="s">
        <v>1598</v>
      </c>
      <c r="E105" s="1139">
        <v>0.2</v>
      </c>
      <c r="F105" s="1154">
        <v>30</v>
      </c>
    </row>
    <row r="106" spans="1:6" s="1105" customFormat="1" ht="36">
      <c r="A106" s="1154">
        <v>46</v>
      </c>
      <c r="B106" s="3465"/>
      <c r="C106" s="1154" t="s">
        <v>1599</v>
      </c>
      <c r="D106" s="1068" t="s">
        <v>1600</v>
      </c>
      <c r="E106" s="1139">
        <v>0.2</v>
      </c>
      <c r="F106" s="1154">
        <v>30</v>
      </c>
    </row>
    <row r="107" spans="1:6" s="1105" customFormat="1" ht="36">
      <c r="A107" s="1154">
        <v>47</v>
      </c>
      <c r="B107" s="3465" t="s">
        <v>1601</v>
      </c>
      <c r="C107" s="1154" t="s">
        <v>1602</v>
      </c>
      <c r="D107" s="1068" t="s">
        <v>1603</v>
      </c>
      <c r="E107" s="1139">
        <v>0.3</v>
      </c>
      <c r="F107" s="1154">
        <v>50</v>
      </c>
    </row>
    <row r="108" spans="1:6" s="1105" customFormat="1" ht="36">
      <c r="A108" s="1154">
        <v>48</v>
      </c>
      <c r="B108" s="346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5" t="s">
        <v>1612</v>
      </c>
      <c r="C111" s="1154" t="s">
        <v>1613</v>
      </c>
      <c r="D111" s="1068" t="s">
        <v>1614</v>
      </c>
      <c r="E111" s="1139">
        <v>0.2</v>
      </c>
      <c r="F111" s="1154">
        <v>30</v>
      </c>
    </row>
    <row r="112" spans="1:6" s="1105" customFormat="1" ht="24">
      <c r="A112" s="1154">
        <v>52</v>
      </c>
      <c r="B112" s="3465"/>
      <c r="C112" s="1154" t="s">
        <v>1615</v>
      </c>
      <c r="D112" s="1068" t="s">
        <v>1616</v>
      </c>
      <c r="E112" s="1139">
        <v>0.2</v>
      </c>
      <c r="F112" s="1154">
        <v>30</v>
      </c>
    </row>
    <row r="113" spans="1:14" s="1105" customFormat="1" ht="24">
      <c r="A113" s="1154">
        <v>53</v>
      </c>
      <c r="B113" s="346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5" t="s">
        <v>1625</v>
      </c>
      <c r="C116" s="1154" t="s">
        <v>1626</v>
      </c>
      <c r="D116" s="1068" t="s">
        <v>1627</v>
      </c>
      <c r="E116" s="1139">
        <v>0.2</v>
      </c>
      <c r="F116" s="1154">
        <v>30</v>
      </c>
    </row>
    <row r="117" spans="1:14" ht="36">
      <c r="A117" s="1154">
        <v>57</v>
      </c>
      <c r="B117" s="346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4" t="s">
        <v>1634</v>
      </c>
      <c r="B121" s="3464"/>
      <c r="C121" s="3464"/>
      <c r="D121" s="3464"/>
      <c r="E121" s="3464"/>
      <c r="F121" s="3464"/>
      <c r="G121" s="3464"/>
      <c r="H121" s="3464"/>
      <c r="I121" s="3464"/>
      <c r="J121" s="346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9" t="s">
        <v>1040</v>
      </c>
      <c r="B1" s="3469"/>
      <c r="C1" s="3469"/>
      <c r="D1" s="3469"/>
      <c r="E1" s="3469"/>
      <c r="F1" s="346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0" t="s">
        <v>1053</v>
      </c>
      <c r="B2" s="3470"/>
      <c r="C2" s="3470"/>
      <c r="D2" s="3470"/>
      <c r="E2" s="3470"/>
      <c r="F2" s="347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3060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3" t="s">
        <v>2082</v>
      </c>
      <c r="B1" s="3473"/>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2953</v>
      </c>
      <c r="B1" s="3108"/>
      <c r="C1" s="3108"/>
      <c r="D1" s="3108"/>
      <c r="E1" s="3108"/>
      <c r="F1" s="3108"/>
    </row>
    <row r="2" spans="1:6" ht="14.25">
      <c r="A2" s="3109" t="s">
        <v>2948</v>
      </c>
      <c r="B2" s="3110">
        <f ca="1">SUMIF(B7:B14,"&lt;&gt;#ref!",B7:B14)</f>
        <v>23601</v>
      </c>
      <c r="C2" s="3109" t="s">
        <v>2949</v>
      </c>
      <c r="D2" s="3108"/>
      <c r="E2" s="3108"/>
      <c r="F2" s="3108"/>
    </row>
    <row r="3" spans="1:6" ht="14.25">
      <c r="A3" s="3109" t="s">
        <v>2982</v>
      </c>
      <c r="B3" s="3110">
        <f ca="1">ROUND(B2*10000/E3,0)</f>
        <v>4079</v>
      </c>
      <c r="C3" s="3109" t="s">
        <v>2081</v>
      </c>
      <c r="D3" s="3109" t="s">
        <v>2950</v>
      </c>
      <c r="E3" s="3110">
        <f ca="1">SUMIF(E7:E14,"&lt;&gt;#ref!",E7:E14)</f>
        <v>57858.8</v>
      </c>
      <c r="F3" s="3108"/>
    </row>
    <row r="4" spans="1:6" ht="14.25">
      <c r="A4" s="3109" t="s">
        <v>2957</v>
      </c>
      <c r="B4" s="3110">
        <f ca="1">ROUND(B2*10000/E4,0)</f>
        <v>1810</v>
      </c>
      <c r="C4" s="3109" t="s">
        <v>2081</v>
      </c>
      <c r="D4" s="3109" t="s">
        <v>2958</v>
      </c>
      <c r="E4" s="3110">
        <f ca="1">SUMIF(F7:F14,"&lt;&gt;#ref!",F7:F14)</f>
        <v>130380.53</v>
      </c>
      <c r="F4" s="3108"/>
    </row>
    <row r="5" spans="1:6" ht="14.25">
      <c r="A5" s="3111"/>
      <c r="B5" s="1883"/>
      <c r="C5" s="1883"/>
      <c r="D5" s="1883"/>
      <c r="E5" s="1883"/>
      <c r="F5" s="3108"/>
    </row>
    <row r="6" spans="1:6" ht="28.5">
      <c r="A6" s="3112" t="s">
        <v>2954</v>
      </c>
      <c r="B6" s="3109" t="s">
        <v>2951</v>
      </c>
      <c r="C6" s="3110"/>
      <c r="D6" s="1883"/>
      <c r="E6" s="3109" t="s">
        <v>2952</v>
      </c>
      <c r="F6" s="3109" t="s">
        <v>2956</v>
      </c>
    </row>
    <row r="7" spans="1:6" ht="14.25">
      <c r="A7" s="260" t="s">
        <v>2955</v>
      </c>
      <c r="B7" s="3113">
        <f ca="1">SUMIF(INDIRECT("'"&amp;A7&amp;"'"&amp;"!A:A"),"总价",INDIRECT("'"&amp;A7&amp;"'"&amp;"!B:B"))</f>
        <v>23601</v>
      </c>
      <c r="C7" s="3109" t="s">
        <v>2949</v>
      </c>
      <c r="D7" s="1883"/>
      <c r="E7" s="3114">
        <f ca="1">SUMIF(INDIRECT("'"&amp;A7&amp;"'"&amp;"!C:C"),"建筑面积",INDIRECT("'"&amp;A7&amp;"'"&amp;"!D:D"))</f>
        <v>57858.8</v>
      </c>
      <c r="F7" s="3114">
        <f ca="1">SUMIF(INDIRECT("'"&amp;A7&amp;"'"&amp;"!E:E"),"土地面积",INDIRECT("'"&amp;A7&amp;"'"&amp;"!F:F"))</f>
        <v>130380.53</v>
      </c>
    </row>
    <row r="8" spans="1:6" ht="14.25">
      <c r="A8" s="260"/>
      <c r="B8" s="3113" t="e">
        <f t="shared" ref="B8:B14" ca="1" si="0">SUMIF(INDIRECT("'"&amp;A8&amp;"'"&amp;"!A:A"),"总价",INDIRECT("'"&amp;A8&amp;"'"&amp;"!B:B"))</f>
        <v>#REF!</v>
      </c>
      <c r="C8" s="3109" t="s">
        <v>2949</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2949</v>
      </c>
      <c r="D9" s="1883"/>
      <c r="E9" s="3114" t="e">
        <f t="shared" ca="1" si="1"/>
        <v>#REF!</v>
      </c>
      <c r="F9" s="3114" t="e">
        <f t="shared" ca="1" si="2"/>
        <v>#REF!</v>
      </c>
    </row>
    <row r="10" spans="1:6" ht="14.25">
      <c r="A10" s="260"/>
      <c r="B10" s="3113" t="e">
        <f t="shared" ca="1" si="0"/>
        <v>#REF!</v>
      </c>
      <c r="C10" s="3109" t="s">
        <v>2949</v>
      </c>
      <c r="D10" s="1883"/>
      <c r="E10" s="3114" t="e">
        <f t="shared" ca="1" si="1"/>
        <v>#REF!</v>
      </c>
      <c r="F10" s="3114" t="e">
        <f t="shared" ca="1" si="2"/>
        <v>#REF!</v>
      </c>
    </row>
    <row r="11" spans="1:6" ht="14.25">
      <c r="A11" s="260"/>
      <c r="B11" s="3113" t="e">
        <f t="shared" ca="1" si="0"/>
        <v>#REF!</v>
      </c>
      <c r="C11" s="3109" t="s">
        <v>2949</v>
      </c>
      <c r="D11" s="1883"/>
      <c r="E11" s="3114" t="e">
        <f t="shared" ca="1" si="1"/>
        <v>#REF!</v>
      </c>
      <c r="F11" s="3114" t="e">
        <f t="shared" ca="1" si="2"/>
        <v>#REF!</v>
      </c>
    </row>
    <row r="12" spans="1:6" ht="14.25">
      <c r="A12" s="260"/>
      <c r="B12" s="3113" t="e">
        <f t="shared" ca="1" si="0"/>
        <v>#REF!</v>
      </c>
      <c r="C12" s="3109" t="s">
        <v>2949</v>
      </c>
      <c r="D12" s="1883"/>
      <c r="E12" s="3114" t="e">
        <f t="shared" ca="1" si="1"/>
        <v>#REF!</v>
      </c>
      <c r="F12" s="3114" t="e">
        <f t="shared" ca="1" si="2"/>
        <v>#REF!</v>
      </c>
    </row>
    <row r="13" spans="1:6" ht="14.25">
      <c r="A13" s="260"/>
      <c r="B13" s="3113" t="e">
        <f t="shared" ca="1" si="0"/>
        <v>#REF!</v>
      </c>
      <c r="C13" s="3109" t="s">
        <v>2949</v>
      </c>
      <c r="D13" s="1883"/>
      <c r="E13" s="3114" t="e">
        <f t="shared" ca="1" si="1"/>
        <v>#REF!</v>
      </c>
      <c r="F13" s="3114" t="e">
        <f t="shared" ca="1" si="2"/>
        <v>#REF!</v>
      </c>
    </row>
    <row r="14" spans="1:6" ht="14.25">
      <c r="A14" s="3107"/>
      <c r="B14" s="3113" t="e">
        <f t="shared" ca="1" si="0"/>
        <v>#REF!</v>
      </c>
      <c r="C14" s="3109" t="s">
        <v>2949</v>
      </c>
      <c r="D14" s="1883"/>
      <c r="E14" s="3114" t="e">
        <f t="shared" ca="1" si="1"/>
        <v>#REF!</v>
      </c>
      <c r="F14" s="311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75" t="s">
        <v>2466</v>
      </c>
      <c r="C8" s="1827">
        <f ca="1">ROUND(F8*F10*F9*(1-F11)/10000,0)</f>
        <v>0</v>
      </c>
      <c r="D8" s="1824" t="s">
        <v>2537</v>
      </c>
      <c r="E8" s="61" t="s">
        <v>637</v>
      </c>
      <c r="F8" s="785">
        <f ca="1">INDIRECT("'数据-取费表'!u"&amp;$G$1)</f>
        <v>0</v>
      </c>
      <c r="G8" s="1593"/>
      <c r="H8" s="2506" t="s">
        <v>1825</v>
      </c>
      <c r="I8" s="3475" t="s">
        <v>2466</v>
      </c>
      <c r="J8" s="783">
        <f ca="1">ROUND(M8*M10*M9*(1-M11)/10000,0)</f>
        <v>0</v>
      </c>
      <c r="K8" s="341" t="s">
        <v>2537</v>
      </c>
      <c r="L8" s="784" t="s">
        <v>1739</v>
      </c>
      <c r="M8" s="785">
        <f ca="1">INDIRECT("'数据-取费表'!z"&amp;$G$1)</f>
        <v>0</v>
      </c>
    </row>
    <row r="9" spans="1:25" ht="18" customHeight="1">
      <c r="A9" s="2502"/>
      <c r="B9" s="3476"/>
      <c r="C9" s="1828"/>
      <c r="D9" s="1825"/>
      <c r="E9" s="61" t="s">
        <v>638</v>
      </c>
      <c r="F9" s="785">
        <f ca="1">IF(INDIRECT("'数据-取费表'!ah"&amp;$G$1)="",INDIRECT("'数据-取费表'!k"&amp;$G$1),INDIRECT("'数据-取费表'!ah"&amp;$G$1))</f>
        <v>0</v>
      </c>
      <c r="G9" s="1593"/>
      <c r="H9" s="2491"/>
      <c r="I9" s="3476"/>
      <c r="J9" s="788"/>
      <c r="K9" s="789"/>
      <c r="L9" s="784" t="s">
        <v>1740</v>
      </c>
      <c r="M9" s="785">
        <f ca="1">F9</f>
        <v>0</v>
      </c>
    </row>
    <row r="10" spans="1:25" ht="18" customHeight="1">
      <c r="A10" s="2495"/>
      <c r="B10" s="3477"/>
      <c r="C10" s="1828"/>
      <c r="D10" s="1825"/>
      <c r="E10" s="61" t="s">
        <v>639</v>
      </c>
      <c r="F10" s="785">
        <f ca="1">INDIRECT("'数据-取费表'!ai"&amp;$G$1)</f>
        <v>0</v>
      </c>
      <c r="G10" s="1593"/>
      <c r="H10" s="2491"/>
      <c r="I10" s="3477"/>
      <c r="J10" s="788"/>
      <c r="K10" s="789"/>
      <c r="L10" s="784" t="s">
        <v>1741</v>
      </c>
      <c r="M10" s="785">
        <f ca="1">INDIRECT("'数据-取费表'!ai"&amp;$G$1)</f>
        <v>0</v>
      </c>
    </row>
    <row r="11" spans="1:25" ht="18" customHeight="1">
      <c r="A11" s="786"/>
      <c r="B11" s="3478"/>
      <c r="C11" s="1828"/>
      <c r="D11" s="1825"/>
      <c r="E11" s="61" t="s">
        <v>640</v>
      </c>
      <c r="F11" s="794">
        <f ca="1">INDIRECT("'数据-取费表'!w"&amp;$G$1)</f>
        <v>0</v>
      </c>
      <c r="G11" s="1593"/>
      <c r="H11" s="2507"/>
      <c r="I11" s="3477"/>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2978</v>
      </c>
      <c r="E12" s="2500" t="s">
        <v>2467</v>
      </c>
      <c r="F12" s="2623"/>
      <c r="G12" s="1593"/>
      <c r="H12" s="2563" t="s">
        <v>1826</v>
      </c>
      <c r="I12" s="2568" t="s">
        <v>2462</v>
      </c>
      <c r="J12" s="783">
        <f ca="1">ROUND(IF(M12="押一",J8/12*M13,IF(M12="押二",J8/12*2*M13,IF(M12="押三",J8/12*3*M13,J13*M13))),0)</f>
        <v>0</v>
      </c>
      <c r="K12" s="2503" t="s">
        <v>2978</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5.0000000000000001E-4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74"/>
      <c r="J36" s="2081"/>
      <c r="K36" s="2082"/>
      <c r="L36" s="2081"/>
      <c r="M36" s="2081"/>
    </row>
    <row r="37" spans="1:18" ht="18" customHeight="1">
      <c r="A37" s="815"/>
      <c r="B37" s="793"/>
      <c r="C37" s="69"/>
      <c r="D37" s="816"/>
      <c r="E37" s="784" t="s">
        <v>674</v>
      </c>
      <c r="F37" s="785">
        <f ca="1">INDIRECT("'数据-取费表'!r"&amp;$G$1)</f>
        <v>0</v>
      </c>
      <c r="G37" s="2064"/>
      <c r="H37" s="2067"/>
      <c r="I37" s="3474"/>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2966</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2983</v>
      </c>
      <c r="J54" s="3159">
        <f ca="1">IF(M48="住宅",MAX(J52,L49-'数据-取费表'!B20),MIN(J52,L49-'数据-取费表'!B20))</f>
        <v>-1</v>
      </c>
      <c r="K54" s="3479"/>
      <c r="L54" s="3480"/>
      <c r="O54" s="2403" t="s">
        <v>2391</v>
      </c>
      <c r="P54" s="2401" t="s">
        <v>2392</v>
      </c>
      <c r="Q54" s="2402">
        <f ca="1">J54</f>
        <v>-1</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2946</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87" t="s">
        <v>2579</v>
      </c>
      <c r="C1" s="3487"/>
      <c r="D1" s="3487"/>
      <c r="E1" s="3487"/>
      <c r="F1" s="3487"/>
      <c r="G1" s="3486" t="s">
        <v>2580</v>
      </c>
      <c r="H1" s="3486"/>
      <c r="I1" s="3486"/>
      <c r="J1" s="3486"/>
      <c r="K1" s="3486"/>
      <c r="L1" s="3486"/>
      <c r="N1" s="3486" t="s">
        <v>2581</v>
      </c>
      <c r="O1" s="3486"/>
      <c r="P1" s="3486"/>
      <c r="Q1" s="3486"/>
      <c r="R1" s="2656"/>
      <c r="S1" s="3486" t="s">
        <v>2582</v>
      </c>
      <c r="T1" s="3486"/>
      <c r="U1" s="3486"/>
      <c r="V1" s="3486"/>
      <c r="X1" s="3485" t="s">
        <v>2642</v>
      </c>
      <c r="Y1" s="3486"/>
      <c r="Z1" s="3486"/>
      <c r="AA1" s="3486"/>
      <c r="AB1" s="3486"/>
      <c r="AD1" s="3485" t="s">
        <v>2646</v>
      </c>
      <c r="AE1" s="3486"/>
      <c r="AF1" s="3486"/>
      <c r="AG1" s="3486"/>
      <c r="AH1" s="3486"/>
    </row>
    <row r="2" spans="1:34" s="2758" customFormat="1" ht="14.25" thickBot="1">
      <c r="B2" s="2766" t="s">
        <v>2583</v>
      </c>
      <c r="C2" s="2766" t="s">
        <v>2644</v>
      </c>
      <c r="D2" s="2759" t="s">
        <v>1645</v>
      </c>
      <c r="E2" s="2759" t="s">
        <v>1952</v>
      </c>
      <c r="F2" s="2766" t="s">
        <v>2645</v>
      </c>
      <c r="G2" s="2762"/>
      <c r="H2" s="2761"/>
      <c r="I2" s="2766" t="s">
        <v>2960</v>
      </c>
      <c r="J2" s="2759" t="s">
        <v>2962</v>
      </c>
      <c r="K2" s="2759" t="s">
        <v>2963</v>
      </c>
      <c r="L2" s="2766" t="s">
        <v>2964</v>
      </c>
      <c r="N2" s="2766" t="s">
        <v>2583</v>
      </c>
      <c r="O2" s="2759" t="s">
        <v>2961</v>
      </c>
      <c r="P2" s="2759" t="s">
        <v>1952</v>
      </c>
      <c r="Q2" s="2766" t="s">
        <v>2645</v>
      </c>
      <c r="R2" s="2760"/>
      <c r="S2" s="2766" t="s">
        <v>2583</v>
      </c>
      <c r="T2" s="2759" t="s">
        <v>2961</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2973</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2986</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2974</v>
      </c>
      <c r="X5" s="3121">
        <f>ROUND(SUMPRODUCT(PRODUCT(1+N5:N$23)),4)</f>
        <v>1.4956</v>
      </c>
      <c r="Y5" s="3121">
        <f>ROUND(SUMPRODUCT(PRODUCT(1+O5:O$23)),4)</f>
        <v>1.3237000000000001</v>
      </c>
      <c r="Z5" s="3121">
        <f t="shared" ref="Z5" si="10">Y5</f>
        <v>1.3237000000000001</v>
      </c>
      <c r="AA5" s="3121">
        <f>ROUND(SUMPRODUCT(PRODUCT(1+P5:P$23)),4)</f>
        <v>1.554</v>
      </c>
      <c r="AB5" s="3121">
        <f>ROUND(SUMPRODUCT(PRODUCT(1+Q5:Q$23)),4)</f>
        <v>1.3087</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2984</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2985</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2980</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2971</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2975</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84">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82"/>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82"/>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83"/>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81">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82"/>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82"/>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83"/>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81">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82"/>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82"/>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83"/>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2586</v>
      </c>
      <c r="B25" s="2663">
        <v>299</v>
      </c>
      <c r="C25" s="2663">
        <v>252</v>
      </c>
      <c r="D25" s="2663">
        <f t="shared" si="55"/>
        <v>252</v>
      </c>
      <c r="E25" s="2663">
        <v>409</v>
      </c>
      <c r="F25" s="2664">
        <v>227</v>
      </c>
      <c r="G25" s="3488">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89"/>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489"/>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490"/>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481">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482"/>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482"/>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483"/>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481">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82">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482">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483">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481">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82">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482">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483">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481">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82">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482">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483">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481">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82">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482">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483">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481">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82">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482">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483">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481">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82">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482">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483">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481">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82">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482">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483">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481">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82">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482">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483">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481">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482">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482">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483">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481">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482">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482">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483">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4"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57858.8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2018年11月6日（评估专业人员勘察现场之日）</v>
      </c>
    </row>
    <row r="12" spans="1:4" ht="18.75">
      <c r="A12" s="1799" t="s">
        <v>2028</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根据《国有土地使用证》[]，本次评估估价对象证载（地类）用途为工交。</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根据《国有土地使用证》[]，估价对象（分摊）出让国有建设用地使用权面积为130380.53平方米。根据《建设工程规划许可证》[]、《出让合同》[]，估价对象规划建筑面积为57858.8平方米。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本次估价对象为出让国有建设用地使用权，《国有土地使用证》[]证载土地终止日期为工业2050年6月6日。截至估价期日，出让国有建设用地使用权剩余土地使用年限为。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11</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75" t="s">
        <v>2466</v>
      </c>
      <c r="C6" s="783">
        <f ca="1">ROUND(F6*F8*F7*(1-F9)/10000,0)</f>
        <v>0</v>
      </c>
      <c r="D6" s="2499" t="s">
        <v>2465</v>
      </c>
      <c r="E6" s="784" t="s">
        <v>1739</v>
      </c>
      <c r="F6" s="785">
        <f ca="1">INDIRECT("'数据-取费表'!u"&amp;$G$1)</f>
        <v>0</v>
      </c>
      <c r="G6" s="1593"/>
      <c r="H6" s="2506" t="s">
        <v>2471</v>
      </c>
      <c r="I6" s="3475" t="s">
        <v>2466</v>
      </c>
      <c r="J6" s="783">
        <f ca="1">ROUND(M6*M8*M7*(1-M9)/10000,0)</f>
        <v>0</v>
      </c>
      <c r="K6" s="341" t="s">
        <v>1738</v>
      </c>
      <c r="L6" s="784" t="s">
        <v>1739</v>
      </c>
      <c r="M6" s="785">
        <f ca="1">INDIRECT("'数据-取费表'!z"&amp;$G$1)</f>
        <v>0</v>
      </c>
    </row>
    <row r="7" spans="1:33" ht="18" customHeight="1">
      <c r="A7" s="2502"/>
      <c r="B7" s="3476"/>
      <c r="C7" s="788"/>
      <c r="D7" s="789"/>
      <c r="E7" s="784" t="s">
        <v>1740</v>
      </c>
      <c r="F7" s="785">
        <f ca="1">IF(INDIRECT("'数据-取费表'!ah"&amp;$G$1)="",INDIRECT("'数据-取费表'!k"&amp;$G$1),INDIRECT("'数据-取费表'!ah"&amp;$G$1))</f>
        <v>0</v>
      </c>
      <c r="G7" s="1593"/>
      <c r="H7" s="2491"/>
      <c r="I7" s="3476"/>
      <c r="J7" s="788"/>
      <c r="K7" s="789"/>
      <c r="L7" s="784" t="s">
        <v>1740</v>
      </c>
      <c r="M7" s="785">
        <f ca="1">F7</f>
        <v>0</v>
      </c>
    </row>
    <row r="8" spans="1:33" ht="18" customHeight="1">
      <c r="A8" s="2495"/>
      <c r="B8" s="3477"/>
      <c r="C8" s="788"/>
      <c r="D8" s="789"/>
      <c r="E8" s="784" t="s">
        <v>1741</v>
      </c>
      <c r="F8" s="785">
        <f ca="1">INDIRECT("'数据-取费表'!ai"&amp;$G$1)</f>
        <v>0</v>
      </c>
      <c r="G8" s="1593"/>
      <c r="H8" s="2491"/>
      <c r="I8" s="3477"/>
      <c r="J8" s="788"/>
      <c r="K8" s="789"/>
      <c r="L8" s="784" t="s">
        <v>1741</v>
      </c>
      <c r="M8" s="785">
        <f ca="1">INDIRECT("'数据-取费表'!ai"&amp;$G$1)</f>
        <v>0</v>
      </c>
    </row>
    <row r="9" spans="1:33" ht="18" customHeight="1">
      <c r="A9" s="786"/>
      <c r="B9" s="3478"/>
      <c r="C9" s="788"/>
      <c r="D9" s="789"/>
      <c r="E9" s="784" t="s">
        <v>1742</v>
      </c>
      <c r="F9" s="794">
        <f ca="1">INDIRECT("'数据-取费表'!w"&amp;$G$1)</f>
        <v>0</v>
      </c>
      <c r="G9" s="1593"/>
      <c r="H9" s="2507"/>
      <c r="I9" s="3477"/>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2978</v>
      </c>
      <c r="E10" s="2500" t="s">
        <v>2467</v>
      </c>
      <c r="F10" s="2623"/>
      <c r="G10" s="1593"/>
      <c r="H10" s="2563" t="s">
        <v>2472</v>
      </c>
      <c r="I10" s="2568" t="s">
        <v>2462</v>
      </c>
      <c r="J10" s="783">
        <f ca="1">ROUND(IF(M10="押一",J6/12*M11,IF(M10="押二",J6/12*2*M11,IF(M10="押三",J6/12*3*M11,J11*M11))),0)</f>
        <v>0</v>
      </c>
      <c r="K10" s="2503" t="s">
        <v>2978</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5.0000000000000001E-4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2968</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3"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c r="K47" s="3160" t="s">
        <v>2352</v>
      </c>
      <c r="L47" s="3164">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61"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9" t="s">
        <v>2349</v>
      </c>
      <c r="J49" s="2385"/>
      <c r="K49" s="3162"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9" t="s">
        <v>2350</v>
      </c>
      <c r="J50" s="3157">
        <f>SUMPRODUCT((I63:I65=J47)*(J62:L62=J48)*(J63:L65))</f>
        <v>0</v>
      </c>
      <c r="K50" s="3162"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4" t="s">
        <v>2351</v>
      </c>
      <c r="J51" s="3158">
        <f>IF(J49="",J50,J49+J50-YEAR('数据-取费表'!B2))</f>
        <v>0</v>
      </c>
      <c r="K51" s="3129" t="s">
        <v>2357</v>
      </c>
      <c r="L51" s="3165">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2979</v>
      </c>
      <c r="E52" s="2500" t="s">
        <v>2467</v>
      </c>
      <c r="F52" s="2623"/>
      <c r="I52" s="3155" t="s">
        <v>2424</v>
      </c>
      <c r="J52" s="2387"/>
      <c r="K52" s="3155"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6" t="s">
        <v>2983</v>
      </c>
      <c r="J53" s="3159">
        <f ca="1">IF(M47="住宅",IF(D1="——",MAX(J51,L48),MAX(J51,L48-'数据-取费表'!B20)),IF(D1="——",MIN(J51,L48),MIN(J51,L48-'数据-取费表'!B20)))</f>
        <v>0</v>
      </c>
      <c r="K53" s="3491" t="s">
        <v>2970</v>
      </c>
      <c r="L53" s="3492"/>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8" t="s">
        <v>2358</v>
      </c>
      <c r="J55" s="3104" t="e">
        <f ca="1">ROUND(IF(J47="钢混",J57/J50,1-(1-2%)*(J50-J57)/J50),3)</f>
        <v>#DIV/0!</v>
      </c>
      <c r="K55" s="3169" t="s">
        <v>2359</v>
      </c>
      <c r="L55" s="2388"/>
      <c r="O55" s="2406" t="s">
        <v>2414</v>
      </c>
      <c r="P55" s="1593"/>
      <c r="Q55" s="1605"/>
      <c r="R55" s="1593"/>
    </row>
    <row r="56" spans="1:18" s="2061" customFormat="1" ht="42.75" customHeight="1" thickBot="1">
      <c r="A56" s="1651"/>
      <c r="B56" s="2233" t="s">
        <v>2305</v>
      </c>
      <c r="C56" s="53">
        <f ca="1">C29</f>
        <v>0</v>
      </c>
      <c r="D56" s="2641"/>
      <c r="E56" s="784"/>
      <c r="F56" s="809"/>
      <c r="I56" s="3170" t="s">
        <v>2360</v>
      </c>
      <c r="J56" s="3180"/>
      <c r="K56" s="3129"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71" t="s">
        <v>2361</v>
      </c>
      <c r="J57" s="3172">
        <f ca="1">IF(OR(M47="住宅",J51&lt;L48,J56="是"),"——",J51-L48)</f>
        <v>0</v>
      </c>
      <c r="K57" s="3129"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1" t="s">
        <v>2362</v>
      </c>
      <c r="J58" s="3105" t="e">
        <f ca="1">IF(J55&lt;0.4,0.4,J55)</f>
        <v>#DIV/0!</v>
      </c>
      <c r="K58" s="3129"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3" t="s">
        <v>2364</v>
      </c>
      <c r="J60" s="3174" t="e">
        <f ca="1">IF(OR(M47="住宅",J51&lt;L48,J56="是"),"0",ROUND(J59/(1+J52)^J53,0))</f>
        <v>#DIV/0!</v>
      </c>
      <c r="K60" s="3175" t="s">
        <v>2369</v>
      </c>
      <c r="L60" s="3174"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6" t="s">
        <v>2370</v>
      </c>
      <c r="J62" s="3177" t="s">
        <v>2371</v>
      </c>
      <c r="K62" s="3177" t="s">
        <v>2372</v>
      </c>
      <c r="L62" s="3177" t="s">
        <v>2353</v>
      </c>
      <c r="M62" s="3178" t="s">
        <v>2946</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6" t="s">
        <v>2373</v>
      </c>
      <c r="J63" s="3177">
        <v>70</v>
      </c>
      <c r="K63" s="3177">
        <v>50</v>
      </c>
      <c r="L63" s="3177">
        <v>80</v>
      </c>
      <c r="M63" s="3179">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98" t="s">
        <v>2475</v>
      </c>
      <c r="B2" s="3499" t="s">
        <v>2476</v>
      </c>
      <c r="C2" s="3499"/>
      <c r="D2" s="2509" t="s">
        <v>2477</v>
      </c>
      <c r="E2" s="2509" t="s">
        <v>2478</v>
      </c>
      <c r="F2" s="2509" t="s">
        <v>2479</v>
      </c>
      <c r="G2" s="2509" t="s">
        <v>2480</v>
      </c>
      <c r="H2" s="2509" t="s">
        <v>2481</v>
      </c>
      <c r="I2" s="2510" t="s">
        <v>2482</v>
      </c>
    </row>
    <row r="3" spans="1:9">
      <c r="A3" s="3498"/>
      <c r="B3" s="3499" t="s">
        <v>2483</v>
      </c>
      <c r="C3" s="3499"/>
      <c r="D3" s="2511"/>
      <c r="E3" s="2509"/>
      <c r="F3" s="2512"/>
      <c r="G3" s="2512"/>
      <c r="H3" s="2513"/>
      <c r="I3" s="2514">
        <f>ROUND(D3*E3*F3*G3*H3/10000,0)</f>
        <v>0</v>
      </c>
    </row>
    <row r="4" spans="1:9">
      <c r="A4" s="3498"/>
      <c r="B4" s="3499" t="s">
        <v>2484</v>
      </c>
      <c r="C4" s="3499"/>
      <c r="D4" s="2511"/>
      <c r="E4" s="2509"/>
      <c r="F4" s="2512"/>
      <c r="G4" s="2512"/>
      <c r="H4" s="2513"/>
      <c r="I4" s="2514">
        <f t="shared" ref="I4:I9" si="0">ROUND(D4*E4*F4*G4*H4/10000,0)</f>
        <v>0</v>
      </c>
    </row>
    <row r="5" spans="1:9">
      <c r="A5" s="3498"/>
      <c r="B5" s="3499" t="s">
        <v>2485</v>
      </c>
      <c r="C5" s="3499"/>
      <c r="D5" s="2511"/>
      <c r="E5" s="2509"/>
      <c r="F5" s="2512"/>
      <c r="G5" s="2512"/>
      <c r="H5" s="2513"/>
      <c r="I5" s="2514">
        <f t="shared" si="0"/>
        <v>0</v>
      </c>
    </row>
    <row r="6" spans="1:9">
      <c r="A6" s="3498"/>
      <c r="B6" s="3499" t="s">
        <v>2486</v>
      </c>
      <c r="C6" s="3499"/>
      <c r="D6" s="2511"/>
      <c r="E6" s="2509"/>
      <c r="F6" s="2512"/>
      <c r="G6" s="2512"/>
      <c r="H6" s="2513"/>
      <c r="I6" s="2514">
        <f t="shared" si="0"/>
        <v>0</v>
      </c>
    </row>
    <row r="7" spans="1:9">
      <c r="A7" s="3498"/>
      <c r="B7" s="3499" t="s">
        <v>2487</v>
      </c>
      <c r="C7" s="3499"/>
      <c r="D7" s="2511"/>
      <c r="E7" s="2509"/>
      <c r="F7" s="2512"/>
      <c r="G7" s="2512"/>
      <c r="H7" s="2513"/>
      <c r="I7" s="2514">
        <f t="shared" si="0"/>
        <v>0</v>
      </c>
    </row>
    <row r="8" spans="1:9">
      <c r="A8" s="3498"/>
      <c r="B8" s="3499" t="s">
        <v>2488</v>
      </c>
      <c r="C8" s="3499"/>
      <c r="D8" s="2511"/>
      <c r="E8" s="2509"/>
      <c r="F8" s="2512"/>
      <c r="G8" s="2512"/>
      <c r="H8" s="2513"/>
      <c r="I8" s="2514">
        <f t="shared" si="0"/>
        <v>0</v>
      </c>
    </row>
    <row r="9" spans="1:9">
      <c r="A9" s="3498"/>
      <c r="B9" s="3499" t="s">
        <v>2489</v>
      </c>
      <c r="C9" s="3499"/>
      <c r="D9" s="2511"/>
      <c r="E9" s="2509"/>
      <c r="F9" s="2512"/>
      <c r="G9" s="2512"/>
      <c r="H9" s="2513"/>
      <c r="I9" s="2514">
        <f t="shared" si="0"/>
        <v>0</v>
      </c>
    </row>
    <row r="10" spans="1:9">
      <c r="A10" s="3498"/>
      <c r="B10" s="3500" t="s">
        <v>2490</v>
      </c>
      <c r="C10" s="3500"/>
      <c r="D10" s="2515">
        <v>527</v>
      </c>
      <c r="E10" s="2515" t="e">
        <f>ROUND(D1*10000/D10/H9,0)</f>
        <v>#DIV/0!</v>
      </c>
      <c r="F10" s="2516"/>
      <c r="G10" s="2516"/>
      <c r="H10" s="2517"/>
      <c r="I10" s="2518">
        <f>SUM(I3:I9)</f>
        <v>0</v>
      </c>
    </row>
    <row r="11" spans="1:9" ht="14.25">
      <c r="A11" s="3498" t="s">
        <v>2491</v>
      </c>
      <c r="B11" s="3499" t="s">
        <v>2492</v>
      </c>
      <c r="C11" s="3499"/>
      <c r="D11" s="2511" t="s">
        <v>2493</v>
      </c>
      <c r="E11" s="2511" t="s">
        <v>2494</v>
      </c>
      <c r="F11" s="2512" t="s">
        <v>2495</v>
      </c>
      <c r="G11" s="2512" t="s">
        <v>2496</v>
      </c>
      <c r="H11" s="2519" t="s">
        <v>2497</v>
      </c>
      <c r="I11" s="2510" t="s">
        <v>2498</v>
      </c>
    </row>
    <row r="12" spans="1:9">
      <c r="A12" s="3498"/>
      <c r="B12" s="3499" t="s">
        <v>2499</v>
      </c>
      <c r="C12" s="3499"/>
      <c r="D12" s="2511"/>
      <c r="E12" s="2511"/>
      <c r="F12" s="2512"/>
      <c r="G12" s="2513"/>
      <c r="H12" s="2520"/>
      <c r="I12" s="2510">
        <f>ROUND(D12*E12*F12*G12/10000,0)</f>
        <v>0</v>
      </c>
    </row>
    <row r="13" spans="1:9">
      <c r="A13" s="3498"/>
      <c r="B13" s="3499" t="s">
        <v>2500</v>
      </c>
      <c r="C13" s="3499"/>
      <c r="D13" s="2511"/>
      <c r="E13" s="2511"/>
      <c r="F13" s="2512"/>
      <c r="G13" s="2513"/>
      <c r="H13" s="2520"/>
      <c r="I13" s="2510">
        <f>ROUND(D13*E13*F13*G13/10000,0)</f>
        <v>0</v>
      </c>
    </row>
    <row r="14" spans="1:9">
      <c r="A14" s="3498"/>
      <c r="B14" s="3499" t="s">
        <v>2501</v>
      </c>
      <c r="C14" s="3499"/>
      <c r="D14" s="2511"/>
      <c r="E14" s="2511"/>
      <c r="F14" s="2512"/>
      <c r="G14" s="2513"/>
      <c r="H14" s="2520"/>
      <c r="I14" s="2510">
        <f>ROUND(D14*E14*F14*G14/10000,0)</f>
        <v>0</v>
      </c>
    </row>
    <row r="15" spans="1:9">
      <c r="A15" s="3498"/>
      <c r="B15" s="3500" t="s">
        <v>2490</v>
      </c>
      <c r="C15" s="3500"/>
      <c r="D15" s="2515"/>
      <c r="E15" s="2515">
        <f>SUM(E12:E14)</f>
        <v>0</v>
      </c>
      <c r="F15" s="2516"/>
      <c r="G15" s="2513"/>
      <c r="H15" s="2520"/>
      <c r="I15" s="2521">
        <f>SUM(I12:I14)</f>
        <v>0</v>
      </c>
    </row>
    <row r="16" spans="1:9" ht="24">
      <c r="A16" s="3498" t="s">
        <v>2502</v>
      </c>
      <c r="B16" s="3499" t="s">
        <v>2503</v>
      </c>
      <c r="C16" s="3499"/>
      <c r="D16" s="2511" t="s">
        <v>2504</v>
      </c>
      <c r="E16" s="2522" t="s">
        <v>2505</v>
      </c>
      <c r="F16" s="2512" t="s">
        <v>2506</v>
      </c>
      <c r="G16" s="2513" t="s">
        <v>2496</v>
      </c>
      <c r="H16" s="2519" t="s">
        <v>2497</v>
      </c>
      <c r="I16" s="2510" t="s">
        <v>2498</v>
      </c>
    </row>
    <row r="17" spans="1:9" ht="14.25">
      <c r="A17" s="3498"/>
      <c r="B17" s="3499" t="s">
        <v>2507</v>
      </c>
      <c r="C17" s="3499"/>
      <c r="D17" s="2511"/>
      <c r="E17" s="2511"/>
      <c r="F17" s="2512"/>
      <c r="G17" s="2513"/>
      <c r="H17" s="2523"/>
      <c r="I17" s="2524">
        <f>ROUND(D17*E17*F17*G17/10000,0)</f>
        <v>0</v>
      </c>
    </row>
    <row r="18" spans="1:9" ht="14.25">
      <c r="A18" s="3498"/>
      <c r="B18" s="3499" t="s">
        <v>2508</v>
      </c>
      <c r="C18" s="3499"/>
      <c r="D18" s="2511"/>
      <c r="E18" s="2511"/>
      <c r="F18" s="2512"/>
      <c r="G18" s="2513"/>
      <c r="H18" s="2523"/>
      <c r="I18" s="2524">
        <f>ROUND(D18*E18*F18*G18/10000,0)</f>
        <v>0</v>
      </c>
    </row>
    <row r="19" spans="1:9" ht="14.25">
      <c r="A19" s="3498"/>
      <c r="B19" s="3499" t="s">
        <v>2509</v>
      </c>
      <c r="C19" s="3499"/>
      <c r="D19" s="2511"/>
      <c r="E19" s="2511"/>
      <c r="F19" s="2512"/>
      <c r="G19" s="2513"/>
      <c r="H19" s="2523"/>
      <c r="I19" s="2524">
        <f>ROUND(D19*E19*F19*G19/10000,0)</f>
        <v>0</v>
      </c>
    </row>
    <row r="20" spans="1:9">
      <c r="A20" s="3498"/>
      <c r="B20" s="3500" t="s">
        <v>2490</v>
      </c>
      <c r="C20" s="3500"/>
      <c r="D20" s="2515">
        <f>SUM(D17:D19)</f>
        <v>0</v>
      </c>
      <c r="E20" s="2515"/>
      <c r="F20" s="2516"/>
      <c r="G20" s="2513"/>
      <c r="H20" s="2520"/>
      <c r="I20" s="2521">
        <f>SUM(I17:I19)</f>
        <v>0</v>
      </c>
    </row>
    <row r="21" spans="1:9">
      <c r="A21" s="3498" t="s">
        <v>2510</v>
      </c>
      <c r="B21" s="3502"/>
      <c r="C21" s="3502"/>
      <c r="D21" s="3502"/>
      <c r="E21" s="3502"/>
      <c r="F21" s="3502"/>
      <c r="G21" s="3502"/>
      <c r="H21" s="2525">
        <v>0.1</v>
      </c>
      <c r="I21" s="2518">
        <f>ROUND(I10*H21,0)</f>
        <v>0</v>
      </c>
    </row>
    <row r="22" spans="1:9" ht="14.25">
      <c r="A22" s="3503" t="s">
        <v>2511</v>
      </c>
      <c r="B22" s="3504"/>
      <c r="C22" s="3505"/>
      <c r="D22" s="2526" t="s">
        <v>2512</v>
      </c>
      <c r="E22" s="2526" t="s">
        <v>2513</v>
      </c>
      <c r="F22" s="2527" t="s">
        <v>2514</v>
      </c>
      <c r="G22" s="2527" t="s">
        <v>2515</v>
      </c>
      <c r="H22" s="2519" t="s">
        <v>2516</v>
      </c>
      <c r="I22" s="2510" t="s">
        <v>2517</v>
      </c>
    </row>
    <row r="23" spans="1:9" ht="14.25" thickBot="1">
      <c r="A23" s="3506"/>
      <c r="B23" s="3507"/>
      <c r="C23" s="3508"/>
      <c r="D23" s="2528"/>
      <c r="E23" s="2528"/>
      <c r="F23" s="2528"/>
      <c r="G23" s="2529"/>
      <c r="H23" s="2530"/>
      <c r="I23" s="2531">
        <f>ROUND(E23*D23*F23*(1-G23)/10000,0)</f>
        <v>0</v>
      </c>
    </row>
    <row r="26" spans="1:9">
      <c r="A26" s="2532" t="s">
        <v>2518</v>
      </c>
      <c r="B26" s="2532"/>
      <c r="C26" s="2532"/>
      <c r="D26" s="2532"/>
      <c r="E26" s="3509">
        <f>C27-C30-C31-C32</f>
        <v>0</v>
      </c>
      <c r="F26" s="3509"/>
      <c r="G26" s="3509"/>
      <c r="H26" s="3046" t="s">
        <v>2845</v>
      </c>
    </row>
    <row r="27" spans="1:9">
      <c r="A27" s="2533">
        <v>1</v>
      </c>
      <c r="B27" s="2534" t="s">
        <v>2519</v>
      </c>
      <c r="C27" s="2534"/>
      <c r="D27" s="2534"/>
      <c r="E27" s="3510"/>
      <c r="F27" s="3510"/>
      <c r="G27" s="3510"/>
    </row>
    <row r="28" spans="1:9">
      <c r="A28" s="2535" t="s">
        <v>2520</v>
      </c>
      <c r="B28" s="2534" t="s">
        <v>2521</v>
      </c>
      <c r="C28" s="2534"/>
      <c r="D28" s="2534"/>
      <c r="E28" s="3510"/>
      <c r="F28" s="3510"/>
      <c r="G28" s="3510"/>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01"/>
      <c r="F32" s="3501"/>
      <c r="G32" s="3501"/>
    </row>
    <row r="33" spans="1:7" hidden="1">
      <c r="A33" s="3511" t="s">
        <v>2529</v>
      </c>
      <c r="B33" s="3512"/>
      <c r="C33" s="3512"/>
      <c r="D33" s="3513"/>
      <c r="E33" s="3509"/>
      <c r="F33" s="3509"/>
      <c r="G33" s="3509"/>
    </row>
    <row r="34" spans="1:7" hidden="1">
      <c r="A34" s="2537">
        <v>1</v>
      </c>
      <c r="B34" s="2534" t="s">
        <v>2530</v>
      </c>
      <c r="C34" s="2534"/>
      <c r="D34" s="2534"/>
      <c r="E34" s="3510"/>
      <c r="F34" s="3510"/>
      <c r="G34" s="3510"/>
    </row>
    <row r="35" spans="1:7" hidden="1">
      <c r="A35" s="2537">
        <v>2</v>
      </c>
      <c r="B35" s="2534" t="s">
        <v>2531</v>
      </c>
      <c r="C35" s="2534"/>
      <c r="D35" s="2534"/>
      <c r="E35" s="3510"/>
      <c r="F35" s="3510"/>
      <c r="G35" s="3510"/>
    </row>
    <row r="36" spans="1:7" hidden="1">
      <c r="A36" s="2537">
        <v>3</v>
      </c>
      <c r="B36" s="2534" t="s">
        <v>2532</v>
      </c>
      <c r="C36" s="2534"/>
      <c r="D36" s="2534"/>
      <c r="E36" s="3510"/>
      <c r="F36" s="3510"/>
      <c r="G36" s="3510"/>
    </row>
    <row r="37" spans="1:7" hidden="1">
      <c r="A37" s="2537">
        <v>4</v>
      </c>
      <c r="B37" s="2534" t="s">
        <v>2533</v>
      </c>
      <c r="C37" s="2534"/>
      <c r="D37" s="2534"/>
      <c r="E37" s="3510"/>
      <c r="F37" s="3510"/>
      <c r="G37" s="3510"/>
    </row>
    <row r="38" spans="1:7" hidden="1">
      <c r="A38" s="3511" t="s">
        <v>2534</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2" sqref="C2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107207</v>
      </c>
      <c r="C2" s="2110"/>
      <c r="D2" s="2110"/>
      <c r="E2" s="2110"/>
      <c r="F2" s="2110"/>
      <c r="G2" s="2110"/>
    </row>
    <row r="3" spans="1:25" s="2061" customFormat="1" ht="18" customHeight="1">
      <c r="A3" s="1380" t="s">
        <v>1686</v>
      </c>
      <c r="B3" s="425">
        <f ca="1">ROUND(B2*10000/'数据-汇总表'!E3,0)</f>
        <v>18529</v>
      </c>
      <c r="C3" s="2110"/>
      <c r="D3" s="2110"/>
      <c r="E3" s="2110"/>
      <c r="F3" s="2110"/>
      <c r="G3" s="2110"/>
    </row>
    <row r="4" spans="1:25" s="2061" customFormat="1" ht="18" customHeight="1">
      <c r="A4" s="426" t="s">
        <v>468</v>
      </c>
      <c r="B4" s="427">
        <f ca="1">ROUND(B2*10000/'数据-汇总表'!D3,0)</f>
        <v>8223</v>
      </c>
      <c r="C4" s="2063"/>
      <c r="D4" s="2110"/>
      <c r="E4" s="2110"/>
      <c r="F4" s="2110"/>
      <c r="G4" s="2110"/>
    </row>
    <row r="5" spans="1:25" s="2061" customFormat="1" ht="18" customHeight="1" thickBot="1">
      <c r="A5" s="429"/>
      <c r="B5" s="430">
        <f ca="1">ROUND(B2/('数据-汇总表'!D3/666.67),0)</f>
        <v>548</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117812</v>
      </c>
      <c r="D7" s="749"/>
      <c r="E7" s="750"/>
      <c r="F7" s="750"/>
      <c r="G7" s="2481" t="s">
        <v>3026</v>
      </c>
    </row>
    <row r="8" spans="1:25" s="2185" customFormat="1" ht="13.5" customHeight="1">
      <c r="A8" s="2471" t="s">
        <v>2443</v>
      </c>
      <c r="B8" s="2474" t="s">
        <v>2445</v>
      </c>
      <c r="C8" s="2475">
        <f>ROUND(9036*'数据-基础表'!A3/10000,0)</f>
        <v>117812</v>
      </c>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57858.8</v>
      </c>
      <c r="E10" s="749">
        <f>'数据-取费表'!B31</f>
        <v>250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160</v>
      </c>
      <c r="F12" s="755"/>
      <c r="G12" s="759"/>
    </row>
    <row r="13" spans="1:25" s="2185" customFormat="1" ht="13.5" customHeight="1">
      <c r="A13" s="2478" t="s">
        <v>2450</v>
      </c>
      <c r="B13" s="756" t="s">
        <v>612</v>
      </c>
      <c r="C13" s="757">
        <f>ROUND(D13*E13/10000,0)</f>
        <v>1157</v>
      </c>
      <c r="D13" s="758">
        <f>'数据-汇总表'!E6</f>
        <v>57858.8</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5125</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17672</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140609</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21091</v>
      </c>
      <c r="D20" s="760"/>
      <c r="E20" s="749"/>
      <c r="F20" s="1349">
        <v>0.15</v>
      </c>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161700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107207</v>
      </c>
      <c r="D22" s="760"/>
      <c r="E22" s="749"/>
      <c r="F22" s="766">
        <f>'数据-取费表'!AP16</f>
        <v>0.66300000000000003</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107207</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1" sqref="E11"/>
    </sheetView>
  </sheetViews>
  <sheetFormatPr defaultRowHeight="13.5"/>
  <cols>
    <col min="5" max="5" width="23.25" customWidth="1"/>
    <col min="9" max="9" width="31.25" customWidth="1"/>
  </cols>
  <sheetData>
    <row r="1" spans="1:12">
      <c r="A1" s="3514" t="s">
        <v>2987</v>
      </c>
      <c r="B1" s="3514" t="s">
        <v>2988</v>
      </c>
      <c r="C1" s="3514" t="s">
        <v>2989</v>
      </c>
      <c r="D1" s="3514" t="s">
        <v>2990</v>
      </c>
      <c r="E1" s="3514" t="s">
        <v>2991</v>
      </c>
      <c r="F1" s="3514" t="s">
        <v>2992</v>
      </c>
      <c r="G1" s="3514" t="s">
        <v>2993</v>
      </c>
      <c r="H1" s="3514" t="s">
        <v>2994</v>
      </c>
      <c r="I1" s="3514" t="s">
        <v>2995</v>
      </c>
      <c r="J1" s="3516" t="s">
        <v>2996</v>
      </c>
      <c r="K1" s="3516"/>
      <c r="L1" s="3516"/>
    </row>
    <row r="2" spans="1:12" ht="36">
      <c r="A2" s="3517"/>
      <c r="B2" s="3515"/>
      <c r="C2" s="3515"/>
      <c r="D2" s="3515"/>
      <c r="E2" s="3515"/>
      <c r="F2" s="3515"/>
      <c r="G2" s="3515"/>
      <c r="H2" s="3515"/>
      <c r="I2" s="3515"/>
      <c r="J2" s="3183" t="s">
        <v>24</v>
      </c>
      <c r="K2" s="3183" t="s">
        <v>2997</v>
      </c>
      <c r="L2" s="3183" t="s">
        <v>2998</v>
      </c>
    </row>
    <row r="3" spans="1:12" ht="126" customHeight="1">
      <c r="A3" s="3186">
        <v>2017</v>
      </c>
      <c r="B3" s="3187" t="s">
        <v>3001</v>
      </c>
      <c r="C3" s="3188" t="s">
        <v>3002</v>
      </c>
      <c r="D3" s="3185" t="s">
        <v>3003</v>
      </c>
      <c r="E3" s="3185" t="s">
        <v>3004</v>
      </c>
      <c r="F3" s="3185" t="s">
        <v>3005</v>
      </c>
      <c r="G3" s="3185" t="s">
        <v>2999</v>
      </c>
      <c r="H3" s="3185" t="s">
        <v>3006</v>
      </c>
      <c r="I3" s="3188" t="s">
        <v>3007</v>
      </c>
      <c r="J3" s="3184">
        <v>7121.0435985612075</v>
      </c>
      <c r="K3" s="3184">
        <v>1647.3462982726589</v>
      </c>
      <c r="L3" s="3184">
        <v>5473.6973002885488</v>
      </c>
    </row>
    <row r="4" spans="1:12" ht="126" customHeight="1">
      <c r="A4" s="3186">
        <v>2017</v>
      </c>
      <c r="B4" s="3187" t="s">
        <v>3000</v>
      </c>
      <c r="C4" s="3188" t="s">
        <v>3008</v>
      </c>
      <c r="D4" s="3185" t="s">
        <v>3009</v>
      </c>
      <c r="E4" s="3185" t="s">
        <v>3010</v>
      </c>
      <c r="F4" s="3185" t="s">
        <v>3011</v>
      </c>
      <c r="G4" s="3185" t="s">
        <v>2999</v>
      </c>
      <c r="H4" s="3185" t="s">
        <v>3012</v>
      </c>
      <c r="I4" s="3188" t="s">
        <v>3013</v>
      </c>
      <c r="J4" s="3184">
        <v>10970.676229508195</v>
      </c>
      <c r="K4" s="3184">
        <v>1101.3210382513662</v>
      </c>
      <c r="L4" s="3184">
        <v>9869.3551912568291</v>
      </c>
    </row>
  </sheetData>
  <mergeCells count="10">
    <mergeCell ref="G1:G2"/>
    <mergeCell ref="H1:H2"/>
    <mergeCell ref="I1:I2"/>
    <mergeCell ref="J1:L1"/>
    <mergeCell ref="A1:A2"/>
    <mergeCell ref="B1:B2"/>
    <mergeCell ref="C1:C2"/>
    <mergeCell ref="D1:D2"/>
    <mergeCell ref="E1:E2"/>
    <mergeCell ref="F1:F2"/>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F21" sqref="F21"/>
    </sheetView>
  </sheetViews>
  <sheetFormatPr defaultRowHeight="13.5"/>
  <cols>
    <col min="1" max="2" width="9" style="3189"/>
    <col min="3" max="3" width="13.375" style="3189" customWidth="1"/>
    <col min="4" max="16384" width="9" style="3189"/>
  </cols>
  <sheetData>
    <row r="2" spans="2:5" ht="27" customHeight="1">
      <c r="B2" s="3518" t="s">
        <v>3049</v>
      </c>
      <c r="C2" s="3518"/>
      <c r="D2" s="3518"/>
      <c r="E2" s="3518"/>
    </row>
    <row r="3" spans="2:5">
      <c r="B3" s="3519" t="s">
        <v>3050</v>
      </c>
      <c r="C3" s="3519"/>
      <c r="D3" s="3520">
        <f>项目基本情况!C21</f>
        <v>57858.8</v>
      </c>
      <c r="E3" s="3520"/>
    </row>
    <row r="4" spans="2:5">
      <c r="B4" s="3519" t="s">
        <v>3051</v>
      </c>
      <c r="C4" s="3519"/>
      <c r="D4" s="3520">
        <v>50</v>
      </c>
      <c r="E4" s="3520"/>
    </row>
    <row r="5" spans="2:5">
      <c r="B5" s="3521" t="s">
        <v>3052</v>
      </c>
      <c r="C5" s="3522"/>
      <c r="D5" s="3523">
        <f>ROUND(D3*D4/10000,2)</f>
        <v>289.29000000000002</v>
      </c>
      <c r="E5" s="3523"/>
    </row>
  </sheetData>
  <mergeCells count="7">
    <mergeCell ref="B5:C5"/>
    <mergeCell ref="D5:E5"/>
    <mergeCell ref="B2:E2"/>
    <mergeCell ref="B3:C3"/>
    <mergeCell ref="D3:E3"/>
    <mergeCell ref="B4:C4"/>
    <mergeCell ref="D4:E4"/>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9"/>
  <sheetViews>
    <sheetView topLeftCell="A32" zoomScale="110" zoomScaleNormal="110" workbookViewId="0">
      <selection activeCell="O14" sqref="O14"/>
    </sheetView>
  </sheetViews>
  <sheetFormatPr defaultRowHeight="22.5" customHeight="1"/>
  <cols>
    <col min="1" max="1" width="14.875" style="3190" customWidth="1"/>
    <col min="2" max="3" width="9" style="3190"/>
    <col min="4" max="4" width="9" style="3219"/>
    <col min="5" max="5" width="9" style="3190"/>
    <col min="6" max="6" width="9.5" style="3190" bestFit="1" customWidth="1"/>
    <col min="7" max="16384" width="9" style="3190"/>
  </cols>
  <sheetData>
    <row r="1" spans="1:19" ht="22.5" customHeight="1">
      <c r="A1" s="3524" t="s">
        <v>3053</v>
      </c>
      <c r="B1" s="3524" t="s">
        <v>3054</v>
      </c>
      <c r="C1" s="3524" t="s">
        <v>3055</v>
      </c>
      <c r="D1" s="3527" t="s">
        <v>3056</v>
      </c>
      <c r="E1" s="3524" t="s">
        <v>3057</v>
      </c>
      <c r="F1" s="3524" t="s">
        <v>3058</v>
      </c>
      <c r="G1" s="3524" t="s">
        <v>3059</v>
      </c>
      <c r="H1" s="3524" t="s">
        <v>3060</v>
      </c>
      <c r="I1" s="3524" t="s">
        <v>3061</v>
      </c>
      <c r="J1" s="3524" t="s">
        <v>3062</v>
      </c>
      <c r="K1" s="3524" t="s">
        <v>3063</v>
      </c>
      <c r="L1" s="3524" t="s">
        <v>3064</v>
      </c>
      <c r="M1" s="3524" t="s">
        <v>3065</v>
      </c>
      <c r="N1" s="3524" t="s">
        <v>3066</v>
      </c>
      <c r="O1" s="3524" t="s">
        <v>3067</v>
      </c>
      <c r="P1" s="3526" t="s">
        <v>3068</v>
      </c>
      <c r="Q1" s="3524" t="s">
        <v>3069</v>
      </c>
    </row>
    <row r="2" spans="1:19" ht="22.5" customHeight="1" thickBot="1">
      <c r="A2" s="3525"/>
      <c r="B2" s="3525"/>
      <c r="C2" s="3525"/>
      <c r="D2" s="3528"/>
      <c r="E2" s="3525"/>
      <c r="F2" s="3525"/>
      <c r="G2" s="3525"/>
      <c r="H2" s="3525"/>
      <c r="I2" s="3525"/>
      <c r="J2" s="3525"/>
      <c r="K2" s="3525"/>
      <c r="L2" s="3525"/>
      <c r="M2" s="3525"/>
      <c r="N2" s="3525"/>
      <c r="O2" s="3525"/>
      <c r="P2" s="3525"/>
      <c r="Q2" s="3525"/>
      <c r="S2" s="3191" t="s">
        <v>3070</v>
      </c>
    </row>
    <row r="3" spans="1:19" ht="22.5" customHeight="1" thickTop="1">
      <c r="A3" s="3192"/>
      <c r="B3" s="3193">
        <f>'数据-基础表'!C13</f>
        <v>12</v>
      </c>
      <c r="C3" s="3193" t="s">
        <v>3071</v>
      </c>
      <c r="D3" s="3194" t="s">
        <v>3093</v>
      </c>
      <c r="E3" s="3232"/>
      <c r="F3" s="3195">
        <f>'数据-基础表'!G13</f>
        <v>2557.8000000000002</v>
      </c>
      <c r="G3" s="3196">
        <v>1500</v>
      </c>
      <c r="H3" s="3195">
        <f>G3*15/100</f>
        <v>225</v>
      </c>
      <c r="I3" s="3195">
        <f>G3+H3</f>
        <v>1725</v>
      </c>
      <c r="J3" s="3195">
        <f>I3*3/100</f>
        <v>51.75</v>
      </c>
      <c r="K3" s="3195">
        <f>ROUND((I3+J3)*2/100,2)</f>
        <v>35.54</v>
      </c>
      <c r="L3" s="3195">
        <f>ROUND((I3+J3+K3)*((1+0.0435)^(1/2)-1),2)</f>
        <v>39</v>
      </c>
      <c r="M3" s="3195">
        <f>ROUND((S3*15/100),2)</f>
        <v>271.83999999999997</v>
      </c>
      <c r="N3" s="3195">
        <f>I3+J3+K3+L3+M3</f>
        <v>2123.13</v>
      </c>
      <c r="O3" s="3197">
        <v>0.65</v>
      </c>
      <c r="P3" s="3195">
        <f>ROUND(N3*O3,2)</f>
        <v>1380.03</v>
      </c>
      <c r="Q3" s="3198">
        <f>ROUND(P3*F3/10000,2)</f>
        <v>352.98</v>
      </c>
      <c r="S3" s="3189">
        <f>I3+J3+K3</f>
        <v>1812.29</v>
      </c>
    </row>
    <row r="4" spans="1:19" ht="22.5" customHeight="1">
      <c r="A4" s="3199"/>
      <c r="B4" s="3193">
        <f>'数据-基础表'!C14</f>
        <v>16</v>
      </c>
      <c r="C4" s="3200" t="s">
        <v>3071</v>
      </c>
      <c r="D4" s="3201" t="s">
        <v>3093</v>
      </c>
      <c r="E4" s="3233"/>
      <c r="F4" s="3195">
        <f>'数据-基础表'!G14</f>
        <v>614</v>
      </c>
      <c r="G4" s="3230">
        <f>G3</f>
        <v>1500</v>
      </c>
      <c r="H4" s="3202">
        <f t="shared" ref="H4:H38" si="0">G4*15/100</f>
        <v>225</v>
      </c>
      <c r="I4" s="3202">
        <f t="shared" ref="I4:I38" si="1">G4+H4</f>
        <v>1725</v>
      </c>
      <c r="J4" s="3202">
        <f t="shared" ref="J4:J38" si="2">I4*3/100</f>
        <v>51.75</v>
      </c>
      <c r="K4" s="3202">
        <f t="shared" ref="K4:K38" si="3">ROUND((I4+J4)*2/100,2)</f>
        <v>35.54</v>
      </c>
      <c r="L4" s="3202">
        <f t="shared" ref="L4:L38" si="4">ROUND((I4+J4+K4)*((1+0.0435)^(1/2)-1),2)</f>
        <v>39</v>
      </c>
      <c r="M4" s="3202">
        <f t="shared" ref="M4:M38" si="5">ROUND((S4*15/100),2)</f>
        <v>271.83999999999997</v>
      </c>
      <c r="N4" s="3202">
        <f t="shared" ref="N4:N38" si="6">I4+J4+K4+L4+M4</f>
        <v>2123.13</v>
      </c>
      <c r="O4" s="3203">
        <v>0.65</v>
      </c>
      <c r="P4" s="3202">
        <f t="shared" ref="P4:P38" si="7">ROUND(N4*O4,2)</f>
        <v>1380.03</v>
      </c>
      <c r="Q4" s="3204">
        <f t="shared" ref="Q4:Q38" si="8">ROUND(P4*F4/10000,2)</f>
        <v>84.73</v>
      </c>
      <c r="S4" s="3189">
        <f t="shared" ref="S4:S38" si="9">I4+J4+K4</f>
        <v>1812.29</v>
      </c>
    </row>
    <row r="5" spans="1:19" ht="22.5" customHeight="1">
      <c r="A5" s="3205"/>
      <c r="B5" s="3193">
        <f>'数据-基础表'!C15</f>
        <v>22</v>
      </c>
      <c r="C5" s="3193" t="s">
        <v>3071</v>
      </c>
      <c r="D5" s="3207" t="s">
        <v>3094</v>
      </c>
      <c r="E5" s="3232"/>
      <c r="F5" s="3195">
        <f>'数据-基础表'!G15</f>
        <v>149</v>
      </c>
      <c r="G5" s="3206">
        <v>1350</v>
      </c>
      <c r="H5" s="3208">
        <f t="shared" si="0"/>
        <v>202.5</v>
      </c>
      <c r="I5" s="3208">
        <f t="shared" si="1"/>
        <v>1552.5</v>
      </c>
      <c r="J5" s="3208">
        <f t="shared" si="2"/>
        <v>46.575000000000003</v>
      </c>
      <c r="K5" s="3208">
        <f t="shared" si="3"/>
        <v>31.98</v>
      </c>
      <c r="L5" s="3208">
        <f t="shared" si="4"/>
        <v>35.1</v>
      </c>
      <c r="M5" s="3208">
        <f t="shared" si="5"/>
        <v>244.66</v>
      </c>
      <c r="N5" s="3208">
        <f t="shared" si="6"/>
        <v>1910.8150000000001</v>
      </c>
      <c r="O5" s="3209">
        <v>0.65</v>
      </c>
      <c r="P5" s="3208">
        <f t="shared" si="7"/>
        <v>1242.03</v>
      </c>
      <c r="Q5" s="3210">
        <f t="shared" si="8"/>
        <v>18.510000000000002</v>
      </c>
      <c r="S5" s="3189">
        <f t="shared" si="9"/>
        <v>1631.0550000000001</v>
      </c>
    </row>
    <row r="6" spans="1:19" ht="22.5" customHeight="1">
      <c r="A6" s="3199"/>
      <c r="B6" s="3193">
        <f>'数据-基础表'!C16</f>
        <v>23</v>
      </c>
      <c r="C6" s="3200" t="s">
        <v>3071</v>
      </c>
      <c r="D6" s="3201" t="s">
        <v>3094</v>
      </c>
      <c r="E6" s="3233"/>
      <c r="F6" s="3195">
        <f>'数据-基础表'!G16</f>
        <v>24.9</v>
      </c>
      <c r="G6" s="3206">
        <f>G5</f>
        <v>1350</v>
      </c>
      <c r="H6" s="3202">
        <f t="shared" si="0"/>
        <v>202.5</v>
      </c>
      <c r="I6" s="3202">
        <f t="shared" si="1"/>
        <v>1552.5</v>
      </c>
      <c r="J6" s="3202">
        <f t="shared" si="2"/>
        <v>46.575000000000003</v>
      </c>
      <c r="K6" s="3202">
        <f t="shared" si="3"/>
        <v>31.98</v>
      </c>
      <c r="L6" s="3202">
        <f t="shared" si="4"/>
        <v>35.1</v>
      </c>
      <c r="M6" s="3202">
        <f t="shared" si="5"/>
        <v>244.66</v>
      </c>
      <c r="N6" s="3202">
        <f t="shared" si="6"/>
        <v>1910.8150000000001</v>
      </c>
      <c r="O6" s="3203">
        <v>0.6</v>
      </c>
      <c r="P6" s="3202">
        <f t="shared" si="7"/>
        <v>1146.49</v>
      </c>
      <c r="Q6" s="3204">
        <f t="shared" si="8"/>
        <v>2.85</v>
      </c>
      <c r="S6" s="3189">
        <f t="shared" si="9"/>
        <v>1631.0550000000001</v>
      </c>
    </row>
    <row r="7" spans="1:19" ht="22.5" customHeight="1">
      <c r="A7" s="3205"/>
      <c r="B7" s="3193">
        <f>'数据-基础表'!C17</f>
        <v>24</v>
      </c>
      <c r="C7" s="3193" t="s">
        <v>3071</v>
      </c>
      <c r="D7" s="3227" t="s">
        <v>3094</v>
      </c>
      <c r="E7" s="3232"/>
      <c r="F7" s="3195">
        <f>'数据-基础表'!G17</f>
        <v>154.6</v>
      </c>
      <c r="G7" s="3206">
        <f>G5</f>
        <v>1350</v>
      </c>
      <c r="H7" s="3208">
        <f t="shared" si="0"/>
        <v>202.5</v>
      </c>
      <c r="I7" s="3208">
        <f t="shared" si="1"/>
        <v>1552.5</v>
      </c>
      <c r="J7" s="3208">
        <f t="shared" si="2"/>
        <v>46.575000000000003</v>
      </c>
      <c r="K7" s="3208">
        <f t="shared" si="3"/>
        <v>31.98</v>
      </c>
      <c r="L7" s="3208">
        <f t="shared" si="4"/>
        <v>35.1</v>
      </c>
      <c r="M7" s="3208">
        <f t="shared" si="5"/>
        <v>244.66</v>
      </c>
      <c r="N7" s="3208">
        <f t="shared" si="6"/>
        <v>1910.8150000000001</v>
      </c>
      <c r="O7" s="3209">
        <v>0.6</v>
      </c>
      <c r="P7" s="3208">
        <f t="shared" si="7"/>
        <v>1146.49</v>
      </c>
      <c r="Q7" s="3210">
        <f t="shared" si="8"/>
        <v>17.72</v>
      </c>
      <c r="S7" s="3189">
        <f t="shared" si="9"/>
        <v>1631.0550000000001</v>
      </c>
    </row>
    <row r="8" spans="1:19" ht="22.5" customHeight="1">
      <c r="A8" s="3226"/>
      <c r="B8" s="3193">
        <f>'数据-基础表'!C18</f>
        <v>25</v>
      </c>
      <c r="C8" s="3200" t="s">
        <v>3071</v>
      </c>
      <c r="D8" s="3228" t="s">
        <v>3094</v>
      </c>
      <c r="E8" s="3233"/>
      <c r="F8" s="3195">
        <f>'数据-基础表'!G18</f>
        <v>726.7</v>
      </c>
      <c r="G8" s="3206">
        <f>G5</f>
        <v>1350</v>
      </c>
      <c r="H8" s="3202">
        <f t="shared" si="0"/>
        <v>202.5</v>
      </c>
      <c r="I8" s="3202">
        <f t="shared" si="1"/>
        <v>1552.5</v>
      </c>
      <c r="J8" s="3202">
        <f t="shared" si="2"/>
        <v>46.575000000000003</v>
      </c>
      <c r="K8" s="3202">
        <f t="shared" si="3"/>
        <v>31.98</v>
      </c>
      <c r="L8" s="3202">
        <f t="shared" si="4"/>
        <v>35.1</v>
      </c>
      <c r="M8" s="3202">
        <f t="shared" si="5"/>
        <v>244.66</v>
      </c>
      <c r="N8" s="3202">
        <f t="shared" si="6"/>
        <v>1910.8150000000001</v>
      </c>
      <c r="O8" s="3203">
        <f>O7</f>
        <v>0.6</v>
      </c>
      <c r="P8" s="3202">
        <f t="shared" si="7"/>
        <v>1146.49</v>
      </c>
      <c r="Q8" s="3204">
        <f t="shared" si="8"/>
        <v>83.32</v>
      </c>
      <c r="S8" s="3189">
        <f t="shared" si="9"/>
        <v>1631.0550000000001</v>
      </c>
    </row>
    <row r="9" spans="1:19" ht="22.5" customHeight="1">
      <c r="A9" s="3226"/>
      <c r="B9" s="3193">
        <f>'数据-基础表'!C19</f>
        <v>26</v>
      </c>
      <c r="C9" s="3193" t="s">
        <v>3071</v>
      </c>
      <c r="D9" s="3227" t="s">
        <v>3094</v>
      </c>
      <c r="E9" s="3232"/>
      <c r="F9" s="3195">
        <f>'数据-基础表'!G19</f>
        <v>51.6</v>
      </c>
      <c r="G9" s="3206">
        <f>G5</f>
        <v>1350</v>
      </c>
      <c r="H9" s="3208">
        <f t="shared" si="0"/>
        <v>202.5</v>
      </c>
      <c r="I9" s="3208">
        <f t="shared" si="1"/>
        <v>1552.5</v>
      </c>
      <c r="J9" s="3208">
        <f t="shared" si="2"/>
        <v>46.575000000000003</v>
      </c>
      <c r="K9" s="3208">
        <f t="shared" si="3"/>
        <v>31.98</v>
      </c>
      <c r="L9" s="3208">
        <f t="shared" si="4"/>
        <v>35.1</v>
      </c>
      <c r="M9" s="3208">
        <f t="shared" si="5"/>
        <v>244.66</v>
      </c>
      <c r="N9" s="3208">
        <f t="shared" si="6"/>
        <v>1910.8150000000001</v>
      </c>
      <c r="O9" s="3209">
        <f>O7</f>
        <v>0.6</v>
      </c>
      <c r="P9" s="3208">
        <f t="shared" si="7"/>
        <v>1146.49</v>
      </c>
      <c r="Q9" s="3210">
        <f t="shared" si="8"/>
        <v>5.92</v>
      </c>
      <c r="S9" s="3189">
        <f t="shared" si="9"/>
        <v>1631.0550000000001</v>
      </c>
    </row>
    <row r="10" spans="1:19" ht="22.5" customHeight="1">
      <c r="A10" s="3226"/>
      <c r="B10" s="3193">
        <f>'数据-基础表'!C20</f>
        <v>27</v>
      </c>
      <c r="C10" s="3200" t="s">
        <v>3071</v>
      </c>
      <c r="D10" s="3228" t="s">
        <v>3094</v>
      </c>
      <c r="E10" s="3233"/>
      <c r="F10" s="3195">
        <f>'数据-基础表'!G20</f>
        <v>184.9</v>
      </c>
      <c r="G10" s="3206">
        <f>G5</f>
        <v>1350</v>
      </c>
      <c r="H10" s="3202">
        <f t="shared" si="0"/>
        <v>202.5</v>
      </c>
      <c r="I10" s="3202">
        <f t="shared" si="1"/>
        <v>1552.5</v>
      </c>
      <c r="J10" s="3202">
        <f t="shared" si="2"/>
        <v>46.575000000000003</v>
      </c>
      <c r="K10" s="3202">
        <f t="shared" si="3"/>
        <v>31.98</v>
      </c>
      <c r="L10" s="3202">
        <f t="shared" si="4"/>
        <v>35.1</v>
      </c>
      <c r="M10" s="3202">
        <f t="shared" si="5"/>
        <v>244.66</v>
      </c>
      <c r="N10" s="3202">
        <f t="shared" si="6"/>
        <v>1910.8150000000001</v>
      </c>
      <c r="O10" s="3203">
        <f>O7</f>
        <v>0.6</v>
      </c>
      <c r="P10" s="3202">
        <f t="shared" si="7"/>
        <v>1146.49</v>
      </c>
      <c r="Q10" s="3204">
        <f t="shared" si="8"/>
        <v>21.2</v>
      </c>
      <c r="S10" s="3189">
        <f t="shared" si="9"/>
        <v>1631.0550000000001</v>
      </c>
    </row>
    <row r="11" spans="1:19" ht="22.5" customHeight="1">
      <c r="A11" s="3226"/>
      <c r="B11" s="3193">
        <f>'数据-基础表'!C21</f>
        <v>35</v>
      </c>
      <c r="C11" s="3193" t="s">
        <v>3071</v>
      </c>
      <c r="D11" s="3227" t="s">
        <v>3094</v>
      </c>
      <c r="E11" s="3232"/>
      <c r="F11" s="3195">
        <f>'数据-基础表'!G21</f>
        <v>64.5</v>
      </c>
      <c r="G11" s="3206">
        <f>G5</f>
        <v>1350</v>
      </c>
      <c r="H11" s="3208">
        <f t="shared" si="0"/>
        <v>202.5</v>
      </c>
      <c r="I11" s="3208">
        <f t="shared" si="1"/>
        <v>1552.5</v>
      </c>
      <c r="J11" s="3208">
        <f t="shared" si="2"/>
        <v>46.575000000000003</v>
      </c>
      <c r="K11" s="3208">
        <f t="shared" si="3"/>
        <v>31.98</v>
      </c>
      <c r="L11" s="3208">
        <f t="shared" si="4"/>
        <v>35.1</v>
      </c>
      <c r="M11" s="3208">
        <f t="shared" si="5"/>
        <v>244.66</v>
      </c>
      <c r="N11" s="3208">
        <f t="shared" si="6"/>
        <v>1910.8150000000001</v>
      </c>
      <c r="O11" s="3209">
        <f>O7</f>
        <v>0.6</v>
      </c>
      <c r="P11" s="3208">
        <f t="shared" si="7"/>
        <v>1146.49</v>
      </c>
      <c r="Q11" s="3210">
        <f t="shared" si="8"/>
        <v>7.39</v>
      </c>
      <c r="S11" s="3189">
        <f t="shared" si="9"/>
        <v>1631.0550000000001</v>
      </c>
    </row>
    <row r="12" spans="1:19" ht="22.5" customHeight="1">
      <c r="A12" s="3199"/>
      <c r="B12" s="3193">
        <f>'数据-基础表'!C22</f>
        <v>45</v>
      </c>
      <c r="C12" s="3218" t="s">
        <v>3095</v>
      </c>
      <c r="D12" s="3228" t="s">
        <v>3096</v>
      </c>
      <c r="E12" s="3233"/>
      <c r="F12" s="3195">
        <f>'数据-基础表'!G22</f>
        <v>16930.150000000001</v>
      </c>
      <c r="G12" s="3200">
        <v>2500</v>
      </c>
      <c r="H12" s="3202">
        <f t="shared" si="0"/>
        <v>375</v>
      </c>
      <c r="I12" s="3202">
        <f t="shared" si="1"/>
        <v>2875</v>
      </c>
      <c r="J12" s="3202">
        <f t="shared" si="2"/>
        <v>86.25</v>
      </c>
      <c r="K12" s="3202">
        <f t="shared" si="3"/>
        <v>59.23</v>
      </c>
      <c r="L12" s="3202">
        <f t="shared" si="4"/>
        <v>65</v>
      </c>
      <c r="M12" s="3202">
        <f t="shared" si="5"/>
        <v>453.07</v>
      </c>
      <c r="N12" s="3202">
        <f t="shared" si="6"/>
        <v>3538.55</v>
      </c>
      <c r="O12" s="3203">
        <v>0.75</v>
      </c>
      <c r="P12" s="3202">
        <f t="shared" si="7"/>
        <v>2653.91</v>
      </c>
      <c r="Q12" s="3204">
        <f t="shared" si="8"/>
        <v>4493.1099999999997</v>
      </c>
      <c r="S12" s="3189">
        <f t="shared" si="9"/>
        <v>3020.48</v>
      </c>
    </row>
    <row r="13" spans="1:19" ht="23.25" customHeight="1">
      <c r="A13" s="3211"/>
      <c r="B13" s="3193">
        <f>'数据-基础表'!C23</f>
        <v>2</v>
      </c>
      <c r="C13" s="3193" t="s">
        <v>3071</v>
      </c>
      <c r="D13" s="3207" t="s">
        <v>3094</v>
      </c>
      <c r="E13" s="3232"/>
      <c r="F13" s="3195">
        <f>'数据-基础表'!G23</f>
        <v>3035.1</v>
      </c>
      <c r="G13" s="3206">
        <f>G5</f>
        <v>1350</v>
      </c>
      <c r="H13" s="3208">
        <f t="shared" si="0"/>
        <v>202.5</v>
      </c>
      <c r="I13" s="3208">
        <f t="shared" si="1"/>
        <v>1552.5</v>
      </c>
      <c r="J13" s="3208">
        <f t="shared" si="2"/>
        <v>46.575000000000003</v>
      </c>
      <c r="K13" s="3208">
        <f t="shared" si="3"/>
        <v>31.98</v>
      </c>
      <c r="L13" s="3208">
        <f t="shared" si="4"/>
        <v>35.1</v>
      </c>
      <c r="M13" s="3208">
        <f t="shared" si="5"/>
        <v>244.66</v>
      </c>
      <c r="N13" s="3208">
        <f t="shared" si="6"/>
        <v>1910.8150000000001</v>
      </c>
      <c r="O13" s="3209">
        <v>0.6</v>
      </c>
      <c r="P13" s="3208">
        <f t="shared" si="7"/>
        <v>1146.49</v>
      </c>
      <c r="Q13" s="3210">
        <f t="shared" si="8"/>
        <v>347.97</v>
      </c>
      <c r="S13" s="3189">
        <f t="shared" si="9"/>
        <v>1631.0550000000001</v>
      </c>
    </row>
    <row r="14" spans="1:19" ht="22.5" customHeight="1">
      <c r="A14" s="3205"/>
      <c r="B14" s="3193">
        <f>'数据-基础表'!C24</f>
        <v>3</v>
      </c>
      <c r="C14" s="3200" t="s">
        <v>3071</v>
      </c>
      <c r="D14" s="3227" t="s">
        <v>3093</v>
      </c>
      <c r="E14" s="3233"/>
      <c r="F14" s="3195">
        <f>'数据-基础表'!G24</f>
        <v>936.4</v>
      </c>
      <c r="G14" s="3231">
        <f>G4</f>
        <v>1500</v>
      </c>
      <c r="H14" s="3208">
        <f t="shared" si="0"/>
        <v>225</v>
      </c>
      <c r="I14" s="3208">
        <f t="shared" si="1"/>
        <v>1725</v>
      </c>
      <c r="J14" s="3208">
        <f t="shared" si="2"/>
        <v>51.75</v>
      </c>
      <c r="K14" s="3208">
        <f t="shared" si="3"/>
        <v>35.54</v>
      </c>
      <c r="L14" s="3208">
        <f t="shared" si="4"/>
        <v>39</v>
      </c>
      <c r="M14" s="3208">
        <f t="shared" si="5"/>
        <v>271.83999999999997</v>
      </c>
      <c r="N14" s="3208">
        <f t="shared" si="6"/>
        <v>2123.13</v>
      </c>
      <c r="O14" s="3209">
        <v>0.6</v>
      </c>
      <c r="P14" s="3208">
        <f t="shared" si="7"/>
        <v>1273.8800000000001</v>
      </c>
      <c r="Q14" s="3210">
        <f t="shared" si="8"/>
        <v>119.29</v>
      </c>
      <c r="S14" s="3189">
        <f t="shared" si="9"/>
        <v>1812.29</v>
      </c>
    </row>
    <row r="15" spans="1:19" ht="22.5" customHeight="1">
      <c r="A15" s="3212"/>
      <c r="B15" s="3193">
        <f>'数据-基础表'!C25</f>
        <v>6</v>
      </c>
      <c r="C15" s="3193" t="s">
        <v>3071</v>
      </c>
      <c r="D15" s="3228" t="s">
        <v>3094</v>
      </c>
      <c r="E15" s="3232"/>
      <c r="F15" s="3195">
        <f>'数据-基础表'!G25</f>
        <v>2337.85</v>
      </c>
      <c r="G15" s="3200">
        <f>G5</f>
        <v>1350</v>
      </c>
      <c r="H15" s="3202">
        <f t="shared" si="0"/>
        <v>202.5</v>
      </c>
      <c r="I15" s="3202">
        <f t="shared" si="1"/>
        <v>1552.5</v>
      </c>
      <c r="J15" s="3202">
        <f t="shared" si="2"/>
        <v>46.575000000000003</v>
      </c>
      <c r="K15" s="3202">
        <f t="shared" si="3"/>
        <v>31.98</v>
      </c>
      <c r="L15" s="3202">
        <f t="shared" si="4"/>
        <v>35.1</v>
      </c>
      <c r="M15" s="3202">
        <f t="shared" si="5"/>
        <v>244.66</v>
      </c>
      <c r="N15" s="3202">
        <f t="shared" si="6"/>
        <v>1910.8150000000001</v>
      </c>
      <c r="O15" s="3203">
        <v>0.5</v>
      </c>
      <c r="P15" s="3202">
        <f t="shared" si="7"/>
        <v>955.41</v>
      </c>
      <c r="Q15" s="3204">
        <f t="shared" si="8"/>
        <v>223.36</v>
      </c>
      <c r="S15" s="3189">
        <f t="shared" si="9"/>
        <v>1631.0550000000001</v>
      </c>
    </row>
    <row r="16" spans="1:19" ht="22.5" customHeight="1">
      <c r="A16" s="3199"/>
      <c r="B16" s="3193">
        <f>'数据-基础表'!C26</f>
        <v>8</v>
      </c>
      <c r="C16" s="3218" t="s">
        <v>3071</v>
      </c>
      <c r="D16" s="3228" t="s">
        <v>3094</v>
      </c>
      <c r="E16" s="3233"/>
      <c r="F16" s="3195">
        <f>'数据-基础表'!G26</f>
        <v>4914.7</v>
      </c>
      <c r="G16" s="3200">
        <f>G5</f>
        <v>1350</v>
      </c>
      <c r="H16" s="3202">
        <f t="shared" si="0"/>
        <v>202.5</v>
      </c>
      <c r="I16" s="3202">
        <f t="shared" si="1"/>
        <v>1552.5</v>
      </c>
      <c r="J16" s="3202">
        <f t="shared" si="2"/>
        <v>46.575000000000003</v>
      </c>
      <c r="K16" s="3202">
        <f t="shared" si="3"/>
        <v>31.98</v>
      </c>
      <c r="L16" s="3202">
        <f t="shared" si="4"/>
        <v>35.1</v>
      </c>
      <c r="M16" s="3202">
        <f t="shared" si="5"/>
        <v>244.66</v>
      </c>
      <c r="N16" s="3202">
        <f t="shared" si="6"/>
        <v>1910.8150000000001</v>
      </c>
      <c r="O16" s="3203">
        <v>0.6</v>
      </c>
      <c r="P16" s="3202">
        <f t="shared" si="7"/>
        <v>1146.49</v>
      </c>
      <c r="Q16" s="3204">
        <f t="shared" si="8"/>
        <v>563.47</v>
      </c>
      <c r="S16" s="3189">
        <f t="shared" si="9"/>
        <v>1631.0550000000001</v>
      </c>
    </row>
    <row r="17" spans="1:19" ht="22.5" customHeight="1">
      <c r="A17" s="3199"/>
      <c r="B17" s="3193">
        <f>'数据-基础表'!C27</f>
        <v>9</v>
      </c>
      <c r="C17" s="3193" t="s">
        <v>3071</v>
      </c>
      <c r="D17" s="3228" t="s">
        <v>3094</v>
      </c>
      <c r="E17" s="3232"/>
      <c r="F17" s="3195">
        <f>'数据-基础表'!G27</f>
        <v>256.02</v>
      </c>
      <c r="G17" s="3200">
        <f>G5</f>
        <v>1350</v>
      </c>
      <c r="H17" s="3202">
        <f t="shared" si="0"/>
        <v>202.5</v>
      </c>
      <c r="I17" s="3202">
        <f t="shared" si="1"/>
        <v>1552.5</v>
      </c>
      <c r="J17" s="3202">
        <f t="shared" si="2"/>
        <v>46.575000000000003</v>
      </c>
      <c r="K17" s="3202">
        <f t="shared" si="3"/>
        <v>31.98</v>
      </c>
      <c r="L17" s="3202">
        <f t="shared" si="4"/>
        <v>35.1</v>
      </c>
      <c r="M17" s="3202">
        <f t="shared" si="5"/>
        <v>244.66</v>
      </c>
      <c r="N17" s="3202">
        <f t="shared" si="6"/>
        <v>1910.8150000000001</v>
      </c>
      <c r="O17" s="3203">
        <v>0.6</v>
      </c>
      <c r="P17" s="3202">
        <f t="shared" si="7"/>
        <v>1146.49</v>
      </c>
      <c r="Q17" s="3204">
        <f t="shared" si="8"/>
        <v>29.35</v>
      </c>
      <c r="S17" s="3189">
        <f t="shared" si="9"/>
        <v>1631.0550000000001</v>
      </c>
    </row>
    <row r="18" spans="1:19" ht="22.5" customHeight="1">
      <c r="A18" s="3205"/>
      <c r="B18" s="3193">
        <f>'数据-基础表'!C28</f>
        <v>10</v>
      </c>
      <c r="C18" s="3200" t="s">
        <v>3071</v>
      </c>
      <c r="D18" s="3227" t="s">
        <v>3094</v>
      </c>
      <c r="E18" s="3233"/>
      <c r="F18" s="3195">
        <f>'数据-基础表'!G28</f>
        <v>1016.6</v>
      </c>
      <c r="G18" s="3206">
        <f>G5</f>
        <v>1350</v>
      </c>
      <c r="H18" s="3208">
        <f t="shared" si="0"/>
        <v>202.5</v>
      </c>
      <c r="I18" s="3208">
        <f t="shared" si="1"/>
        <v>1552.5</v>
      </c>
      <c r="J18" s="3208">
        <f t="shared" si="2"/>
        <v>46.575000000000003</v>
      </c>
      <c r="K18" s="3208">
        <f t="shared" si="3"/>
        <v>31.98</v>
      </c>
      <c r="L18" s="3208">
        <f t="shared" si="4"/>
        <v>35.1</v>
      </c>
      <c r="M18" s="3208">
        <f t="shared" si="5"/>
        <v>244.66</v>
      </c>
      <c r="N18" s="3208">
        <f t="shared" si="6"/>
        <v>1910.8150000000001</v>
      </c>
      <c r="O18" s="3209">
        <v>0.6</v>
      </c>
      <c r="P18" s="3208">
        <f t="shared" si="7"/>
        <v>1146.49</v>
      </c>
      <c r="Q18" s="3210">
        <f t="shared" si="8"/>
        <v>116.55</v>
      </c>
      <c r="S18" s="3189">
        <f t="shared" si="9"/>
        <v>1631.0550000000001</v>
      </c>
    </row>
    <row r="19" spans="1:19" ht="22.5" customHeight="1">
      <c r="A19" s="3212"/>
      <c r="B19" s="3193">
        <f>'数据-基础表'!C29</f>
        <v>14</v>
      </c>
      <c r="C19" s="3193" t="s">
        <v>3071</v>
      </c>
      <c r="D19" s="3228" t="s">
        <v>3094</v>
      </c>
      <c r="E19" s="3232"/>
      <c r="F19" s="3195">
        <f>'数据-基础表'!G29</f>
        <v>153.69999999999999</v>
      </c>
      <c r="G19" s="3200">
        <f>G5</f>
        <v>1350</v>
      </c>
      <c r="H19" s="3202">
        <f t="shared" si="0"/>
        <v>202.5</v>
      </c>
      <c r="I19" s="3202">
        <f t="shared" si="1"/>
        <v>1552.5</v>
      </c>
      <c r="J19" s="3202">
        <f t="shared" si="2"/>
        <v>46.575000000000003</v>
      </c>
      <c r="K19" s="3202">
        <f t="shared" si="3"/>
        <v>31.98</v>
      </c>
      <c r="L19" s="3202">
        <f t="shared" si="4"/>
        <v>35.1</v>
      </c>
      <c r="M19" s="3202">
        <f t="shared" si="5"/>
        <v>244.66</v>
      </c>
      <c r="N19" s="3202">
        <f t="shared" si="6"/>
        <v>1910.8150000000001</v>
      </c>
      <c r="O19" s="3203">
        <v>0.65</v>
      </c>
      <c r="P19" s="3202">
        <f t="shared" si="7"/>
        <v>1242.03</v>
      </c>
      <c r="Q19" s="3204">
        <f t="shared" si="8"/>
        <v>19.09</v>
      </c>
      <c r="S19" s="3189">
        <f t="shared" si="9"/>
        <v>1631.0550000000001</v>
      </c>
    </row>
    <row r="20" spans="1:19" ht="22.5" customHeight="1">
      <c r="A20" s="3205"/>
      <c r="B20" s="3193">
        <f>'数据-基础表'!C30</f>
        <v>15</v>
      </c>
      <c r="C20" s="3200" t="s">
        <v>3071</v>
      </c>
      <c r="D20" s="3227" t="s">
        <v>3093</v>
      </c>
      <c r="E20" s="3233"/>
      <c r="F20" s="3195">
        <f>'数据-基础表'!G30</f>
        <v>153.4</v>
      </c>
      <c r="G20" s="3231">
        <f>G4</f>
        <v>1500</v>
      </c>
      <c r="H20" s="3208">
        <f t="shared" si="0"/>
        <v>225</v>
      </c>
      <c r="I20" s="3208">
        <f t="shared" si="1"/>
        <v>1725</v>
      </c>
      <c r="J20" s="3208">
        <f t="shared" si="2"/>
        <v>51.75</v>
      </c>
      <c r="K20" s="3208">
        <f t="shared" si="3"/>
        <v>35.54</v>
      </c>
      <c r="L20" s="3208">
        <f t="shared" si="4"/>
        <v>39</v>
      </c>
      <c r="M20" s="3208">
        <f t="shared" si="5"/>
        <v>271.83999999999997</v>
      </c>
      <c r="N20" s="3208">
        <f t="shared" si="6"/>
        <v>2123.13</v>
      </c>
      <c r="O20" s="3209">
        <v>0.6</v>
      </c>
      <c r="P20" s="3208">
        <f t="shared" si="7"/>
        <v>1273.8800000000001</v>
      </c>
      <c r="Q20" s="3210">
        <f t="shared" si="8"/>
        <v>19.54</v>
      </c>
      <c r="S20" s="3189">
        <f t="shared" si="9"/>
        <v>1812.29</v>
      </c>
    </row>
    <row r="21" spans="1:19" ht="22.5" customHeight="1">
      <c r="A21" s="3199"/>
      <c r="B21" s="3193">
        <f>'数据-基础表'!C31</f>
        <v>35</v>
      </c>
      <c r="C21" s="3193" t="s">
        <v>3071</v>
      </c>
      <c r="D21" s="3201" t="s">
        <v>3097</v>
      </c>
      <c r="E21" s="3232"/>
      <c r="F21" s="3195">
        <f>'数据-基础表'!G31</f>
        <v>2911</v>
      </c>
      <c r="G21" s="3230">
        <f>G4</f>
        <v>1500</v>
      </c>
      <c r="H21" s="3202">
        <f t="shared" si="0"/>
        <v>225</v>
      </c>
      <c r="I21" s="3202">
        <f t="shared" si="1"/>
        <v>1725</v>
      </c>
      <c r="J21" s="3202">
        <f t="shared" si="2"/>
        <v>51.75</v>
      </c>
      <c r="K21" s="3202">
        <f t="shared" si="3"/>
        <v>35.54</v>
      </c>
      <c r="L21" s="3202">
        <f t="shared" si="4"/>
        <v>39</v>
      </c>
      <c r="M21" s="3202">
        <f t="shared" si="5"/>
        <v>271.83999999999997</v>
      </c>
      <c r="N21" s="3202">
        <f t="shared" si="6"/>
        <v>2123.13</v>
      </c>
      <c r="O21" s="3203">
        <v>0.65</v>
      </c>
      <c r="P21" s="3202">
        <f t="shared" si="7"/>
        <v>1380.03</v>
      </c>
      <c r="Q21" s="3204">
        <f t="shared" si="8"/>
        <v>401.73</v>
      </c>
      <c r="S21" s="3189">
        <f t="shared" si="9"/>
        <v>1812.29</v>
      </c>
    </row>
    <row r="22" spans="1:19" ht="22.5" customHeight="1">
      <c r="A22" s="3205"/>
      <c r="B22" s="3193">
        <f>'数据-基础表'!C32</f>
        <v>36</v>
      </c>
      <c r="C22" s="3200" t="s">
        <v>3071</v>
      </c>
      <c r="D22" s="3227" t="s">
        <v>3098</v>
      </c>
      <c r="E22" s="3233"/>
      <c r="F22" s="3195">
        <f>'数据-基础表'!G32</f>
        <v>8518.06</v>
      </c>
      <c r="G22" s="3231">
        <f>G4</f>
        <v>1500</v>
      </c>
      <c r="H22" s="3208">
        <f t="shared" si="0"/>
        <v>225</v>
      </c>
      <c r="I22" s="3208">
        <f t="shared" si="1"/>
        <v>1725</v>
      </c>
      <c r="J22" s="3208">
        <f t="shared" si="2"/>
        <v>51.75</v>
      </c>
      <c r="K22" s="3208">
        <f t="shared" si="3"/>
        <v>35.54</v>
      </c>
      <c r="L22" s="3208">
        <f t="shared" si="4"/>
        <v>39</v>
      </c>
      <c r="M22" s="3208">
        <f t="shared" si="5"/>
        <v>271.83999999999997</v>
      </c>
      <c r="N22" s="3208">
        <f t="shared" si="6"/>
        <v>2123.13</v>
      </c>
      <c r="O22" s="3209">
        <v>0.65</v>
      </c>
      <c r="P22" s="3208">
        <f t="shared" si="7"/>
        <v>1380.03</v>
      </c>
      <c r="Q22" s="3210">
        <f t="shared" si="8"/>
        <v>1175.52</v>
      </c>
      <c r="S22" s="3189">
        <f t="shared" si="9"/>
        <v>1812.29</v>
      </c>
    </row>
    <row r="23" spans="1:19" ht="22.5" customHeight="1">
      <c r="A23" s="3199"/>
      <c r="B23" s="3193">
        <f>'数据-基础表'!C33</f>
        <v>1</v>
      </c>
      <c r="C23" s="3193" t="s">
        <v>3071</v>
      </c>
      <c r="D23" s="3201" t="s">
        <v>3099</v>
      </c>
      <c r="E23" s="3232"/>
      <c r="F23" s="3195">
        <f>'数据-基础表'!G33</f>
        <v>2478.5</v>
      </c>
      <c r="G23" s="3230">
        <f>G4</f>
        <v>1500</v>
      </c>
      <c r="H23" s="3202">
        <f t="shared" si="0"/>
        <v>225</v>
      </c>
      <c r="I23" s="3202">
        <f t="shared" si="1"/>
        <v>1725</v>
      </c>
      <c r="J23" s="3202">
        <f t="shared" si="2"/>
        <v>51.75</v>
      </c>
      <c r="K23" s="3202">
        <f t="shared" si="3"/>
        <v>35.54</v>
      </c>
      <c r="L23" s="3202">
        <f t="shared" si="4"/>
        <v>39</v>
      </c>
      <c r="M23" s="3202">
        <f t="shared" si="5"/>
        <v>271.83999999999997</v>
      </c>
      <c r="N23" s="3202">
        <f t="shared" si="6"/>
        <v>2123.13</v>
      </c>
      <c r="O23" s="3203">
        <v>0.65</v>
      </c>
      <c r="P23" s="3202">
        <f t="shared" si="7"/>
        <v>1380.03</v>
      </c>
      <c r="Q23" s="3204">
        <f t="shared" si="8"/>
        <v>342.04</v>
      </c>
      <c r="S23" s="3189">
        <f t="shared" si="9"/>
        <v>1812.29</v>
      </c>
    </row>
    <row r="24" spans="1:19" ht="22.5" customHeight="1">
      <c r="A24" s="3205"/>
      <c r="B24" s="3193">
        <f>'数据-基础表'!C34</f>
        <v>2</v>
      </c>
      <c r="C24" s="3200" t="s">
        <v>3071</v>
      </c>
      <c r="D24" s="3207" t="s">
        <v>3094</v>
      </c>
      <c r="E24" s="3233"/>
      <c r="F24" s="3195">
        <f>'数据-基础表'!G34</f>
        <v>686.9</v>
      </c>
      <c r="G24" s="3206">
        <f>G5</f>
        <v>1350</v>
      </c>
      <c r="H24" s="3208">
        <f t="shared" si="0"/>
        <v>202.5</v>
      </c>
      <c r="I24" s="3208">
        <f t="shared" si="1"/>
        <v>1552.5</v>
      </c>
      <c r="J24" s="3208">
        <f t="shared" si="2"/>
        <v>46.575000000000003</v>
      </c>
      <c r="K24" s="3208">
        <f t="shared" si="3"/>
        <v>31.98</v>
      </c>
      <c r="L24" s="3208">
        <f t="shared" si="4"/>
        <v>35.1</v>
      </c>
      <c r="M24" s="3208">
        <f t="shared" si="5"/>
        <v>244.66</v>
      </c>
      <c r="N24" s="3208">
        <f t="shared" si="6"/>
        <v>1910.8150000000001</v>
      </c>
      <c r="O24" s="3209">
        <v>0.65</v>
      </c>
      <c r="P24" s="3208">
        <f t="shared" si="7"/>
        <v>1242.03</v>
      </c>
      <c r="Q24" s="3210">
        <f t="shared" si="8"/>
        <v>85.32</v>
      </c>
      <c r="S24" s="3189">
        <f t="shared" si="9"/>
        <v>1631.0550000000001</v>
      </c>
    </row>
    <row r="25" spans="1:19" ht="22.5" customHeight="1">
      <c r="A25" s="3212"/>
      <c r="B25" s="3193">
        <f>'数据-基础表'!C35</f>
        <v>14</v>
      </c>
      <c r="C25" s="3193" t="s">
        <v>3071</v>
      </c>
      <c r="D25" s="3229"/>
      <c r="E25" s="3232"/>
      <c r="F25" s="3195">
        <f>'数据-基础表'!G35</f>
        <v>159.4</v>
      </c>
      <c r="G25" s="3200">
        <f>G5</f>
        <v>1350</v>
      </c>
      <c r="H25" s="3202">
        <f t="shared" si="0"/>
        <v>202.5</v>
      </c>
      <c r="I25" s="3202">
        <f t="shared" si="1"/>
        <v>1552.5</v>
      </c>
      <c r="J25" s="3202">
        <f t="shared" si="2"/>
        <v>46.575000000000003</v>
      </c>
      <c r="K25" s="3202">
        <f t="shared" si="3"/>
        <v>31.98</v>
      </c>
      <c r="L25" s="3202">
        <f t="shared" si="4"/>
        <v>35.1</v>
      </c>
      <c r="M25" s="3202">
        <f t="shared" si="5"/>
        <v>244.66</v>
      </c>
      <c r="N25" s="3202">
        <f t="shared" si="6"/>
        <v>1910.8150000000001</v>
      </c>
      <c r="O25" s="3203">
        <v>0.6</v>
      </c>
      <c r="P25" s="3202">
        <f t="shared" si="7"/>
        <v>1146.49</v>
      </c>
      <c r="Q25" s="3204">
        <f t="shared" si="8"/>
        <v>18.28</v>
      </c>
      <c r="S25" s="3189">
        <f t="shared" si="9"/>
        <v>1631.0550000000001</v>
      </c>
    </row>
    <row r="26" spans="1:19" ht="22.5" customHeight="1">
      <c r="A26" s="3205"/>
      <c r="B26" s="3193">
        <f>'数据-基础表'!C36</f>
        <v>16</v>
      </c>
      <c r="C26" s="3200" t="s">
        <v>3071</v>
      </c>
      <c r="D26" s="3229"/>
      <c r="E26" s="3233"/>
      <c r="F26" s="3195">
        <f>'数据-基础表'!G36</f>
        <v>870.3</v>
      </c>
      <c r="G26" s="3206">
        <f>G5</f>
        <v>1350</v>
      </c>
      <c r="H26" s="3208">
        <f t="shared" si="0"/>
        <v>202.5</v>
      </c>
      <c r="I26" s="3208">
        <f t="shared" si="1"/>
        <v>1552.5</v>
      </c>
      <c r="J26" s="3208">
        <f t="shared" si="2"/>
        <v>46.575000000000003</v>
      </c>
      <c r="K26" s="3208">
        <f t="shared" si="3"/>
        <v>31.98</v>
      </c>
      <c r="L26" s="3208">
        <f t="shared" si="4"/>
        <v>35.1</v>
      </c>
      <c r="M26" s="3208">
        <f t="shared" si="5"/>
        <v>244.66</v>
      </c>
      <c r="N26" s="3208">
        <f t="shared" si="6"/>
        <v>1910.8150000000001</v>
      </c>
      <c r="O26" s="3209">
        <v>0.6</v>
      </c>
      <c r="P26" s="3208">
        <f t="shared" si="7"/>
        <v>1146.49</v>
      </c>
      <c r="Q26" s="3210">
        <f t="shared" si="8"/>
        <v>99.78</v>
      </c>
      <c r="S26" s="3189">
        <f t="shared" si="9"/>
        <v>1631.0550000000001</v>
      </c>
    </row>
    <row r="27" spans="1:19" ht="22.5" hidden="1" customHeight="1">
      <c r="A27" s="3211"/>
      <c r="B27" s="3193">
        <f>'数据-基础表'!C37</f>
        <v>17</v>
      </c>
      <c r="C27" s="3193" t="s">
        <v>3071</v>
      </c>
      <c r="D27" s="3229"/>
      <c r="E27" s="3232"/>
      <c r="F27" s="3195">
        <f>'数据-基础表'!G37</f>
        <v>1116</v>
      </c>
      <c r="G27" s="3206"/>
      <c r="H27" s="3208">
        <f t="shared" si="0"/>
        <v>0</v>
      </c>
      <c r="I27" s="3208">
        <f t="shared" si="1"/>
        <v>0</v>
      </c>
      <c r="J27" s="3208">
        <f t="shared" si="2"/>
        <v>0</v>
      </c>
      <c r="K27" s="3208">
        <f t="shared" si="3"/>
        <v>0</v>
      </c>
      <c r="L27" s="3208">
        <f t="shared" si="4"/>
        <v>0</v>
      </c>
      <c r="M27" s="3208">
        <f t="shared" si="5"/>
        <v>0</v>
      </c>
      <c r="N27" s="3208">
        <f t="shared" si="6"/>
        <v>0</v>
      </c>
      <c r="O27" s="3209">
        <v>24.75</v>
      </c>
      <c r="P27" s="3208">
        <f t="shared" si="7"/>
        <v>0</v>
      </c>
      <c r="Q27" s="3210">
        <f t="shared" si="8"/>
        <v>0</v>
      </c>
      <c r="S27" s="3189">
        <f t="shared" si="9"/>
        <v>0</v>
      </c>
    </row>
    <row r="28" spans="1:19" ht="22.5" hidden="1" customHeight="1">
      <c r="A28" s="3211"/>
      <c r="B28" s="3193">
        <f>'数据-基础表'!C38</f>
        <v>18</v>
      </c>
      <c r="C28" s="3200" t="s">
        <v>3071</v>
      </c>
      <c r="D28" s="3229"/>
      <c r="E28" s="3233"/>
      <c r="F28" s="3195">
        <f>'数据-基础表'!G38</f>
        <v>286.39999999999998</v>
      </c>
      <c r="G28" s="3206"/>
      <c r="H28" s="3208">
        <f t="shared" si="0"/>
        <v>0</v>
      </c>
      <c r="I28" s="3208">
        <f t="shared" si="1"/>
        <v>0</v>
      </c>
      <c r="J28" s="3208">
        <f t="shared" si="2"/>
        <v>0</v>
      </c>
      <c r="K28" s="3208">
        <f t="shared" si="3"/>
        <v>0</v>
      </c>
      <c r="L28" s="3208">
        <f t="shared" si="4"/>
        <v>0</v>
      </c>
      <c r="M28" s="3208">
        <f t="shared" si="5"/>
        <v>0</v>
      </c>
      <c r="N28" s="3208">
        <f t="shared" si="6"/>
        <v>0</v>
      </c>
      <c r="O28" s="3209">
        <v>25.75</v>
      </c>
      <c r="P28" s="3208">
        <f t="shared" si="7"/>
        <v>0</v>
      </c>
      <c r="Q28" s="3210">
        <f t="shared" si="8"/>
        <v>0</v>
      </c>
      <c r="S28" s="3189">
        <f t="shared" si="9"/>
        <v>0</v>
      </c>
    </row>
    <row r="29" spans="1:19" ht="22.5" customHeight="1">
      <c r="A29" s="3199"/>
      <c r="B29" s="3193">
        <f>'数据-基础表'!C39</f>
        <v>20</v>
      </c>
      <c r="C29" s="3193" t="s">
        <v>3071</v>
      </c>
      <c r="D29" s="3229"/>
      <c r="E29" s="3232"/>
      <c r="F29" s="3195">
        <f>'数据-基础表'!G39</f>
        <v>1420.7</v>
      </c>
      <c r="G29" s="3200">
        <f>G5</f>
        <v>1350</v>
      </c>
      <c r="H29" s="3202">
        <f t="shared" si="0"/>
        <v>202.5</v>
      </c>
      <c r="I29" s="3202">
        <f t="shared" si="1"/>
        <v>1552.5</v>
      </c>
      <c r="J29" s="3202">
        <f t="shared" si="2"/>
        <v>46.575000000000003</v>
      </c>
      <c r="K29" s="3202">
        <f t="shared" si="3"/>
        <v>31.98</v>
      </c>
      <c r="L29" s="3202">
        <f t="shared" si="4"/>
        <v>35.1</v>
      </c>
      <c r="M29" s="3202">
        <f t="shared" si="5"/>
        <v>244.66</v>
      </c>
      <c r="N29" s="3202">
        <f t="shared" si="6"/>
        <v>1910.8150000000001</v>
      </c>
      <c r="O29" s="3203">
        <v>0.6</v>
      </c>
      <c r="P29" s="3202">
        <f t="shared" si="7"/>
        <v>1146.49</v>
      </c>
      <c r="Q29" s="3204">
        <f t="shared" si="8"/>
        <v>162.88</v>
      </c>
      <c r="S29" s="3189">
        <f t="shared" si="9"/>
        <v>1631.0550000000001</v>
      </c>
    </row>
    <row r="30" spans="1:19" ht="22.5" customHeight="1">
      <c r="A30" s="3211"/>
      <c r="B30" s="3193">
        <f>'数据-基础表'!C40</f>
        <v>24</v>
      </c>
      <c r="C30" s="3200" t="s">
        <v>3071</v>
      </c>
      <c r="D30" s="3229"/>
      <c r="E30" s="3233"/>
      <c r="F30" s="3195">
        <f>'数据-基础表'!G40</f>
        <v>40.799999999999997</v>
      </c>
      <c r="G30" s="3206">
        <f>G5</f>
        <v>1350</v>
      </c>
      <c r="H30" s="3208">
        <f t="shared" si="0"/>
        <v>202.5</v>
      </c>
      <c r="I30" s="3208">
        <f t="shared" si="1"/>
        <v>1552.5</v>
      </c>
      <c r="J30" s="3208">
        <f t="shared" si="2"/>
        <v>46.575000000000003</v>
      </c>
      <c r="K30" s="3208">
        <f t="shared" si="3"/>
        <v>31.98</v>
      </c>
      <c r="L30" s="3208">
        <f t="shared" si="4"/>
        <v>35.1</v>
      </c>
      <c r="M30" s="3208">
        <f t="shared" si="5"/>
        <v>244.66</v>
      </c>
      <c r="N30" s="3208">
        <f t="shared" si="6"/>
        <v>1910.8150000000001</v>
      </c>
      <c r="O30" s="3209">
        <v>0.65</v>
      </c>
      <c r="P30" s="3208">
        <f t="shared" si="7"/>
        <v>1242.03</v>
      </c>
      <c r="Q30" s="3210">
        <f t="shared" si="8"/>
        <v>5.07</v>
      </c>
      <c r="S30" s="3189">
        <f t="shared" si="9"/>
        <v>1631.0550000000001</v>
      </c>
    </row>
    <row r="31" spans="1:19" ht="22.5" customHeight="1">
      <c r="A31" s="3212"/>
      <c r="B31" s="3193">
        <f>'数据-基础表'!C41</f>
        <v>25</v>
      </c>
      <c r="C31" s="3193" t="s">
        <v>3071</v>
      </c>
      <c r="D31" s="3229"/>
      <c r="E31" s="3232"/>
      <c r="F31" s="3195">
        <f>'数据-基础表'!G41</f>
        <v>191.5</v>
      </c>
      <c r="G31" s="3200">
        <f>G5</f>
        <v>1350</v>
      </c>
      <c r="H31" s="3202">
        <f t="shared" si="0"/>
        <v>202.5</v>
      </c>
      <c r="I31" s="3202">
        <f t="shared" si="1"/>
        <v>1552.5</v>
      </c>
      <c r="J31" s="3202">
        <f t="shared" si="2"/>
        <v>46.575000000000003</v>
      </c>
      <c r="K31" s="3202">
        <f t="shared" si="3"/>
        <v>31.98</v>
      </c>
      <c r="L31" s="3202">
        <f t="shared" si="4"/>
        <v>35.1</v>
      </c>
      <c r="M31" s="3202">
        <f t="shared" si="5"/>
        <v>244.66</v>
      </c>
      <c r="N31" s="3202">
        <f t="shared" si="6"/>
        <v>1910.8150000000001</v>
      </c>
      <c r="O31" s="3203">
        <v>0.65</v>
      </c>
      <c r="P31" s="3202">
        <f t="shared" si="7"/>
        <v>1242.03</v>
      </c>
      <c r="Q31" s="3204">
        <f t="shared" si="8"/>
        <v>23.78</v>
      </c>
      <c r="S31" s="3189">
        <f t="shared" si="9"/>
        <v>1631.0550000000001</v>
      </c>
    </row>
    <row r="32" spans="1:19" ht="22.5" customHeight="1">
      <c r="A32" s="3211"/>
      <c r="B32" s="3193">
        <f>'数据-基础表'!C42</f>
        <v>26</v>
      </c>
      <c r="C32" s="3200" t="s">
        <v>3071</v>
      </c>
      <c r="D32" s="3229"/>
      <c r="E32" s="3233"/>
      <c r="F32" s="3195">
        <f>'数据-基础表'!G42</f>
        <v>246.9</v>
      </c>
      <c r="G32" s="3206">
        <f>G5</f>
        <v>1350</v>
      </c>
      <c r="H32" s="3208">
        <f t="shared" si="0"/>
        <v>202.5</v>
      </c>
      <c r="I32" s="3208">
        <f t="shared" si="1"/>
        <v>1552.5</v>
      </c>
      <c r="J32" s="3208">
        <f t="shared" si="2"/>
        <v>46.575000000000003</v>
      </c>
      <c r="K32" s="3208">
        <f t="shared" si="3"/>
        <v>31.98</v>
      </c>
      <c r="L32" s="3208">
        <f t="shared" si="4"/>
        <v>35.1</v>
      </c>
      <c r="M32" s="3208">
        <f t="shared" si="5"/>
        <v>244.66</v>
      </c>
      <c r="N32" s="3208">
        <f t="shared" si="6"/>
        <v>1910.8150000000001</v>
      </c>
      <c r="O32" s="3209">
        <v>0.6</v>
      </c>
      <c r="P32" s="3208">
        <f t="shared" si="7"/>
        <v>1146.49</v>
      </c>
      <c r="Q32" s="3210">
        <f t="shared" si="8"/>
        <v>28.31</v>
      </c>
      <c r="S32" s="3189">
        <f t="shared" si="9"/>
        <v>1631.0550000000001</v>
      </c>
    </row>
    <row r="33" spans="1:19" ht="22.5" customHeight="1">
      <c r="A33" s="3212"/>
      <c r="B33" s="3193">
        <f>'数据-基础表'!C43</f>
        <v>28</v>
      </c>
      <c r="C33" s="3193" t="s">
        <v>3071</v>
      </c>
      <c r="D33" s="3229"/>
      <c r="E33" s="3232"/>
      <c r="F33" s="3195">
        <f>'数据-基础表'!G43</f>
        <v>64.2</v>
      </c>
      <c r="G33" s="3200">
        <f>G5</f>
        <v>1350</v>
      </c>
      <c r="H33" s="3202">
        <f t="shared" si="0"/>
        <v>202.5</v>
      </c>
      <c r="I33" s="3202">
        <f t="shared" si="1"/>
        <v>1552.5</v>
      </c>
      <c r="J33" s="3202">
        <f t="shared" si="2"/>
        <v>46.575000000000003</v>
      </c>
      <c r="K33" s="3202">
        <f t="shared" si="3"/>
        <v>31.98</v>
      </c>
      <c r="L33" s="3202">
        <f t="shared" si="4"/>
        <v>35.1</v>
      </c>
      <c r="M33" s="3202">
        <f t="shared" si="5"/>
        <v>244.66</v>
      </c>
      <c r="N33" s="3202">
        <f t="shared" si="6"/>
        <v>1910.8150000000001</v>
      </c>
      <c r="O33" s="3203">
        <v>0.65</v>
      </c>
      <c r="P33" s="3202">
        <f t="shared" si="7"/>
        <v>1242.03</v>
      </c>
      <c r="Q33" s="3204">
        <f t="shared" si="8"/>
        <v>7.97</v>
      </c>
      <c r="S33" s="3189">
        <f t="shared" si="9"/>
        <v>1631.0550000000001</v>
      </c>
    </row>
    <row r="34" spans="1:19" ht="22.5" customHeight="1">
      <c r="A34" s="3211"/>
      <c r="B34" s="3193">
        <f>'数据-基础表'!C44</f>
        <v>44</v>
      </c>
      <c r="C34" s="3200" t="s">
        <v>3071</v>
      </c>
      <c r="D34" s="3227" t="s">
        <v>3094</v>
      </c>
      <c r="E34" s="3233"/>
      <c r="F34" s="3195">
        <f>'数据-基础表'!G44</f>
        <v>267.10000000000002</v>
      </c>
      <c r="G34" s="3206">
        <f>G5</f>
        <v>1350</v>
      </c>
      <c r="H34" s="3208">
        <f t="shared" si="0"/>
        <v>202.5</v>
      </c>
      <c r="I34" s="3208">
        <f t="shared" si="1"/>
        <v>1552.5</v>
      </c>
      <c r="J34" s="3208">
        <f t="shared" si="2"/>
        <v>46.575000000000003</v>
      </c>
      <c r="K34" s="3208">
        <f t="shared" si="3"/>
        <v>31.98</v>
      </c>
      <c r="L34" s="3208">
        <f t="shared" si="4"/>
        <v>35.1</v>
      </c>
      <c r="M34" s="3208">
        <f t="shared" si="5"/>
        <v>244.66</v>
      </c>
      <c r="N34" s="3208">
        <f t="shared" si="6"/>
        <v>1910.8150000000001</v>
      </c>
      <c r="O34" s="3209">
        <v>0.65</v>
      </c>
      <c r="P34" s="3208">
        <f t="shared" si="7"/>
        <v>1242.03</v>
      </c>
      <c r="Q34" s="3210">
        <f t="shared" si="8"/>
        <v>33.17</v>
      </c>
      <c r="S34" s="3189">
        <f t="shared" si="9"/>
        <v>1631.0550000000001</v>
      </c>
    </row>
    <row r="35" spans="1:19" ht="22.5" customHeight="1">
      <c r="A35" s="3212"/>
      <c r="B35" s="3193">
        <f>'数据-基础表'!C45</f>
        <v>37</v>
      </c>
      <c r="C35" s="3193" t="s">
        <v>3071</v>
      </c>
      <c r="D35" s="3228" t="s">
        <v>3094</v>
      </c>
      <c r="E35" s="3232"/>
      <c r="F35" s="3195">
        <f>'数据-基础表'!G45</f>
        <v>309.87</v>
      </c>
      <c r="G35" s="3200">
        <f>G5</f>
        <v>1350</v>
      </c>
      <c r="H35" s="3202">
        <f t="shared" si="0"/>
        <v>202.5</v>
      </c>
      <c r="I35" s="3202">
        <f t="shared" si="1"/>
        <v>1552.5</v>
      </c>
      <c r="J35" s="3202">
        <f t="shared" si="2"/>
        <v>46.575000000000003</v>
      </c>
      <c r="K35" s="3202">
        <f t="shared" si="3"/>
        <v>31.98</v>
      </c>
      <c r="L35" s="3202">
        <f t="shared" si="4"/>
        <v>35.1</v>
      </c>
      <c r="M35" s="3202">
        <f t="shared" si="5"/>
        <v>244.66</v>
      </c>
      <c r="N35" s="3202">
        <f t="shared" si="6"/>
        <v>1910.8150000000001</v>
      </c>
      <c r="O35" s="3203">
        <v>0.65</v>
      </c>
      <c r="P35" s="3202">
        <f t="shared" si="7"/>
        <v>1242.03</v>
      </c>
      <c r="Q35" s="3204">
        <f t="shared" si="8"/>
        <v>38.49</v>
      </c>
      <c r="S35" s="3189">
        <f t="shared" si="9"/>
        <v>1631.0550000000001</v>
      </c>
    </row>
    <row r="36" spans="1:19" ht="22.5" customHeight="1">
      <c r="A36" s="3205"/>
      <c r="B36" s="3193">
        <f>'数据-基础表'!C46</f>
        <v>38</v>
      </c>
      <c r="C36" s="3200" t="s">
        <v>3071</v>
      </c>
      <c r="D36" s="3227" t="s">
        <v>3094</v>
      </c>
      <c r="E36" s="3233"/>
      <c r="F36" s="3195">
        <f>'数据-基础表'!G46</f>
        <v>2031.58</v>
      </c>
      <c r="G36" s="3206">
        <f>G5</f>
        <v>1350</v>
      </c>
      <c r="H36" s="3208">
        <f t="shared" si="0"/>
        <v>202.5</v>
      </c>
      <c r="I36" s="3208">
        <f t="shared" si="1"/>
        <v>1552.5</v>
      </c>
      <c r="J36" s="3208">
        <f t="shared" si="2"/>
        <v>46.575000000000003</v>
      </c>
      <c r="K36" s="3208">
        <f t="shared" si="3"/>
        <v>31.98</v>
      </c>
      <c r="L36" s="3208">
        <f t="shared" si="4"/>
        <v>35.1</v>
      </c>
      <c r="M36" s="3208">
        <f t="shared" si="5"/>
        <v>244.66</v>
      </c>
      <c r="N36" s="3208">
        <f t="shared" si="6"/>
        <v>1910.8150000000001</v>
      </c>
      <c r="O36" s="3209">
        <v>0.6</v>
      </c>
      <c r="P36" s="3208">
        <f t="shared" si="7"/>
        <v>1146.49</v>
      </c>
      <c r="Q36" s="3210">
        <f t="shared" si="8"/>
        <v>232.92</v>
      </c>
      <c r="S36" s="3189">
        <f t="shared" si="9"/>
        <v>1631.0550000000001</v>
      </c>
    </row>
    <row r="37" spans="1:19" ht="22.5" customHeight="1">
      <c r="A37" s="3199"/>
      <c r="B37" s="3193">
        <f>'数据-基础表'!C47</f>
        <v>46</v>
      </c>
      <c r="C37" s="3193" t="s">
        <v>3071</v>
      </c>
      <c r="D37" s="3228" t="s">
        <v>3094</v>
      </c>
      <c r="E37" s="3232"/>
      <c r="F37" s="3195">
        <f>'数据-基础表'!G47</f>
        <v>999.96</v>
      </c>
      <c r="G37" s="3200">
        <f>G5</f>
        <v>1350</v>
      </c>
      <c r="H37" s="3202">
        <f t="shared" si="0"/>
        <v>202.5</v>
      </c>
      <c r="I37" s="3202">
        <f t="shared" si="1"/>
        <v>1552.5</v>
      </c>
      <c r="J37" s="3202">
        <f t="shared" si="2"/>
        <v>46.575000000000003</v>
      </c>
      <c r="K37" s="3202">
        <f t="shared" si="3"/>
        <v>31.98</v>
      </c>
      <c r="L37" s="3202">
        <f t="shared" si="4"/>
        <v>35.1</v>
      </c>
      <c r="M37" s="3202">
        <f t="shared" si="5"/>
        <v>244.66</v>
      </c>
      <c r="N37" s="3202">
        <f t="shared" si="6"/>
        <v>1910.8150000000001</v>
      </c>
      <c r="O37" s="3203">
        <v>0.6</v>
      </c>
      <c r="P37" s="3202">
        <f t="shared" si="7"/>
        <v>1146.49</v>
      </c>
      <c r="Q37" s="3204">
        <f t="shared" si="8"/>
        <v>114.64</v>
      </c>
      <c r="S37" s="3189">
        <f t="shared" si="9"/>
        <v>1631.0550000000001</v>
      </c>
    </row>
    <row r="38" spans="1:19" ht="22.5" customHeight="1" thickBot="1">
      <c r="A38" s="3211"/>
      <c r="B38" s="3193">
        <f>'数据-基础表'!C48</f>
        <v>47</v>
      </c>
      <c r="C38" s="3200" t="s">
        <v>3071</v>
      </c>
      <c r="D38" s="3207" t="s">
        <v>3094</v>
      </c>
      <c r="E38" s="3233"/>
      <c r="F38" s="3195">
        <f>'数据-基础表'!G48</f>
        <v>997.71</v>
      </c>
      <c r="G38" s="3206">
        <f>G5</f>
        <v>1350</v>
      </c>
      <c r="H38" s="3208">
        <f t="shared" si="0"/>
        <v>202.5</v>
      </c>
      <c r="I38" s="3208">
        <f t="shared" si="1"/>
        <v>1552.5</v>
      </c>
      <c r="J38" s="3208">
        <f t="shared" si="2"/>
        <v>46.575000000000003</v>
      </c>
      <c r="K38" s="3208">
        <f t="shared" si="3"/>
        <v>31.98</v>
      </c>
      <c r="L38" s="3208">
        <f t="shared" si="4"/>
        <v>35.1</v>
      </c>
      <c r="M38" s="3208">
        <f t="shared" si="5"/>
        <v>244.66</v>
      </c>
      <c r="N38" s="3208">
        <f t="shared" si="6"/>
        <v>1910.8150000000001</v>
      </c>
      <c r="O38" s="3209">
        <v>0.65</v>
      </c>
      <c r="P38" s="3208">
        <f t="shared" si="7"/>
        <v>1242.03</v>
      </c>
      <c r="Q38" s="3210">
        <f t="shared" si="8"/>
        <v>123.92</v>
      </c>
      <c r="S38" s="3190">
        <f t="shared" si="9"/>
        <v>1631.0550000000001</v>
      </c>
    </row>
    <row r="39" spans="1:19" ht="22.5" customHeight="1" thickTop="1" thickBot="1">
      <c r="A39" s="3213" t="s">
        <v>3072</v>
      </c>
      <c r="B39" s="3214"/>
      <c r="C39" s="3214"/>
      <c r="D39" s="3215"/>
      <c r="E39" s="3214"/>
      <c r="F39" s="3216">
        <f>SUM(F3:F38)</f>
        <v>57858.8</v>
      </c>
      <c r="G39" s="3214"/>
      <c r="H39" s="3214"/>
      <c r="I39" s="3214"/>
      <c r="J39" s="3214"/>
      <c r="K39" s="3214"/>
      <c r="L39" s="3214"/>
      <c r="M39" s="3214"/>
      <c r="N39" s="3214"/>
      <c r="O39" s="3214"/>
      <c r="P39" s="3214"/>
      <c r="Q39" s="3217">
        <f>SUM(Q3:Q38)</f>
        <v>9420.17</v>
      </c>
    </row>
  </sheetData>
  <mergeCells count="17">
    <mergeCell ref="L1:L2"/>
    <mergeCell ref="A1:A2"/>
    <mergeCell ref="B1:B2"/>
    <mergeCell ref="C1:C2"/>
    <mergeCell ref="D1:D2"/>
    <mergeCell ref="E1:E2"/>
    <mergeCell ref="F1:F2"/>
    <mergeCell ref="G1:G2"/>
    <mergeCell ref="H1:H2"/>
    <mergeCell ref="I1:I2"/>
    <mergeCell ref="J1:J2"/>
    <mergeCell ref="K1:K2"/>
    <mergeCell ref="M1:M2"/>
    <mergeCell ref="N1:N2"/>
    <mergeCell ref="O1:O2"/>
    <mergeCell ref="P1:P2"/>
    <mergeCell ref="Q1:Q2"/>
  </mergeCells>
  <phoneticPr fontId="2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D4" sqref="D4:E4"/>
    </sheetView>
  </sheetViews>
  <sheetFormatPr defaultRowHeight="13.5"/>
  <cols>
    <col min="1" max="1" width="9" style="3189"/>
    <col min="2" max="2" width="18.875" style="3189" customWidth="1"/>
    <col min="3" max="3" width="13.125" style="3189" customWidth="1"/>
    <col min="4" max="4" width="12.75" style="3189" bestFit="1" customWidth="1"/>
    <col min="5" max="5" width="11.25" style="3189" customWidth="1"/>
    <col min="6" max="6" width="11.75" style="3189" customWidth="1"/>
    <col min="7" max="7" width="9" style="3189"/>
    <col min="8" max="8" width="9.5" style="3189" bestFit="1" customWidth="1"/>
    <col min="9" max="16384" width="9" style="3189"/>
  </cols>
  <sheetData>
    <row r="2" spans="2:7" ht="27" customHeight="1">
      <c r="B2" s="3518" t="s">
        <v>3073</v>
      </c>
      <c r="C2" s="3518"/>
      <c r="D2" s="3518"/>
      <c r="E2" s="3518"/>
    </row>
    <row r="3" spans="2:7">
      <c r="B3" s="3519" t="s">
        <v>3074</v>
      </c>
      <c r="C3" s="3519"/>
      <c r="D3" s="3520">
        <f>租金!C46</f>
        <v>0.9</v>
      </c>
      <c r="E3" s="3520"/>
    </row>
    <row r="4" spans="2:7">
      <c r="B4" s="3519" t="s">
        <v>3075</v>
      </c>
      <c r="C4" s="3519"/>
      <c r="D4" s="3520">
        <v>30</v>
      </c>
      <c r="E4" s="3520"/>
    </row>
    <row r="5" spans="2:7">
      <c r="B5" s="3519" t="s">
        <v>3076</v>
      </c>
      <c r="C5" s="3519"/>
      <c r="D5" s="3520">
        <f>项目基本情况!C21</f>
        <v>57858.8</v>
      </c>
      <c r="E5" s="3520"/>
    </row>
    <row r="6" spans="2:7">
      <c r="B6" s="3519" t="s">
        <v>3052</v>
      </c>
      <c r="C6" s="3519"/>
      <c r="D6" s="3520">
        <f>ROUND(D3*D4*D5/10000,2)</f>
        <v>156.22</v>
      </c>
      <c r="E6" s="3520"/>
    </row>
    <row r="8" spans="2:7" ht="27" customHeight="1">
      <c r="B8" s="3518" t="s">
        <v>3077</v>
      </c>
      <c r="C8" s="3518"/>
      <c r="D8" s="3518"/>
      <c r="E8" s="3518"/>
      <c r="G8" s="3191" t="s">
        <v>3078</v>
      </c>
    </row>
    <row r="9" spans="2:7">
      <c r="B9" s="3220"/>
      <c r="C9" s="3221" t="s">
        <v>3079</v>
      </c>
      <c r="D9" s="3222" t="s">
        <v>3080</v>
      </c>
      <c r="E9" s="3222" t="s">
        <v>3081</v>
      </c>
      <c r="G9" s="3223">
        <f>ROUND((D6+C14+D19)*D24,2)</f>
        <v>1124.78</v>
      </c>
    </row>
    <row r="10" spans="2:7">
      <c r="B10" s="3220" t="s">
        <v>3082</v>
      </c>
      <c r="C10" s="3224"/>
      <c r="D10" s="3222" t="s">
        <v>3083</v>
      </c>
      <c r="E10" s="3225">
        <f>ROUND(C10/12,2)</f>
        <v>0</v>
      </c>
    </row>
    <row r="11" spans="2:7">
      <c r="B11" s="3220" t="s">
        <v>3084</v>
      </c>
      <c r="C11" s="3221" t="s">
        <v>3083</v>
      </c>
      <c r="D11" s="3224"/>
      <c r="E11" s="3225">
        <f>ROUND(D11/5,2)</f>
        <v>0</v>
      </c>
    </row>
    <row r="12" spans="2:7">
      <c r="B12" s="3220" t="s">
        <v>3085</v>
      </c>
      <c r="C12" s="3523">
        <f>ROUND((E10*7+E11*5)/12,2)</f>
        <v>0</v>
      </c>
      <c r="D12" s="3523"/>
      <c r="E12" s="3523"/>
      <c r="G12" s="3191"/>
    </row>
    <row r="13" spans="2:7">
      <c r="B13" s="3220" t="s">
        <v>3086</v>
      </c>
      <c r="C13" s="3520">
        <v>1.2</v>
      </c>
      <c r="D13" s="3520"/>
      <c r="E13" s="3520"/>
    </row>
    <row r="14" spans="2:7">
      <c r="B14" s="3220" t="s">
        <v>3052</v>
      </c>
      <c r="C14" s="3520">
        <f>ROUND(C12*C13/10000,2)</f>
        <v>0</v>
      </c>
      <c r="D14" s="3520"/>
      <c r="E14" s="3520"/>
    </row>
    <row r="16" spans="2:7" ht="27" customHeight="1">
      <c r="B16" s="3518" t="s">
        <v>3087</v>
      </c>
      <c r="C16" s="3518"/>
      <c r="D16" s="3518"/>
      <c r="E16" s="3518"/>
    </row>
    <row r="17" spans="2:5">
      <c r="B17" s="3519" t="s">
        <v>3088</v>
      </c>
      <c r="C17" s="3519"/>
      <c r="D17" s="3520"/>
      <c r="E17" s="3520"/>
    </row>
    <row r="18" spans="2:5">
      <c r="B18" s="3529" t="s">
        <v>3089</v>
      </c>
      <c r="C18" s="3529"/>
      <c r="D18" s="3520">
        <v>2000</v>
      </c>
      <c r="E18" s="3520"/>
    </row>
    <row r="19" spans="2:5">
      <c r="B19" s="3529" t="s">
        <v>3052</v>
      </c>
      <c r="C19" s="3529"/>
      <c r="D19" s="3530">
        <f>ROUND(D17*D18/10000,2)</f>
        <v>0</v>
      </c>
      <c r="E19" s="3530"/>
    </row>
    <row r="21" spans="2:5" ht="27" customHeight="1">
      <c r="B21" s="3518" t="s">
        <v>3090</v>
      </c>
      <c r="C21" s="3518"/>
      <c r="D21" s="3518"/>
      <c r="E21" s="3518"/>
    </row>
    <row r="22" spans="2:5">
      <c r="B22" s="3519" t="s">
        <v>3091</v>
      </c>
      <c r="C22" s="3519"/>
      <c r="D22" s="3520">
        <v>6</v>
      </c>
      <c r="E22" s="3520"/>
    </row>
    <row r="23" spans="2:5">
      <c r="B23" s="3519" t="s">
        <v>3092</v>
      </c>
      <c r="C23" s="3519"/>
      <c r="D23" s="3520">
        <v>1.2</v>
      </c>
      <c r="E23" s="3520"/>
    </row>
    <row r="24" spans="2:5">
      <c r="B24" s="3519" t="s">
        <v>3072</v>
      </c>
      <c r="C24" s="3519"/>
      <c r="D24" s="3520">
        <f>D22*D23</f>
        <v>7.1999999999999993</v>
      </c>
      <c r="E24" s="3520"/>
    </row>
  </sheetData>
  <mergeCells count="27">
    <mergeCell ref="C14:E14"/>
    <mergeCell ref="B2:E2"/>
    <mergeCell ref="B3:C3"/>
    <mergeCell ref="D3:E3"/>
    <mergeCell ref="B4:C4"/>
    <mergeCell ref="D4:E4"/>
    <mergeCell ref="B5:C5"/>
    <mergeCell ref="D5:E5"/>
    <mergeCell ref="B6:C6"/>
    <mergeCell ref="D6:E6"/>
    <mergeCell ref="B8:E8"/>
    <mergeCell ref="C12:E12"/>
    <mergeCell ref="C13:E13"/>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s>
  <phoneticPr fontId="2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08" t="s">
        <v>522</v>
      </c>
      <c r="D4" s="3409"/>
      <c r="E4" s="3442" t="s">
        <v>523</v>
      </c>
      <c r="F4" s="3443"/>
      <c r="G4" s="3408" t="s">
        <v>524</v>
      </c>
      <c r="H4" s="3409"/>
      <c r="I4" s="3408" t="s">
        <v>525</v>
      </c>
      <c r="J4" s="3409"/>
      <c r="K4" s="853" t="s">
        <v>526</v>
      </c>
      <c r="L4" s="2135"/>
      <c r="M4" s="2136"/>
      <c r="N4" s="2136"/>
      <c r="O4" s="2136"/>
      <c r="P4" s="3410" t="s">
        <v>527</v>
      </c>
      <c r="Q4" s="3411"/>
      <c r="R4" s="3416" t="s">
        <v>523</v>
      </c>
      <c r="S4" s="3417"/>
      <c r="T4" s="3416" t="s">
        <v>524</v>
      </c>
      <c r="U4" s="3417"/>
      <c r="V4" s="3403" t="s">
        <v>525</v>
      </c>
      <c r="W4" s="3403"/>
      <c r="X4" s="1568"/>
      <c r="Y4" s="3416" t="s">
        <v>527</v>
      </c>
      <c r="Z4" s="3417"/>
      <c r="AA4" s="3405" t="s">
        <v>523</v>
      </c>
      <c r="AB4" s="3405" t="s">
        <v>524</v>
      </c>
      <c r="AC4" s="3405" t="s">
        <v>525</v>
      </c>
    </row>
    <row r="5" spans="1:29" ht="15">
      <c r="A5" s="515"/>
      <c r="B5" s="516"/>
      <c r="C5" s="3424" t="s">
        <v>2933</v>
      </c>
      <c r="D5" s="3425"/>
      <c r="E5" s="3444" t="s">
        <v>2934</v>
      </c>
      <c r="F5" s="3445"/>
      <c r="G5" s="3424" t="s">
        <v>2935</v>
      </c>
      <c r="H5" s="3425"/>
      <c r="I5" s="3424" t="s">
        <v>2936</v>
      </c>
      <c r="J5" s="3425"/>
      <c r="K5" s="854"/>
      <c r="L5" s="2135"/>
      <c r="M5" s="2136"/>
      <c r="N5" s="2136"/>
      <c r="O5" s="2136"/>
      <c r="P5" s="3412"/>
      <c r="Q5" s="3413"/>
      <c r="R5" s="3418"/>
      <c r="S5" s="3419"/>
      <c r="T5" s="3418"/>
      <c r="U5" s="3419"/>
      <c r="V5" s="3403"/>
      <c r="W5" s="3403"/>
      <c r="X5" s="1568"/>
      <c r="Y5" s="3418"/>
      <c r="Z5" s="3419"/>
      <c r="AA5" s="3406"/>
      <c r="AB5" s="3406"/>
      <c r="AC5" s="3406"/>
    </row>
    <row r="6" spans="1:29" ht="15.75" thickBot="1">
      <c r="A6" s="517"/>
      <c r="B6" s="518"/>
      <c r="C6" s="3422" t="s">
        <v>2937</v>
      </c>
      <c r="D6" s="3423"/>
      <c r="E6" s="3440" t="s">
        <v>2937</v>
      </c>
      <c r="F6" s="3441"/>
      <c r="G6" s="3422" t="s">
        <v>2937</v>
      </c>
      <c r="H6" s="3423"/>
      <c r="I6" s="3422" t="s">
        <v>2937</v>
      </c>
      <c r="J6" s="3423"/>
      <c r="K6" s="854" t="s">
        <v>528</v>
      </c>
      <c r="L6" s="2135"/>
      <c r="M6" s="2136"/>
      <c r="N6" s="2136"/>
      <c r="O6" s="2136"/>
      <c r="P6" s="3414"/>
      <c r="Q6" s="3415"/>
      <c r="R6" s="3418"/>
      <c r="S6" s="3419"/>
      <c r="T6" s="3420"/>
      <c r="U6" s="3421"/>
      <c r="V6" s="3403"/>
      <c r="W6" s="3403"/>
      <c r="X6" s="1568"/>
      <c r="Y6" s="3420"/>
      <c r="Z6" s="3421"/>
      <c r="AA6" s="3407"/>
      <c r="AB6" s="3407"/>
      <c r="AC6" s="3407"/>
    </row>
    <row r="7" spans="1:29" s="1220" customFormat="1" ht="15.75" thickBot="1">
      <c r="A7" s="2914"/>
      <c r="B7" s="2921" t="s">
        <v>529</v>
      </c>
      <c r="C7" s="519">
        <f>'数据-取费表'!B2</f>
        <v>43410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33" t="s">
        <v>530</v>
      </c>
      <c r="Q7" s="3435"/>
      <c r="R7" s="1569" t="s">
        <v>13</v>
      </c>
      <c r="S7" s="1570">
        <f t="shared" ref="S7:S15" si="0">F7</f>
        <v>0</v>
      </c>
      <c r="T7" s="1569" t="s">
        <v>13</v>
      </c>
      <c r="U7" s="1570">
        <f t="shared" ref="U7:U15" si="1">H7</f>
        <v>0</v>
      </c>
      <c r="V7" s="1569" t="s">
        <v>13</v>
      </c>
      <c r="W7" s="1570">
        <f t="shared" ref="W7:W15"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33" t="s">
        <v>533</v>
      </c>
      <c r="Q8" s="3434"/>
      <c r="R8" s="1569" t="s">
        <v>13</v>
      </c>
      <c r="S8" s="1570">
        <f t="shared" si="0"/>
        <v>0</v>
      </c>
      <c r="T8" s="1569" t="s">
        <v>13</v>
      </c>
      <c r="U8" s="1570">
        <f t="shared" si="1"/>
        <v>0</v>
      </c>
      <c r="V8" s="1569" t="s">
        <v>13</v>
      </c>
      <c r="W8" s="1570">
        <f t="shared" si="2"/>
        <v>0</v>
      </c>
      <c r="X8" s="1571"/>
      <c r="Y8" s="3433" t="s">
        <v>533</v>
      </c>
      <c r="Z8" s="3434"/>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02"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02"/>
      <c r="Q11" s="1151" t="str">
        <f t="shared" si="6"/>
        <v>容积率</v>
      </c>
      <c r="R11" s="1569" t="s">
        <v>11</v>
      </c>
      <c r="S11" s="1570" t="e">
        <f t="shared" si="0"/>
        <v>#N/A</v>
      </c>
      <c r="T11" s="1569" t="s">
        <v>11</v>
      </c>
      <c r="U11" s="1570" t="e">
        <f t="shared" si="1"/>
        <v>#N/A</v>
      </c>
      <c r="V11" s="1569" t="s">
        <v>11</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2"/>
      <c r="Q12" s="1151">
        <f t="shared" si="6"/>
        <v>111</v>
      </c>
      <c r="R12" s="1569" t="s">
        <v>11</v>
      </c>
      <c r="S12" s="1570">
        <f t="shared" si="0"/>
        <v>100</v>
      </c>
      <c r="T12" s="1569" t="s">
        <v>11</v>
      </c>
      <c r="U12" s="1570">
        <f t="shared" si="1"/>
        <v>100</v>
      </c>
      <c r="V12" s="1569" t="s">
        <v>11</v>
      </c>
      <c r="W12" s="1570">
        <f t="shared" si="2"/>
        <v>100</v>
      </c>
      <c r="X12" s="1571"/>
      <c r="Y12" s="3348"/>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2"/>
      <c r="Q13" s="1151">
        <f t="shared" si="6"/>
        <v>111</v>
      </c>
      <c r="R13" s="1569" t="s">
        <v>11</v>
      </c>
      <c r="S13" s="1570">
        <f t="shared" si="0"/>
        <v>100</v>
      </c>
      <c r="T13" s="1569" t="s">
        <v>11</v>
      </c>
      <c r="U13" s="1570">
        <f t="shared" si="1"/>
        <v>100</v>
      </c>
      <c r="V13" s="1569" t="s">
        <v>11</v>
      </c>
      <c r="W13" s="1570">
        <f t="shared" si="2"/>
        <v>100</v>
      </c>
      <c r="X13" s="1571"/>
      <c r="Y13" s="3348"/>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2"/>
      <c r="Q14" s="1151">
        <f t="shared" si="6"/>
        <v>111</v>
      </c>
      <c r="R14" s="1569" t="s">
        <v>11</v>
      </c>
      <c r="S14" s="1570">
        <f t="shared" si="0"/>
        <v>100</v>
      </c>
      <c r="T14" s="1569" t="s">
        <v>11</v>
      </c>
      <c r="U14" s="1570">
        <f t="shared" si="1"/>
        <v>100</v>
      </c>
      <c r="V14" s="1569" t="s">
        <v>11</v>
      </c>
      <c r="W14" s="1570">
        <f t="shared" si="2"/>
        <v>100</v>
      </c>
      <c r="X14" s="1571"/>
      <c r="Y14" s="3348"/>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36" t="s">
        <v>540</v>
      </c>
      <c r="Q15" s="1573" t="str">
        <f t="shared" si="6"/>
        <v>居住社区成熟度</v>
      </c>
      <c r="R15" s="1574" t="s">
        <v>11</v>
      </c>
      <c r="S15" s="1575">
        <f t="shared" si="0"/>
        <v>100</v>
      </c>
      <c r="T15" s="1574" t="s">
        <v>11</v>
      </c>
      <c r="U15" s="1575">
        <f t="shared" si="1"/>
        <v>100</v>
      </c>
      <c r="V15" s="1574" t="s">
        <v>11</v>
      </c>
      <c r="W15" s="1575">
        <f t="shared" si="2"/>
        <v>100</v>
      </c>
      <c r="X15" s="1568"/>
      <c r="Y15" s="343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37"/>
      <c r="Q16" s="1573"/>
      <c r="R16" s="1574"/>
      <c r="S16" s="1575"/>
      <c r="T16" s="1574"/>
      <c r="U16" s="1575"/>
      <c r="V16" s="1574"/>
      <c r="W16" s="1575"/>
      <c r="X16" s="1568"/>
      <c r="Y16" s="343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37"/>
      <c r="Q17" s="1573" t="str">
        <f>B17</f>
        <v>交通便捷度</v>
      </c>
      <c r="R17" s="1574" t="s">
        <v>11</v>
      </c>
      <c r="S17" s="1575">
        <f>F17</f>
        <v>100</v>
      </c>
      <c r="T17" s="1574" t="s">
        <v>11</v>
      </c>
      <c r="U17" s="1575">
        <f>H17</f>
        <v>100</v>
      </c>
      <c r="V17" s="1574" t="s">
        <v>11</v>
      </c>
      <c r="W17" s="1575">
        <f>J17</f>
        <v>100</v>
      </c>
      <c r="X17" s="1568"/>
      <c r="Y17" s="343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37"/>
      <c r="Q18" s="1573"/>
      <c r="R18" s="1574"/>
      <c r="S18" s="1575"/>
      <c r="T18" s="1574"/>
      <c r="U18" s="1575"/>
      <c r="V18" s="1574"/>
      <c r="W18" s="1575"/>
      <c r="X18" s="1568"/>
      <c r="Y18" s="343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37"/>
      <c r="Q19" s="1573" t="str">
        <f>B19</f>
        <v>公共配套设施</v>
      </c>
      <c r="R19" s="1574" t="s">
        <v>11</v>
      </c>
      <c r="S19" s="1575">
        <f>F19</f>
        <v>100</v>
      </c>
      <c r="T19" s="1574" t="s">
        <v>11</v>
      </c>
      <c r="U19" s="1575">
        <f>H19</f>
        <v>100</v>
      </c>
      <c r="V19" s="1574" t="s">
        <v>11</v>
      </c>
      <c r="W19" s="1575">
        <f>J19</f>
        <v>100</v>
      </c>
      <c r="X19" s="1568"/>
      <c r="Y19" s="343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37"/>
      <c r="Q20" s="1573"/>
      <c r="R20" s="1574"/>
      <c r="S20" s="1575"/>
      <c r="T20" s="1574"/>
      <c r="U20" s="1575"/>
      <c r="V20" s="1574"/>
      <c r="W20" s="1575"/>
      <c r="X20" s="1568"/>
      <c r="Y20" s="343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37"/>
      <c r="Q21" s="2581" t="str">
        <f>B21</f>
        <v>基础设施水平</v>
      </c>
      <c r="R21" s="1574" t="s">
        <v>11</v>
      </c>
      <c r="S21" s="1575">
        <f>F21</f>
        <v>100</v>
      </c>
      <c r="T21" s="1574" t="s">
        <v>11</v>
      </c>
      <c r="U21" s="1575">
        <f>H21</f>
        <v>100</v>
      </c>
      <c r="V21" s="1574" t="s">
        <v>11</v>
      </c>
      <c r="W21" s="1575">
        <f>J21</f>
        <v>100</v>
      </c>
      <c r="X21" s="2583"/>
      <c r="Y21" s="343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37"/>
      <c r="Q22" s="2581"/>
      <c r="R22" s="1574"/>
      <c r="S22" s="1575"/>
      <c r="T22" s="1574"/>
      <c r="U22" s="1575"/>
      <c r="V22" s="1574"/>
      <c r="W22" s="1575"/>
      <c r="X22" s="2583"/>
      <c r="Y22" s="3437"/>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37"/>
      <c r="Q23" s="1573" t="str">
        <f>B23</f>
        <v>自然及人文环境</v>
      </c>
      <c r="R23" s="1574" t="s">
        <v>11</v>
      </c>
      <c r="S23" s="1575">
        <f>F23</f>
        <v>100</v>
      </c>
      <c r="T23" s="1574" t="s">
        <v>11</v>
      </c>
      <c r="U23" s="1575">
        <f>H23</f>
        <v>100</v>
      </c>
      <c r="V23" s="1574" t="s">
        <v>11</v>
      </c>
      <c r="W23" s="1575">
        <f>J23</f>
        <v>100</v>
      </c>
      <c r="X23" s="1568"/>
      <c r="Y23" s="343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37"/>
      <c r="Q24" s="1573"/>
      <c r="R24" s="1574"/>
      <c r="S24" s="1575"/>
      <c r="T24" s="1574"/>
      <c r="U24" s="1575"/>
      <c r="V24" s="1574"/>
      <c r="W24" s="1575"/>
      <c r="X24" s="1568"/>
      <c r="Y24" s="3437"/>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37"/>
      <c r="Q25" s="1573" t="str">
        <f t="shared" ref="Q25:Q46" si="11">B25</f>
        <v>楼层-1</v>
      </c>
      <c r="R25" s="1574" t="s">
        <v>11</v>
      </c>
      <c r="S25" s="1575">
        <f>F25</f>
        <v>100</v>
      </c>
      <c r="T25" s="1574" t="s">
        <v>11</v>
      </c>
      <c r="U25" s="1575">
        <f>H25</f>
        <v>100</v>
      </c>
      <c r="V25" s="1574" t="s">
        <v>11</v>
      </c>
      <c r="W25" s="1575">
        <f>J25</f>
        <v>100</v>
      </c>
      <c r="X25" s="1568"/>
      <c r="Y25" s="343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37"/>
      <c r="Q26" s="1573" t="str">
        <f t="shared" si="11"/>
        <v>朝向</v>
      </c>
      <c r="R26" s="1574" t="s">
        <v>11</v>
      </c>
      <c r="S26" s="1575">
        <f>F26</f>
        <v>100</v>
      </c>
      <c r="T26" s="1574" t="s">
        <v>11</v>
      </c>
      <c r="U26" s="1575">
        <f>H26</f>
        <v>100</v>
      </c>
      <c r="V26" s="1574" t="s">
        <v>11</v>
      </c>
      <c r="W26" s="1575">
        <f>J26</f>
        <v>100</v>
      </c>
      <c r="X26" s="1568"/>
      <c r="Y26" s="343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37"/>
      <c r="Q27" s="1151" t="str">
        <f t="shared" si="11"/>
        <v>道路级别</v>
      </c>
      <c r="R27" s="1569" t="s">
        <v>11</v>
      </c>
      <c r="S27" s="1570">
        <f>F27</f>
        <v>100</v>
      </c>
      <c r="T27" s="1569" t="s">
        <v>11</v>
      </c>
      <c r="U27" s="1570">
        <f>H27</f>
        <v>100</v>
      </c>
      <c r="V27" s="1569" t="s">
        <v>11</v>
      </c>
      <c r="W27" s="1570">
        <f>J27</f>
        <v>100</v>
      </c>
      <c r="X27" s="1571"/>
      <c r="Y27" s="343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37"/>
      <c r="Q28" s="1573">
        <f t="shared" si="11"/>
        <v>111</v>
      </c>
      <c r="R28" s="1574" t="s">
        <v>11</v>
      </c>
      <c r="S28" s="1575">
        <f t="shared" ref="S28:S46" si="12">F28</f>
        <v>100</v>
      </c>
      <c r="T28" s="1574" t="s">
        <v>11</v>
      </c>
      <c r="U28" s="1575">
        <f t="shared" ref="U28:U46" si="13">H28</f>
        <v>100</v>
      </c>
      <c r="V28" s="1574" t="s">
        <v>11</v>
      </c>
      <c r="W28" s="1575">
        <f t="shared" ref="W28:W46" si="14">J28</f>
        <v>100</v>
      </c>
      <c r="X28" s="1568"/>
      <c r="Y28" s="343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37"/>
      <c r="Q29" s="1573">
        <f t="shared" si="11"/>
        <v>111</v>
      </c>
      <c r="R29" s="1574" t="s">
        <v>11</v>
      </c>
      <c r="S29" s="1575">
        <f t="shared" si="12"/>
        <v>100</v>
      </c>
      <c r="T29" s="1574" t="s">
        <v>11</v>
      </c>
      <c r="U29" s="1575">
        <f t="shared" si="13"/>
        <v>100</v>
      </c>
      <c r="V29" s="1574" t="s">
        <v>11</v>
      </c>
      <c r="W29" s="1575">
        <f t="shared" si="14"/>
        <v>100</v>
      </c>
      <c r="X29" s="1568"/>
      <c r="Y29" s="343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37"/>
      <c r="Q30" s="1573">
        <f t="shared" si="11"/>
        <v>111</v>
      </c>
      <c r="R30" s="1574" t="s">
        <v>11</v>
      </c>
      <c r="S30" s="1575">
        <f t="shared" si="12"/>
        <v>100</v>
      </c>
      <c r="T30" s="1574" t="s">
        <v>11</v>
      </c>
      <c r="U30" s="1575">
        <f t="shared" si="13"/>
        <v>100</v>
      </c>
      <c r="V30" s="1574" t="s">
        <v>11</v>
      </c>
      <c r="W30" s="1575">
        <f t="shared" si="14"/>
        <v>100</v>
      </c>
      <c r="X30" s="1568"/>
      <c r="Y30" s="343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37"/>
      <c r="Q31" s="1573">
        <f t="shared" si="11"/>
        <v>111</v>
      </c>
      <c r="R31" s="1574" t="s">
        <v>11</v>
      </c>
      <c r="S31" s="1575">
        <f t="shared" si="12"/>
        <v>100</v>
      </c>
      <c r="T31" s="1574" t="s">
        <v>11</v>
      </c>
      <c r="U31" s="1575">
        <f t="shared" si="13"/>
        <v>100</v>
      </c>
      <c r="V31" s="1574" t="s">
        <v>11</v>
      </c>
      <c r="W31" s="1575">
        <f t="shared" si="14"/>
        <v>100</v>
      </c>
      <c r="X31" s="1568"/>
      <c r="Y31" s="3437"/>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38" t="s">
        <v>550</v>
      </c>
      <c r="Q32" s="1573" t="str">
        <f t="shared" si="11"/>
        <v>建筑类型</v>
      </c>
      <c r="R32" s="1574" t="s">
        <v>11</v>
      </c>
      <c r="S32" s="1575">
        <f t="shared" si="12"/>
        <v>100</v>
      </c>
      <c r="T32" s="1574" t="s">
        <v>11</v>
      </c>
      <c r="U32" s="1575">
        <f t="shared" si="13"/>
        <v>100</v>
      </c>
      <c r="V32" s="1574" t="s">
        <v>11</v>
      </c>
      <c r="W32" s="1575">
        <f t="shared" si="14"/>
        <v>100</v>
      </c>
      <c r="X32" s="1568"/>
      <c r="Y32" s="343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39"/>
      <c r="Q33" s="1606" t="str">
        <f t="shared" si="11"/>
        <v>项目建筑规模</v>
      </c>
      <c r="R33" s="1578" t="s">
        <v>11</v>
      </c>
      <c r="S33" s="1579" t="e">
        <f t="shared" si="12"/>
        <v>#N/A</v>
      </c>
      <c r="T33" s="1578" t="s">
        <v>11</v>
      </c>
      <c r="U33" s="1579" t="e">
        <f t="shared" si="13"/>
        <v>#N/A</v>
      </c>
      <c r="V33" s="1578" t="s">
        <v>11</v>
      </c>
      <c r="W33" s="1579" t="e">
        <f t="shared" si="14"/>
        <v>#N/A</v>
      </c>
      <c r="X33" s="1580"/>
      <c r="Y33" s="343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39"/>
      <c r="Q34" s="1573" t="str">
        <f t="shared" si="11"/>
        <v>建筑结构</v>
      </c>
      <c r="R34" s="1574" t="s">
        <v>11</v>
      </c>
      <c r="S34" s="1575">
        <f t="shared" si="12"/>
        <v>100</v>
      </c>
      <c r="T34" s="1574" t="s">
        <v>11</v>
      </c>
      <c r="U34" s="1575">
        <f t="shared" si="13"/>
        <v>100</v>
      </c>
      <c r="V34" s="1574" t="s">
        <v>11</v>
      </c>
      <c r="W34" s="1575">
        <f t="shared" si="14"/>
        <v>100</v>
      </c>
      <c r="X34" s="1568"/>
      <c r="Y34" s="343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39"/>
      <c r="Q35" s="1573" t="str">
        <f t="shared" si="11"/>
        <v>建筑品质</v>
      </c>
      <c r="R35" s="1574" t="s">
        <v>11</v>
      </c>
      <c r="S35" s="1575">
        <f t="shared" si="12"/>
        <v>100</v>
      </c>
      <c r="T35" s="1574" t="s">
        <v>11</v>
      </c>
      <c r="U35" s="1575">
        <f t="shared" si="13"/>
        <v>100</v>
      </c>
      <c r="V35" s="1574" t="s">
        <v>11</v>
      </c>
      <c r="W35" s="1575">
        <f t="shared" si="14"/>
        <v>100</v>
      </c>
      <c r="X35" s="1568"/>
      <c r="Y35" s="343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39"/>
      <c r="Q36" s="1573" t="str">
        <f t="shared" si="11"/>
        <v>公共部分装修</v>
      </c>
      <c r="R36" s="1574" t="s">
        <v>11</v>
      </c>
      <c r="S36" s="1575">
        <f t="shared" si="12"/>
        <v>100</v>
      </c>
      <c r="T36" s="1574" t="s">
        <v>11</v>
      </c>
      <c r="U36" s="1575">
        <f t="shared" si="13"/>
        <v>100</v>
      </c>
      <c r="V36" s="1574" t="s">
        <v>11</v>
      </c>
      <c r="W36" s="1575">
        <f t="shared" si="14"/>
        <v>100</v>
      </c>
      <c r="X36" s="1568"/>
      <c r="Y36" s="343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39"/>
      <c r="Q37" s="1151" t="str">
        <f t="shared" si="11"/>
        <v>成新度</v>
      </c>
      <c r="R37" s="1569" t="s">
        <v>11</v>
      </c>
      <c r="S37" s="1570" t="e">
        <f t="shared" si="12"/>
        <v>#N/A</v>
      </c>
      <c r="T37" s="1569" t="s">
        <v>11</v>
      </c>
      <c r="U37" s="1570" t="e">
        <f t="shared" si="13"/>
        <v>#N/A</v>
      </c>
      <c r="V37" s="1569" t="s">
        <v>11</v>
      </c>
      <c r="W37" s="1570" t="e">
        <f t="shared" si="14"/>
        <v>#N/A</v>
      </c>
      <c r="X37" s="1571"/>
      <c r="Y37" s="343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39" t="s">
        <v>550</v>
      </c>
      <c r="Q38" s="1573" t="str">
        <f t="shared" si="11"/>
        <v>物业管理</v>
      </c>
      <c r="R38" s="1574" t="s">
        <v>11</v>
      </c>
      <c r="S38" s="1575">
        <f t="shared" si="12"/>
        <v>100</v>
      </c>
      <c r="T38" s="1574" t="s">
        <v>11</v>
      </c>
      <c r="U38" s="1575">
        <f t="shared" si="13"/>
        <v>100</v>
      </c>
      <c r="V38" s="1574" t="s">
        <v>11</v>
      </c>
      <c r="W38" s="1575">
        <f t="shared" si="14"/>
        <v>100</v>
      </c>
      <c r="X38" s="1568"/>
      <c r="Y38" s="3439"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39"/>
      <c r="Q39" s="1573" t="str">
        <f t="shared" si="11"/>
        <v>市政基础设施</v>
      </c>
      <c r="R39" s="1574" t="s">
        <v>11</v>
      </c>
      <c r="S39" s="1575">
        <f t="shared" si="12"/>
        <v>100</v>
      </c>
      <c r="T39" s="1574" t="s">
        <v>11</v>
      </c>
      <c r="U39" s="1575">
        <f t="shared" si="13"/>
        <v>100</v>
      </c>
      <c r="V39" s="1574" t="s">
        <v>11</v>
      </c>
      <c r="W39" s="1575">
        <f t="shared" si="14"/>
        <v>100</v>
      </c>
      <c r="X39" s="1568"/>
      <c r="Y39" s="343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39"/>
      <c r="Q40" s="1573" t="str">
        <f t="shared" si="11"/>
        <v>房型</v>
      </c>
      <c r="R40" s="1574" t="s">
        <v>11</v>
      </c>
      <c r="S40" s="1575">
        <f t="shared" si="12"/>
        <v>100</v>
      </c>
      <c r="T40" s="1574" t="s">
        <v>11</v>
      </c>
      <c r="U40" s="1575">
        <f t="shared" si="13"/>
        <v>100</v>
      </c>
      <c r="V40" s="1574" t="s">
        <v>11</v>
      </c>
      <c r="W40" s="1575">
        <f t="shared" si="14"/>
        <v>100</v>
      </c>
      <c r="X40" s="1568"/>
      <c r="Y40" s="343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39"/>
      <c r="Q41" s="1606" t="str">
        <f t="shared" si="11"/>
        <v>单套/主力户型建筑面积</v>
      </c>
      <c r="R41" s="1578" t="s">
        <v>11</v>
      </c>
      <c r="S41" s="1579">
        <f t="shared" si="12"/>
        <v>100</v>
      </c>
      <c r="T41" s="1578" t="s">
        <v>11</v>
      </c>
      <c r="U41" s="1579">
        <f t="shared" si="13"/>
        <v>100</v>
      </c>
      <c r="V41" s="1578" t="s">
        <v>11</v>
      </c>
      <c r="W41" s="1579">
        <f t="shared" si="14"/>
        <v>100</v>
      </c>
      <c r="X41" s="1580"/>
      <c r="Y41" s="343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39"/>
      <c r="Q42" s="1573" t="str">
        <f t="shared" si="11"/>
        <v>内部装修</v>
      </c>
      <c r="R42" s="1574" t="s">
        <v>11</v>
      </c>
      <c r="S42" s="1575">
        <f t="shared" si="12"/>
        <v>100</v>
      </c>
      <c r="T42" s="1574" t="s">
        <v>11</v>
      </c>
      <c r="U42" s="1575">
        <f t="shared" si="13"/>
        <v>100</v>
      </c>
      <c r="V42" s="1574" t="s">
        <v>11</v>
      </c>
      <c r="W42" s="1575">
        <f t="shared" si="14"/>
        <v>100</v>
      </c>
      <c r="X42" s="1568"/>
      <c r="Y42" s="343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39"/>
      <c r="Q43" s="1573" t="str">
        <f t="shared" si="11"/>
        <v>内部装修维护情况</v>
      </c>
      <c r="R43" s="1574" t="s">
        <v>11</v>
      </c>
      <c r="S43" s="1575">
        <f t="shared" si="12"/>
        <v>100</v>
      </c>
      <c r="T43" s="1574" t="s">
        <v>11</v>
      </c>
      <c r="U43" s="1575">
        <f t="shared" si="13"/>
        <v>100</v>
      </c>
      <c r="V43" s="1574" t="s">
        <v>11</v>
      </c>
      <c r="W43" s="1575">
        <f t="shared" si="14"/>
        <v>100</v>
      </c>
      <c r="X43" s="1568"/>
      <c r="Y43" s="343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39"/>
      <c r="Q44" s="1151">
        <f t="shared" si="11"/>
        <v>111</v>
      </c>
      <c r="R44" s="1569" t="s">
        <v>11</v>
      </c>
      <c r="S44" s="1570">
        <f t="shared" si="12"/>
        <v>100</v>
      </c>
      <c r="T44" s="1569" t="s">
        <v>11</v>
      </c>
      <c r="U44" s="1570">
        <f t="shared" si="13"/>
        <v>100</v>
      </c>
      <c r="V44" s="1569" t="s">
        <v>11</v>
      </c>
      <c r="W44" s="1570">
        <f t="shared" si="14"/>
        <v>100</v>
      </c>
      <c r="X44" s="1571"/>
      <c r="Y44" s="343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39"/>
      <c r="Q45" s="1573">
        <f t="shared" si="11"/>
        <v>111</v>
      </c>
      <c r="R45" s="1574" t="s">
        <v>11</v>
      </c>
      <c r="S45" s="1575">
        <f t="shared" si="12"/>
        <v>100</v>
      </c>
      <c r="T45" s="1574" t="s">
        <v>11</v>
      </c>
      <c r="U45" s="1575">
        <f t="shared" si="13"/>
        <v>100</v>
      </c>
      <c r="V45" s="1574" t="s">
        <v>11</v>
      </c>
      <c r="W45" s="1575">
        <f t="shared" si="14"/>
        <v>100</v>
      </c>
      <c r="X45" s="1568"/>
      <c r="Y45" s="343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33"/>
      <c r="Q46" s="1573">
        <f t="shared" si="11"/>
        <v>111</v>
      </c>
      <c r="R46" s="1574" t="s">
        <v>10</v>
      </c>
      <c r="S46" s="1575">
        <f t="shared" si="12"/>
        <v>100</v>
      </c>
      <c r="T46" s="1574" t="s">
        <v>10</v>
      </c>
      <c r="U46" s="1575">
        <f t="shared" si="13"/>
        <v>100</v>
      </c>
      <c r="V46" s="1574" t="s">
        <v>10</v>
      </c>
      <c r="W46" s="1575">
        <f t="shared" si="14"/>
        <v>100</v>
      </c>
      <c r="X46" s="1568"/>
      <c r="Y46" s="3533"/>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02" t="str">
        <f>A47</f>
        <v>成交单价（元/平方米）</v>
      </c>
      <c r="Q47" s="3402"/>
      <c r="R47" s="3532">
        <f>E47</f>
        <v>0</v>
      </c>
      <c r="S47" s="3532"/>
      <c r="T47" s="3532">
        <f>G47</f>
        <v>0</v>
      </c>
      <c r="U47" s="3532"/>
      <c r="V47" s="3532">
        <f>I47</f>
        <v>0</v>
      </c>
      <c r="W47" s="353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02" t="str">
        <f>A48</f>
        <v>比较价格（元/平方米）</v>
      </c>
      <c r="Q48" s="3402"/>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399" t="str">
        <f>A49</f>
        <v>估价对象XX用房的比较价格（楼面单价，元/平方米）</v>
      </c>
      <c r="Q49" s="3400"/>
      <c r="R49" s="3531" t="e">
        <f>IF(F1="售价",ROUND(AVERAGE(R48:V48),0),ROUND(AVERAGE(R48:V48),1))</f>
        <v>#DIV/0!</v>
      </c>
      <c r="S49" s="3531"/>
      <c r="T49" s="3531"/>
      <c r="U49" s="3531"/>
      <c r="V49" s="3531"/>
      <c r="W49" s="353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08" t="s">
        <v>522</v>
      </c>
      <c r="D4" s="3409"/>
      <c r="E4" s="3442" t="s">
        <v>523</v>
      </c>
      <c r="F4" s="3443"/>
      <c r="G4" s="3408" t="s">
        <v>524</v>
      </c>
      <c r="H4" s="3409"/>
      <c r="I4" s="3408" t="s">
        <v>525</v>
      </c>
      <c r="J4" s="3409"/>
      <c r="K4" s="514" t="s">
        <v>526</v>
      </c>
      <c r="L4" s="2135"/>
      <c r="M4" s="2136"/>
      <c r="N4" s="2136"/>
      <c r="O4" s="2136"/>
      <c r="P4" s="3410" t="s">
        <v>527</v>
      </c>
      <c r="Q4" s="3411"/>
      <c r="R4" s="3416" t="s">
        <v>523</v>
      </c>
      <c r="S4" s="3417"/>
      <c r="T4" s="3416" t="s">
        <v>524</v>
      </c>
      <c r="U4" s="3417"/>
      <c r="V4" s="3403" t="s">
        <v>525</v>
      </c>
      <c r="W4" s="3403"/>
      <c r="X4" s="1568"/>
      <c r="Y4" s="3416" t="s">
        <v>527</v>
      </c>
      <c r="Z4" s="3417"/>
      <c r="AA4" s="3405" t="s">
        <v>523</v>
      </c>
      <c r="AB4" s="3403" t="s">
        <v>524</v>
      </c>
      <c r="AC4" s="3405" t="s">
        <v>525</v>
      </c>
    </row>
    <row r="5" spans="1:29" ht="15">
      <c r="A5" s="515"/>
      <c r="B5" s="516"/>
      <c r="C5" s="3424" t="s">
        <v>2933</v>
      </c>
      <c r="D5" s="3425"/>
      <c r="E5" s="3444" t="s">
        <v>2934</v>
      </c>
      <c r="F5" s="3445"/>
      <c r="G5" s="3424" t="s">
        <v>2935</v>
      </c>
      <c r="H5" s="3425"/>
      <c r="I5" s="3424" t="s">
        <v>2936</v>
      </c>
      <c r="J5" s="3425"/>
      <c r="K5" s="514"/>
      <c r="L5" s="2135"/>
      <c r="M5" s="2136"/>
      <c r="N5" s="2136"/>
      <c r="O5" s="2136"/>
      <c r="P5" s="3412"/>
      <c r="Q5" s="3413"/>
      <c r="R5" s="3418"/>
      <c r="S5" s="3419"/>
      <c r="T5" s="3418"/>
      <c r="U5" s="3419"/>
      <c r="V5" s="3403"/>
      <c r="W5" s="3403"/>
      <c r="X5" s="1568"/>
      <c r="Y5" s="3418"/>
      <c r="Z5" s="3419"/>
      <c r="AA5" s="3406"/>
      <c r="AB5" s="3403"/>
      <c r="AC5" s="3406"/>
    </row>
    <row r="6" spans="1:29" ht="15.75" thickBot="1">
      <c r="A6" s="517"/>
      <c r="B6" s="518"/>
      <c r="C6" s="3422" t="s">
        <v>2937</v>
      </c>
      <c r="D6" s="3423"/>
      <c r="E6" s="3440" t="s">
        <v>2937</v>
      </c>
      <c r="F6" s="3441"/>
      <c r="G6" s="3422" t="s">
        <v>2937</v>
      </c>
      <c r="H6" s="3423"/>
      <c r="I6" s="3422" t="s">
        <v>2937</v>
      </c>
      <c r="J6" s="3423"/>
      <c r="K6" s="514" t="s">
        <v>528</v>
      </c>
      <c r="L6" s="2135"/>
      <c r="M6" s="2136"/>
      <c r="N6" s="2136"/>
      <c r="O6" s="2136"/>
      <c r="P6" s="3414"/>
      <c r="Q6" s="3415"/>
      <c r="R6" s="3418"/>
      <c r="S6" s="3419"/>
      <c r="T6" s="3420"/>
      <c r="U6" s="3421"/>
      <c r="V6" s="3403"/>
      <c r="W6" s="3403"/>
      <c r="X6" s="1568"/>
      <c r="Y6" s="3420"/>
      <c r="Z6" s="3421"/>
      <c r="AA6" s="3407"/>
      <c r="AB6" s="3403"/>
      <c r="AC6" s="3407"/>
    </row>
    <row r="7" spans="1:29" s="1220" customFormat="1" ht="15.75" thickBot="1">
      <c r="A7" s="2914"/>
      <c r="B7" s="2921" t="s">
        <v>529</v>
      </c>
      <c r="C7" s="519">
        <f>'数据-取费表'!B2</f>
        <v>43410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33" t="s">
        <v>530</v>
      </c>
      <c r="Q7" s="3435"/>
      <c r="R7" s="1569" t="s">
        <v>8</v>
      </c>
      <c r="S7" s="1570">
        <f t="shared" ref="S7:S15" si="0">F7</f>
        <v>0</v>
      </c>
      <c r="T7" s="1569" t="s">
        <v>8</v>
      </c>
      <c r="U7" s="1570">
        <f t="shared" ref="U7:U15" si="1">H7</f>
        <v>0</v>
      </c>
      <c r="V7" s="1569" t="s">
        <v>8</v>
      </c>
      <c r="W7" s="1570">
        <f t="shared" ref="W7:W15"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33" t="s">
        <v>533</v>
      </c>
      <c r="Q8" s="3434"/>
      <c r="R8" s="1569" t="s">
        <v>8</v>
      </c>
      <c r="S8" s="1570">
        <f t="shared" si="0"/>
        <v>0</v>
      </c>
      <c r="T8" s="1569" t="s">
        <v>8</v>
      </c>
      <c r="U8" s="1570">
        <f t="shared" si="1"/>
        <v>0</v>
      </c>
      <c r="V8" s="1569" t="s">
        <v>8</v>
      </c>
      <c r="W8" s="1570">
        <f t="shared" si="2"/>
        <v>0</v>
      </c>
      <c r="X8" s="1571"/>
      <c r="Y8" s="3433" t="s">
        <v>533</v>
      </c>
      <c r="Z8" s="3434"/>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2"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2"/>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2"/>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2"/>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2"/>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36" t="s">
        <v>540</v>
      </c>
      <c r="Q15" s="1573" t="str">
        <f t="shared" si="6"/>
        <v>商业繁华度</v>
      </c>
      <c r="R15" s="1574" t="s">
        <v>8</v>
      </c>
      <c r="S15" s="1575">
        <f t="shared" si="0"/>
        <v>100</v>
      </c>
      <c r="T15" s="1574" t="s">
        <v>8</v>
      </c>
      <c r="U15" s="1575">
        <f t="shared" si="1"/>
        <v>100</v>
      </c>
      <c r="V15" s="1574" t="s">
        <v>8</v>
      </c>
      <c r="W15" s="1575">
        <f t="shared" si="2"/>
        <v>100</v>
      </c>
      <c r="X15" s="1568"/>
      <c r="Y15" s="343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7"/>
      <c r="Q16" s="1573"/>
      <c r="R16" s="1574"/>
      <c r="S16" s="1575"/>
      <c r="T16" s="1574"/>
      <c r="U16" s="1575"/>
      <c r="V16" s="1574"/>
      <c r="W16" s="1575"/>
      <c r="X16" s="1568"/>
      <c r="Y16" s="343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37"/>
      <c r="Q17" s="1573" t="str">
        <f>B17</f>
        <v>交通便捷度</v>
      </c>
      <c r="R17" s="1574" t="s">
        <v>8</v>
      </c>
      <c r="S17" s="1575">
        <f>F17</f>
        <v>100</v>
      </c>
      <c r="T17" s="1574" t="s">
        <v>8</v>
      </c>
      <c r="U17" s="1575">
        <f>H17</f>
        <v>100</v>
      </c>
      <c r="V17" s="1574" t="s">
        <v>8</v>
      </c>
      <c r="W17" s="1575">
        <f>J17</f>
        <v>100</v>
      </c>
      <c r="X17" s="1568"/>
      <c r="Y17" s="343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7"/>
      <c r="Q18" s="1573"/>
      <c r="R18" s="1574"/>
      <c r="S18" s="1575"/>
      <c r="T18" s="1574"/>
      <c r="U18" s="1575"/>
      <c r="V18" s="1574"/>
      <c r="W18" s="1575"/>
      <c r="X18" s="1568"/>
      <c r="Y18" s="343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37"/>
      <c r="Q19" s="1573" t="str">
        <f>B19</f>
        <v>公共配套设施</v>
      </c>
      <c r="R19" s="1574" t="s">
        <v>8</v>
      </c>
      <c r="S19" s="1575">
        <f>F19</f>
        <v>100</v>
      </c>
      <c r="T19" s="1574" t="s">
        <v>8</v>
      </c>
      <c r="U19" s="1575">
        <f>H19</f>
        <v>100</v>
      </c>
      <c r="V19" s="1574" t="s">
        <v>8</v>
      </c>
      <c r="W19" s="1575">
        <f>J19</f>
        <v>100</v>
      </c>
      <c r="X19" s="1568"/>
      <c r="Y19" s="343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37"/>
      <c r="Q20" s="1573"/>
      <c r="R20" s="1574"/>
      <c r="S20" s="1575"/>
      <c r="T20" s="1574"/>
      <c r="U20" s="1575"/>
      <c r="V20" s="1574"/>
      <c r="W20" s="1575"/>
      <c r="X20" s="1568"/>
      <c r="Y20" s="343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37"/>
      <c r="Q21" s="2581" t="str">
        <f>B21</f>
        <v>基础设施水平</v>
      </c>
      <c r="R21" s="1574" t="s">
        <v>8</v>
      </c>
      <c r="S21" s="1575">
        <f>F21</f>
        <v>100</v>
      </c>
      <c r="T21" s="1574" t="s">
        <v>8</v>
      </c>
      <c r="U21" s="1575">
        <f>H21</f>
        <v>100</v>
      </c>
      <c r="V21" s="1574" t="s">
        <v>8</v>
      </c>
      <c r="W21" s="1575">
        <f>J21</f>
        <v>100</v>
      </c>
      <c r="X21" s="2583"/>
      <c r="Y21" s="343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37"/>
      <c r="Q22" s="2581"/>
      <c r="R22" s="1574"/>
      <c r="S22" s="1575"/>
      <c r="T22" s="1574"/>
      <c r="U22" s="1575"/>
      <c r="V22" s="1574"/>
      <c r="W22" s="1575"/>
      <c r="X22" s="2583"/>
      <c r="Y22" s="3437"/>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37"/>
      <c r="Q23" s="1573" t="str">
        <f>B23</f>
        <v>自然及人文环境</v>
      </c>
      <c r="R23" s="1574" t="s">
        <v>8</v>
      </c>
      <c r="S23" s="1575">
        <f>F23</f>
        <v>100</v>
      </c>
      <c r="T23" s="1574" t="s">
        <v>8</v>
      </c>
      <c r="U23" s="1575">
        <f>H23</f>
        <v>100</v>
      </c>
      <c r="V23" s="1574" t="s">
        <v>8</v>
      </c>
      <c r="W23" s="1575">
        <f>J23</f>
        <v>100</v>
      </c>
      <c r="X23" s="1568"/>
      <c r="Y23" s="343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37"/>
      <c r="Q24" s="1573"/>
      <c r="R24" s="1574"/>
      <c r="S24" s="1575"/>
      <c r="T24" s="1574"/>
      <c r="U24" s="1575"/>
      <c r="V24" s="1574"/>
      <c r="W24" s="1575"/>
      <c r="X24" s="1568"/>
      <c r="Y24" s="343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37"/>
      <c r="Q25" s="1573" t="str">
        <f t="shared" ref="Q25:Q46" si="11">B25</f>
        <v>临街状况</v>
      </c>
      <c r="R25" s="1574" t="s">
        <v>8</v>
      </c>
      <c r="S25" s="1575">
        <f>F25</f>
        <v>100</v>
      </c>
      <c r="T25" s="1574" t="s">
        <v>8</v>
      </c>
      <c r="U25" s="1575">
        <f>H25</f>
        <v>100</v>
      </c>
      <c r="V25" s="1574" t="s">
        <v>8</v>
      </c>
      <c r="W25" s="1575">
        <f>J25</f>
        <v>100</v>
      </c>
      <c r="X25" s="1568"/>
      <c r="Y25" s="343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37"/>
      <c r="Q26" s="1573" t="str">
        <f t="shared" si="11"/>
        <v>平面位置/可视性</v>
      </c>
      <c r="R26" s="1574" t="s">
        <v>8</v>
      </c>
      <c r="S26" s="1575">
        <f>F26</f>
        <v>100</v>
      </c>
      <c r="T26" s="1574" t="s">
        <v>8</v>
      </c>
      <c r="U26" s="1575">
        <f>H26</f>
        <v>100</v>
      </c>
      <c r="V26" s="1574" t="s">
        <v>8</v>
      </c>
      <c r="W26" s="1575">
        <f>J26</f>
        <v>100</v>
      </c>
      <c r="X26" s="1568"/>
      <c r="Y26" s="343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37"/>
      <c r="Q27" s="1151" t="str">
        <f t="shared" si="11"/>
        <v>人流量</v>
      </c>
      <c r="R27" s="1569" t="s">
        <v>8</v>
      </c>
      <c r="S27" s="1570">
        <f>F27</f>
        <v>100</v>
      </c>
      <c r="T27" s="1569" t="s">
        <v>8</v>
      </c>
      <c r="U27" s="1570">
        <f>H27</f>
        <v>100</v>
      </c>
      <c r="V27" s="1569" t="s">
        <v>8</v>
      </c>
      <c r="W27" s="1570">
        <f>J27</f>
        <v>100</v>
      </c>
      <c r="X27" s="1571"/>
      <c r="Y27" s="343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3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3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37"/>
      <c r="Q29" s="1573">
        <f t="shared" si="11"/>
        <v>111</v>
      </c>
      <c r="R29" s="1574" t="s">
        <v>8</v>
      </c>
      <c r="S29" s="1575">
        <f t="shared" si="12"/>
        <v>100</v>
      </c>
      <c r="T29" s="1574" t="s">
        <v>8</v>
      </c>
      <c r="U29" s="1575">
        <f t="shared" si="13"/>
        <v>100</v>
      </c>
      <c r="V29" s="1574" t="s">
        <v>8</v>
      </c>
      <c r="W29" s="1575">
        <f t="shared" si="14"/>
        <v>100</v>
      </c>
      <c r="X29" s="1568"/>
      <c r="Y29" s="343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37"/>
      <c r="Q30" s="1573">
        <f t="shared" si="11"/>
        <v>111</v>
      </c>
      <c r="R30" s="1574" t="s">
        <v>8</v>
      </c>
      <c r="S30" s="1575">
        <f t="shared" si="12"/>
        <v>100</v>
      </c>
      <c r="T30" s="1574" t="s">
        <v>8</v>
      </c>
      <c r="U30" s="1575">
        <f t="shared" si="13"/>
        <v>100</v>
      </c>
      <c r="V30" s="1574" t="s">
        <v>8</v>
      </c>
      <c r="W30" s="1575">
        <f t="shared" si="14"/>
        <v>100</v>
      </c>
      <c r="X30" s="1568"/>
      <c r="Y30" s="343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37"/>
      <c r="Q31" s="1573">
        <f t="shared" si="11"/>
        <v>111</v>
      </c>
      <c r="R31" s="1574" t="s">
        <v>8</v>
      </c>
      <c r="S31" s="1575">
        <f t="shared" si="12"/>
        <v>100</v>
      </c>
      <c r="T31" s="1574" t="s">
        <v>8</v>
      </c>
      <c r="U31" s="1575">
        <f t="shared" si="13"/>
        <v>100</v>
      </c>
      <c r="V31" s="1574" t="s">
        <v>8</v>
      </c>
      <c r="W31" s="1575">
        <f t="shared" si="14"/>
        <v>100</v>
      </c>
      <c r="X31" s="1568"/>
      <c r="Y31" s="3437"/>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38" t="s">
        <v>550</v>
      </c>
      <c r="Q32" s="1573" t="str">
        <f t="shared" si="11"/>
        <v>商业类型</v>
      </c>
      <c r="R32" s="1574" t="s">
        <v>8</v>
      </c>
      <c r="S32" s="1575">
        <f t="shared" si="12"/>
        <v>100</v>
      </c>
      <c r="T32" s="1574" t="s">
        <v>8</v>
      </c>
      <c r="U32" s="1575">
        <f t="shared" si="13"/>
        <v>100</v>
      </c>
      <c r="V32" s="1574" t="s">
        <v>8</v>
      </c>
      <c r="W32" s="1575">
        <f t="shared" si="14"/>
        <v>100</v>
      </c>
      <c r="X32" s="1568"/>
      <c r="Y32" s="343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39"/>
      <c r="Q33" s="1606" t="str">
        <f t="shared" si="11"/>
        <v>项目建筑规模</v>
      </c>
      <c r="R33" s="1578" t="s">
        <v>8</v>
      </c>
      <c r="S33" s="1579" t="e">
        <f t="shared" si="12"/>
        <v>#N/A</v>
      </c>
      <c r="T33" s="1578" t="s">
        <v>8</v>
      </c>
      <c r="U33" s="1579" t="e">
        <f t="shared" si="13"/>
        <v>#N/A</v>
      </c>
      <c r="V33" s="1578" t="s">
        <v>8</v>
      </c>
      <c r="W33" s="1579" t="e">
        <f t="shared" si="14"/>
        <v>#N/A</v>
      </c>
      <c r="X33" s="1580"/>
      <c r="Y33" s="343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39"/>
      <c r="Q34" s="1573" t="str">
        <f t="shared" si="11"/>
        <v>建筑结构</v>
      </c>
      <c r="R34" s="1574" t="s">
        <v>8</v>
      </c>
      <c r="S34" s="1575">
        <f t="shared" si="12"/>
        <v>100</v>
      </c>
      <c r="T34" s="1574" t="s">
        <v>8</v>
      </c>
      <c r="U34" s="1575">
        <f t="shared" si="13"/>
        <v>100</v>
      </c>
      <c r="V34" s="1574" t="s">
        <v>8</v>
      </c>
      <c r="W34" s="1575">
        <f t="shared" si="14"/>
        <v>100</v>
      </c>
      <c r="X34" s="1568"/>
      <c r="Y34" s="343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39"/>
      <c r="Q35" s="1573" t="str">
        <f t="shared" si="11"/>
        <v>公共部分装修</v>
      </c>
      <c r="R35" s="1574" t="s">
        <v>8</v>
      </c>
      <c r="S35" s="1575">
        <f t="shared" si="12"/>
        <v>100</v>
      </c>
      <c r="T35" s="1574" t="s">
        <v>8</v>
      </c>
      <c r="U35" s="1575">
        <f t="shared" si="13"/>
        <v>100</v>
      </c>
      <c r="V35" s="1574" t="s">
        <v>8</v>
      </c>
      <c r="W35" s="1575">
        <f t="shared" si="14"/>
        <v>100</v>
      </c>
      <c r="X35" s="1568"/>
      <c r="Y35" s="343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39"/>
      <c r="Q36" s="1573" t="str">
        <f t="shared" si="11"/>
        <v>成新度</v>
      </c>
      <c r="R36" s="1574" t="s">
        <v>8</v>
      </c>
      <c r="S36" s="1575" t="e">
        <f t="shared" si="12"/>
        <v>#N/A</v>
      </c>
      <c r="T36" s="1574" t="s">
        <v>8</v>
      </c>
      <c r="U36" s="1575" t="e">
        <f t="shared" si="13"/>
        <v>#N/A</v>
      </c>
      <c r="V36" s="1574" t="s">
        <v>8</v>
      </c>
      <c r="W36" s="1575" t="e">
        <f t="shared" si="14"/>
        <v>#N/A</v>
      </c>
      <c r="X36" s="1568"/>
      <c r="Y36" s="3439"/>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39"/>
      <c r="Q37" s="1151" t="str">
        <f t="shared" si="11"/>
        <v>市政基础设施</v>
      </c>
      <c r="R37" s="1569" t="s">
        <v>8</v>
      </c>
      <c r="S37" s="1570">
        <f t="shared" si="12"/>
        <v>100</v>
      </c>
      <c r="T37" s="1569" t="s">
        <v>8</v>
      </c>
      <c r="U37" s="1570">
        <f t="shared" si="13"/>
        <v>100</v>
      </c>
      <c r="V37" s="1569" t="s">
        <v>8</v>
      </c>
      <c r="W37" s="1570">
        <f t="shared" si="14"/>
        <v>100</v>
      </c>
      <c r="X37" s="1571"/>
      <c r="Y37" s="343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39" t="s">
        <v>766</v>
      </c>
      <c r="Q38" s="1573" t="str">
        <f t="shared" si="11"/>
        <v>业态</v>
      </c>
      <c r="R38" s="1574" t="s">
        <v>8</v>
      </c>
      <c r="S38" s="1575">
        <f t="shared" si="12"/>
        <v>100</v>
      </c>
      <c r="T38" s="1574" t="s">
        <v>8</v>
      </c>
      <c r="U38" s="1575">
        <f t="shared" si="13"/>
        <v>100</v>
      </c>
      <c r="V38" s="1574" t="s">
        <v>8</v>
      </c>
      <c r="W38" s="1575">
        <f t="shared" si="14"/>
        <v>100</v>
      </c>
      <c r="X38" s="1568"/>
      <c r="Y38" s="343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39"/>
      <c r="Q39" s="1573" t="str">
        <f t="shared" si="11"/>
        <v>层高</v>
      </c>
      <c r="R39" s="1574" t="s">
        <v>8</v>
      </c>
      <c r="S39" s="1575">
        <f t="shared" si="12"/>
        <v>100</v>
      </c>
      <c r="T39" s="1574" t="s">
        <v>8</v>
      </c>
      <c r="U39" s="1575">
        <f t="shared" si="13"/>
        <v>100</v>
      </c>
      <c r="V39" s="1574" t="s">
        <v>8</v>
      </c>
      <c r="W39" s="1575">
        <f t="shared" si="14"/>
        <v>100</v>
      </c>
      <c r="X39" s="1568"/>
      <c r="Y39" s="343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39"/>
      <c r="Q40" s="1573" t="str">
        <f t="shared" si="11"/>
        <v>单套建筑面积</v>
      </c>
      <c r="R40" s="1574" t="s">
        <v>8</v>
      </c>
      <c r="S40" s="1575">
        <f t="shared" si="12"/>
        <v>100</v>
      </c>
      <c r="T40" s="1574" t="s">
        <v>8</v>
      </c>
      <c r="U40" s="1575">
        <f t="shared" si="13"/>
        <v>100</v>
      </c>
      <c r="V40" s="1574" t="s">
        <v>8</v>
      </c>
      <c r="W40" s="1575">
        <f t="shared" si="14"/>
        <v>100</v>
      </c>
      <c r="X40" s="1568"/>
      <c r="Y40" s="343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39"/>
      <c r="Q41" s="1606" t="str">
        <f t="shared" si="11"/>
        <v>进深比</v>
      </c>
      <c r="R41" s="1578" t="s">
        <v>8</v>
      </c>
      <c r="S41" s="1579">
        <f t="shared" si="12"/>
        <v>100</v>
      </c>
      <c r="T41" s="1578" t="s">
        <v>8</v>
      </c>
      <c r="U41" s="1579">
        <f t="shared" si="13"/>
        <v>100</v>
      </c>
      <c r="V41" s="1578" t="s">
        <v>8</v>
      </c>
      <c r="W41" s="1579">
        <f t="shared" si="14"/>
        <v>100</v>
      </c>
      <c r="X41" s="1580"/>
      <c r="Y41" s="343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39"/>
      <c r="Q42" s="1573" t="str">
        <f t="shared" si="11"/>
        <v>内部装修</v>
      </c>
      <c r="R42" s="1574" t="s">
        <v>8</v>
      </c>
      <c r="S42" s="1575">
        <f t="shared" si="12"/>
        <v>100</v>
      </c>
      <c r="T42" s="1574" t="s">
        <v>8</v>
      </c>
      <c r="U42" s="1575">
        <f t="shared" si="13"/>
        <v>100</v>
      </c>
      <c r="V42" s="1574" t="s">
        <v>8</v>
      </c>
      <c r="W42" s="1575">
        <f t="shared" si="14"/>
        <v>100</v>
      </c>
      <c r="X42" s="1568"/>
      <c r="Y42" s="343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39"/>
      <c r="Q43" s="1573" t="str">
        <f t="shared" si="11"/>
        <v>内部装修维护情况</v>
      </c>
      <c r="R43" s="1574" t="s">
        <v>8</v>
      </c>
      <c r="S43" s="1575">
        <f t="shared" si="12"/>
        <v>100</v>
      </c>
      <c r="T43" s="1574" t="s">
        <v>8</v>
      </c>
      <c r="U43" s="1575">
        <f t="shared" si="13"/>
        <v>100</v>
      </c>
      <c r="V43" s="1574" t="s">
        <v>8</v>
      </c>
      <c r="W43" s="1575">
        <f t="shared" si="14"/>
        <v>100</v>
      </c>
      <c r="X43" s="1568"/>
      <c r="Y43" s="343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39"/>
      <c r="Q44" s="1151">
        <f t="shared" si="11"/>
        <v>111</v>
      </c>
      <c r="R44" s="1569" t="s">
        <v>8</v>
      </c>
      <c r="S44" s="1570">
        <f t="shared" si="12"/>
        <v>100</v>
      </c>
      <c r="T44" s="1569" t="s">
        <v>8</v>
      </c>
      <c r="U44" s="1570">
        <f t="shared" si="13"/>
        <v>100</v>
      </c>
      <c r="V44" s="1569" t="s">
        <v>8</v>
      </c>
      <c r="W44" s="1570">
        <f t="shared" si="14"/>
        <v>100</v>
      </c>
      <c r="X44" s="1571"/>
      <c r="Y44" s="343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39"/>
      <c r="Q45" s="1573">
        <f t="shared" si="11"/>
        <v>111</v>
      </c>
      <c r="R45" s="1574" t="s">
        <v>8</v>
      </c>
      <c r="S45" s="1575">
        <f t="shared" si="12"/>
        <v>100</v>
      </c>
      <c r="T45" s="1574" t="s">
        <v>8</v>
      </c>
      <c r="U45" s="1575">
        <f t="shared" si="13"/>
        <v>100</v>
      </c>
      <c r="V45" s="1574" t="s">
        <v>8</v>
      </c>
      <c r="W45" s="1575">
        <f t="shared" si="14"/>
        <v>100</v>
      </c>
      <c r="X45" s="1568"/>
      <c r="Y45" s="343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33"/>
      <c r="Q46" s="1573">
        <f t="shared" si="11"/>
        <v>111</v>
      </c>
      <c r="R46" s="1574" t="s">
        <v>8</v>
      </c>
      <c r="S46" s="1575">
        <f t="shared" si="12"/>
        <v>100</v>
      </c>
      <c r="T46" s="1574" t="s">
        <v>8</v>
      </c>
      <c r="U46" s="1575">
        <f t="shared" si="13"/>
        <v>100</v>
      </c>
      <c r="V46" s="1574" t="s">
        <v>8</v>
      </c>
      <c r="W46" s="1575">
        <f t="shared" si="14"/>
        <v>100</v>
      </c>
      <c r="X46" s="1568"/>
      <c r="Y46" s="3533"/>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02" t="str">
        <f>A47</f>
        <v>成交单价（元/平方米）</v>
      </c>
      <c r="Q47" s="3402"/>
      <c r="R47" s="3532">
        <f>E47</f>
        <v>0</v>
      </c>
      <c r="S47" s="3532"/>
      <c r="T47" s="3532">
        <f>G47</f>
        <v>0</v>
      </c>
      <c r="U47" s="3532"/>
      <c r="V47" s="3532">
        <f>I47</f>
        <v>0</v>
      </c>
      <c r="W47" s="353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02" t="str">
        <f>A48</f>
        <v>比较价格（元/平方米）</v>
      </c>
      <c r="Q48" s="3402"/>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399" t="str">
        <f>A49</f>
        <v>估价对象XX用房的比较价格（楼面单价，元/平方米）</v>
      </c>
      <c r="Q49" s="3400"/>
      <c r="R49" s="3531" t="e">
        <f>IF(F1="售价",ROUND(AVERAGE(R48:V48),0),ROUND(AVERAGE(R48:V48),1))</f>
        <v>#DIV/0!</v>
      </c>
      <c r="S49" s="3531"/>
      <c r="T49" s="3531"/>
      <c r="U49" s="3531"/>
      <c r="V49" s="3531"/>
      <c r="W49" s="353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08" t="s">
        <v>522</v>
      </c>
      <c r="D4" s="3409"/>
      <c r="E4" s="3442" t="s">
        <v>523</v>
      </c>
      <c r="F4" s="3443"/>
      <c r="G4" s="3408" t="s">
        <v>524</v>
      </c>
      <c r="H4" s="3409"/>
      <c r="I4" s="3408" t="s">
        <v>525</v>
      </c>
      <c r="J4" s="3409"/>
      <c r="K4" s="514" t="s">
        <v>526</v>
      </c>
      <c r="L4" s="2135"/>
      <c r="M4" s="2136"/>
      <c r="N4" s="2136"/>
      <c r="O4" s="2136"/>
      <c r="P4" s="3535" t="s">
        <v>527</v>
      </c>
      <c r="Q4" s="3411"/>
      <c r="R4" s="3416" t="s">
        <v>523</v>
      </c>
      <c r="S4" s="3417"/>
      <c r="T4" s="3416" t="s">
        <v>524</v>
      </c>
      <c r="U4" s="3417"/>
      <c r="V4" s="3403" t="s">
        <v>525</v>
      </c>
      <c r="W4" s="3403"/>
      <c r="X4" s="1568"/>
      <c r="Y4" s="3416" t="s">
        <v>527</v>
      </c>
      <c r="Z4" s="3417"/>
      <c r="AA4" s="3405" t="s">
        <v>523</v>
      </c>
      <c r="AB4" s="3405" t="s">
        <v>524</v>
      </c>
      <c r="AC4" s="3405" t="s">
        <v>525</v>
      </c>
    </row>
    <row r="5" spans="1:29" ht="15">
      <c r="A5" s="515"/>
      <c r="B5" s="516"/>
      <c r="C5" s="3424" t="s">
        <v>2933</v>
      </c>
      <c r="D5" s="3425"/>
      <c r="E5" s="3444" t="s">
        <v>2934</v>
      </c>
      <c r="F5" s="3445"/>
      <c r="G5" s="3424" t="s">
        <v>2935</v>
      </c>
      <c r="H5" s="3425"/>
      <c r="I5" s="3424" t="s">
        <v>2936</v>
      </c>
      <c r="J5" s="3425"/>
      <c r="K5" s="514"/>
      <c r="L5" s="2135"/>
      <c r="M5" s="2136"/>
      <c r="N5" s="2136"/>
      <c r="O5" s="2136"/>
      <c r="P5" s="3536"/>
      <c r="Q5" s="3413"/>
      <c r="R5" s="3418"/>
      <c r="S5" s="3419"/>
      <c r="T5" s="3418"/>
      <c r="U5" s="3419"/>
      <c r="V5" s="3403"/>
      <c r="W5" s="3403"/>
      <c r="X5" s="1568"/>
      <c r="Y5" s="3418"/>
      <c r="Z5" s="3419"/>
      <c r="AA5" s="3406"/>
      <c r="AB5" s="3406"/>
      <c r="AC5" s="3406"/>
    </row>
    <row r="6" spans="1:29" ht="15.75" thickBot="1">
      <c r="A6" s="517"/>
      <c r="B6" s="518"/>
      <c r="C6" s="3422" t="s">
        <v>2937</v>
      </c>
      <c r="D6" s="3423"/>
      <c r="E6" s="3440" t="s">
        <v>2937</v>
      </c>
      <c r="F6" s="3441"/>
      <c r="G6" s="3422" t="s">
        <v>2937</v>
      </c>
      <c r="H6" s="3423"/>
      <c r="I6" s="3422" t="s">
        <v>2937</v>
      </c>
      <c r="J6" s="3423"/>
      <c r="K6" s="514" t="s">
        <v>528</v>
      </c>
      <c r="L6" s="2135"/>
      <c r="M6" s="2136"/>
      <c r="N6" s="2136"/>
      <c r="O6" s="2136"/>
      <c r="P6" s="3537"/>
      <c r="Q6" s="3415"/>
      <c r="R6" s="3418"/>
      <c r="S6" s="3419"/>
      <c r="T6" s="3420"/>
      <c r="U6" s="3421"/>
      <c r="V6" s="3403"/>
      <c r="W6" s="3403"/>
      <c r="X6" s="1568"/>
      <c r="Y6" s="3420"/>
      <c r="Z6" s="3421"/>
      <c r="AA6" s="3407"/>
      <c r="AB6" s="3407"/>
      <c r="AC6" s="3407"/>
    </row>
    <row r="7" spans="1:29" s="1220" customFormat="1" ht="15.75" thickBot="1">
      <c r="A7" s="2914"/>
      <c r="B7" s="2921" t="s">
        <v>529</v>
      </c>
      <c r="C7" s="519">
        <f>'数据-取费表'!B2</f>
        <v>43410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5" t="s">
        <v>530</v>
      </c>
      <c r="Q7" s="3435"/>
      <c r="R7" s="1569" t="s">
        <v>8</v>
      </c>
      <c r="S7" s="1570">
        <f t="shared" ref="S7:S15" si="0">F7</f>
        <v>0</v>
      </c>
      <c r="T7" s="1569" t="s">
        <v>8</v>
      </c>
      <c r="U7" s="1570">
        <f t="shared" ref="U7:U15" si="1">H7</f>
        <v>0</v>
      </c>
      <c r="V7" s="1569" t="s">
        <v>8</v>
      </c>
      <c r="W7" s="1570">
        <f t="shared" ref="W7:W15"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5" t="s">
        <v>533</v>
      </c>
      <c r="Q8" s="3434"/>
      <c r="R8" s="1569" t="s">
        <v>8</v>
      </c>
      <c r="S8" s="1570">
        <f t="shared" si="0"/>
        <v>0</v>
      </c>
      <c r="T8" s="1569" t="s">
        <v>8</v>
      </c>
      <c r="U8" s="1570">
        <f t="shared" si="1"/>
        <v>0</v>
      </c>
      <c r="V8" s="1569" t="s">
        <v>8</v>
      </c>
      <c r="W8" s="1570">
        <f t="shared" si="2"/>
        <v>0</v>
      </c>
      <c r="X8" s="1571"/>
      <c r="Y8" s="3433" t="s">
        <v>533</v>
      </c>
      <c r="Z8" s="3434"/>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2"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2"/>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2"/>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2"/>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2"/>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36" t="s">
        <v>540</v>
      </c>
      <c r="Q15" s="1573" t="str">
        <f t="shared" si="6"/>
        <v>办公集聚程度</v>
      </c>
      <c r="R15" s="1574" t="s">
        <v>8</v>
      </c>
      <c r="S15" s="1575">
        <f t="shared" si="0"/>
        <v>100</v>
      </c>
      <c r="T15" s="1574" t="s">
        <v>8</v>
      </c>
      <c r="U15" s="1575">
        <f t="shared" si="1"/>
        <v>100</v>
      </c>
      <c r="V15" s="1574" t="s">
        <v>8</v>
      </c>
      <c r="W15" s="1575">
        <f t="shared" si="2"/>
        <v>100</v>
      </c>
      <c r="X15" s="1568"/>
      <c r="Y15" s="343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37"/>
      <c r="Q16" s="1573"/>
      <c r="R16" s="1574"/>
      <c r="S16" s="1575"/>
      <c r="T16" s="1574"/>
      <c r="U16" s="1575"/>
      <c r="V16" s="1574"/>
      <c r="W16" s="1575"/>
      <c r="X16" s="1568"/>
      <c r="Y16" s="343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37"/>
      <c r="Q17" s="1573" t="str">
        <f>B17</f>
        <v>交通便捷度</v>
      </c>
      <c r="R17" s="1574" t="s">
        <v>8</v>
      </c>
      <c r="S17" s="1575">
        <f>F17</f>
        <v>100</v>
      </c>
      <c r="T17" s="1574" t="s">
        <v>8</v>
      </c>
      <c r="U17" s="1575">
        <f>H17</f>
        <v>100</v>
      </c>
      <c r="V17" s="1574" t="s">
        <v>8</v>
      </c>
      <c r="W17" s="1575">
        <f>J17</f>
        <v>100</v>
      </c>
      <c r="X17" s="1568"/>
      <c r="Y17" s="343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37"/>
      <c r="Q18" s="1573"/>
      <c r="R18" s="1574"/>
      <c r="S18" s="1575"/>
      <c r="T18" s="1574"/>
      <c r="U18" s="1575"/>
      <c r="V18" s="1574"/>
      <c r="W18" s="1575"/>
      <c r="X18" s="1568"/>
      <c r="Y18" s="3437"/>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37"/>
      <c r="Q19" s="1573" t="str">
        <f>B19</f>
        <v>公共配套设施</v>
      </c>
      <c r="R19" s="1574" t="s">
        <v>8</v>
      </c>
      <c r="S19" s="1575">
        <f>F19</f>
        <v>100</v>
      </c>
      <c r="T19" s="1574" t="s">
        <v>8</v>
      </c>
      <c r="U19" s="1575">
        <f>H19</f>
        <v>100</v>
      </c>
      <c r="V19" s="1574" t="s">
        <v>8</v>
      </c>
      <c r="W19" s="1575">
        <f>J19</f>
        <v>100</v>
      </c>
      <c r="X19" s="1568"/>
      <c r="Y19" s="343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37"/>
      <c r="Q20" s="1573"/>
      <c r="R20" s="1574"/>
      <c r="S20" s="1575"/>
      <c r="T20" s="1574"/>
      <c r="U20" s="1575"/>
      <c r="V20" s="1574"/>
      <c r="W20" s="1575"/>
      <c r="X20" s="1568"/>
      <c r="Y20" s="3437"/>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37"/>
      <c r="Q21" s="2581" t="str">
        <f>B21</f>
        <v>基础设施水平</v>
      </c>
      <c r="R21" s="1574" t="s">
        <v>8</v>
      </c>
      <c r="S21" s="1575">
        <f>F21</f>
        <v>100</v>
      </c>
      <c r="T21" s="1574" t="s">
        <v>8</v>
      </c>
      <c r="U21" s="1575">
        <f>H21</f>
        <v>100</v>
      </c>
      <c r="V21" s="1574" t="s">
        <v>8</v>
      </c>
      <c r="W21" s="1575">
        <f>J21</f>
        <v>100</v>
      </c>
      <c r="X21" s="2583"/>
      <c r="Y21" s="3437"/>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37"/>
      <c r="Q22" s="2581"/>
      <c r="R22" s="1574"/>
      <c r="S22" s="1575"/>
      <c r="T22" s="1574"/>
      <c r="U22" s="1575"/>
      <c r="V22" s="1574"/>
      <c r="W22" s="1575"/>
      <c r="X22" s="2583"/>
      <c r="Y22" s="3437"/>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37"/>
      <c r="Q23" s="1573" t="str">
        <f>B23</f>
        <v>环境质量</v>
      </c>
      <c r="R23" s="1574" t="s">
        <v>8</v>
      </c>
      <c r="S23" s="1575">
        <f>F23</f>
        <v>100</v>
      </c>
      <c r="T23" s="1574" t="s">
        <v>8</v>
      </c>
      <c r="U23" s="1575">
        <f>H23</f>
        <v>100</v>
      </c>
      <c r="V23" s="1574" t="s">
        <v>8</v>
      </c>
      <c r="W23" s="1575">
        <f>J23</f>
        <v>100</v>
      </c>
      <c r="X23" s="1568"/>
      <c r="Y23" s="343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37"/>
      <c r="Q24" s="1573"/>
      <c r="R24" s="1574"/>
      <c r="S24" s="1575"/>
      <c r="T24" s="1574"/>
      <c r="U24" s="1575"/>
      <c r="V24" s="1574"/>
      <c r="W24" s="1575"/>
      <c r="X24" s="1568"/>
      <c r="Y24" s="343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37"/>
      <c r="Q25" s="1573" t="str">
        <f>B25</f>
        <v>毗邻道路的类型与等级</v>
      </c>
      <c r="R25" s="1574" t="s">
        <v>8</v>
      </c>
      <c r="S25" s="1575">
        <f>F25</f>
        <v>100</v>
      </c>
      <c r="T25" s="1574" t="s">
        <v>8</v>
      </c>
      <c r="U25" s="1575">
        <f>H25</f>
        <v>100</v>
      </c>
      <c r="V25" s="1574" t="s">
        <v>8</v>
      </c>
      <c r="W25" s="1575">
        <f>J25</f>
        <v>100</v>
      </c>
      <c r="X25" s="1568"/>
      <c r="Y25" s="343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37"/>
      <c r="Q26" s="1573"/>
      <c r="R26" s="1574"/>
      <c r="S26" s="1575"/>
      <c r="T26" s="1574"/>
      <c r="U26" s="1575"/>
      <c r="V26" s="1574"/>
      <c r="W26" s="1575"/>
      <c r="X26" s="1568"/>
      <c r="Y26" s="343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37"/>
      <c r="Q27" s="1573" t="str">
        <f t="shared" ref="Q27:Q47" si="11">B27</f>
        <v>楼层</v>
      </c>
      <c r="R27" s="1574" t="s">
        <v>8</v>
      </c>
      <c r="S27" s="1575">
        <f>F27</f>
        <v>100</v>
      </c>
      <c r="T27" s="1574" t="s">
        <v>8</v>
      </c>
      <c r="U27" s="1575">
        <f>H27</f>
        <v>100</v>
      </c>
      <c r="V27" s="1574" t="s">
        <v>8</v>
      </c>
      <c r="W27" s="1575">
        <f>J27</f>
        <v>100</v>
      </c>
      <c r="X27" s="1568"/>
      <c r="Y27" s="343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37"/>
      <c r="Q28" s="1151" t="str">
        <f t="shared" si="11"/>
        <v>朝向</v>
      </c>
      <c r="R28" s="1569" t="s">
        <v>8</v>
      </c>
      <c r="S28" s="1570">
        <f>F28</f>
        <v>100</v>
      </c>
      <c r="T28" s="1569" t="s">
        <v>8</v>
      </c>
      <c r="U28" s="1570">
        <f>H28</f>
        <v>100</v>
      </c>
      <c r="V28" s="1569" t="s">
        <v>8</v>
      </c>
      <c r="W28" s="1570">
        <f>J28</f>
        <v>100</v>
      </c>
      <c r="X28" s="1571"/>
      <c r="Y28" s="343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37"/>
      <c r="Q29" s="1573">
        <f t="shared" si="11"/>
        <v>111</v>
      </c>
      <c r="R29" s="1574" t="s">
        <v>8</v>
      </c>
      <c r="S29" s="1575">
        <f t="shared" ref="S29:S47" si="12">F29</f>
        <v>100</v>
      </c>
      <c r="T29" s="1574" t="s">
        <v>8</v>
      </c>
      <c r="U29" s="1575">
        <f t="shared" ref="U29:U47" si="13">H29</f>
        <v>100</v>
      </c>
      <c r="V29" s="1574" t="s">
        <v>8</v>
      </c>
      <c r="W29" s="1575">
        <f t="shared" ref="W29:W47" si="14">J29</f>
        <v>100</v>
      </c>
      <c r="X29" s="1568"/>
      <c r="Y29" s="343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37"/>
      <c r="Q30" s="1573">
        <f t="shared" si="11"/>
        <v>111</v>
      </c>
      <c r="R30" s="1574" t="s">
        <v>8</v>
      </c>
      <c r="S30" s="1575">
        <f t="shared" si="12"/>
        <v>100</v>
      </c>
      <c r="T30" s="1574" t="s">
        <v>8</v>
      </c>
      <c r="U30" s="1575">
        <f t="shared" si="13"/>
        <v>100</v>
      </c>
      <c r="V30" s="1574" t="s">
        <v>8</v>
      </c>
      <c r="W30" s="1575">
        <f t="shared" si="14"/>
        <v>100</v>
      </c>
      <c r="X30" s="1568"/>
      <c r="Y30" s="343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37"/>
      <c r="Q31" s="1573">
        <f t="shared" si="11"/>
        <v>111</v>
      </c>
      <c r="R31" s="1574" t="s">
        <v>8</v>
      </c>
      <c r="S31" s="1575">
        <f t="shared" si="12"/>
        <v>100</v>
      </c>
      <c r="T31" s="1574" t="s">
        <v>8</v>
      </c>
      <c r="U31" s="1575">
        <f t="shared" si="13"/>
        <v>100</v>
      </c>
      <c r="V31" s="1574" t="s">
        <v>8</v>
      </c>
      <c r="W31" s="1575">
        <f t="shared" si="14"/>
        <v>100</v>
      </c>
      <c r="X31" s="1568"/>
      <c r="Y31" s="343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37"/>
      <c r="Q32" s="1573">
        <f t="shared" si="11"/>
        <v>111</v>
      </c>
      <c r="R32" s="1574" t="s">
        <v>8</v>
      </c>
      <c r="S32" s="1575">
        <f t="shared" si="12"/>
        <v>100</v>
      </c>
      <c r="T32" s="1574" t="s">
        <v>8</v>
      </c>
      <c r="U32" s="1575">
        <f t="shared" si="13"/>
        <v>100</v>
      </c>
      <c r="V32" s="1574" t="s">
        <v>8</v>
      </c>
      <c r="W32" s="1575">
        <f t="shared" si="14"/>
        <v>100</v>
      </c>
      <c r="X32" s="1568"/>
      <c r="Y32" s="3437"/>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38" t="s">
        <v>550</v>
      </c>
      <c r="Q33" s="1573" t="str">
        <f t="shared" si="11"/>
        <v>建筑类型</v>
      </c>
      <c r="R33" s="1574" t="s">
        <v>8</v>
      </c>
      <c r="S33" s="1575">
        <f t="shared" si="12"/>
        <v>100</v>
      </c>
      <c r="T33" s="1574" t="s">
        <v>8</v>
      </c>
      <c r="U33" s="1575">
        <f t="shared" si="13"/>
        <v>100</v>
      </c>
      <c r="V33" s="1574" t="s">
        <v>8</v>
      </c>
      <c r="W33" s="1575">
        <f t="shared" si="14"/>
        <v>100</v>
      </c>
      <c r="X33" s="1568"/>
      <c r="Y33" s="343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39"/>
      <c r="Q34" s="1606" t="str">
        <f t="shared" si="11"/>
        <v>项目建筑规模</v>
      </c>
      <c r="R34" s="1578" t="s">
        <v>8</v>
      </c>
      <c r="S34" s="1579" t="e">
        <f t="shared" si="12"/>
        <v>#N/A</v>
      </c>
      <c r="T34" s="1578" t="s">
        <v>8</v>
      </c>
      <c r="U34" s="1579" t="e">
        <f t="shared" si="13"/>
        <v>#N/A</v>
      </c>
      <c r="V34" s="1578" t="s">
        <v>8</v>
      </c>
      <c r="W34" s="1579" t="e">
        <f t="shared" si="14"/>
        <v>#N/A</v>
      </c>
      <c r="X34" s="1580"/>
      <c r="Y34" s="343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39"/>
      <c r="Q35" s="1573" t="str">
        <f t="shared" si="11"/>
        <v>建筑结构</v>
      </c>
      <c r="R35" s="1574" t="s">
        <v>8</v>
      </c>
      <c r="S35" s="1575">
        <f t="shared" si="12"/>
        <v>100</v>
      </c>
      <c r="T35" s="1574" t="s">
        <v>8</v>
      </c>
      <c r="U35" s="1575">
        <f t="shared" si="13"/>
        <v>100</v>
      </c>
      <c r="V35" s="1574" t="s">
        <v>8</v>
      </c>
      <c r="W35" s="1575">
        <f t="shared" si="14"/>
        <v>100</v>
      </c>
      <c r="X35" s="1568"/>
      <c r="Y35" s="343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39"/>
      <c r="Q36" s="1573" t="str">
        <f t="shared" si="11"/>
        <v>公共部分装修</v>
      </c>
      <c r="R36" s="1574" t="s">
        <v>8</v>
      </c>
      <c r="S36" s="1575">
        <f t="shared" si="12"/>
        <v>100</v>
      </c>
      <c r="T36" s="1574" t="s">
        <v>8</v>
      </c>
      <c r="U36" s="1575">
        <f t="shared" si="13"/>
        <v>100</v>
      </c>
      <c r="V36" s="1574" t="s">
        <v>8</v>
      </c>
      <c r="W36" s="1575">
        <f t="shared" si="14"/>
        <v>100</v>
      </c>
      <c r="X36" s="1568"/>
      <c r="Y36" s="343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39"/>
      <c r="Q37" s="1573" t="str">
        <f t="shared" si="11"/>
        <v>成新度</v>
      </c>
      <c r="R37" s="1574" t="s">
        <v>8</v>
      </c>
      <c r="S37" s="1575" t="e">
        <f t="shared" si="12"/>
        <v>#N/A</v>
      </c>
      <c r="T37" s="1574" t="s">
        <v>8</v>
      </c>
      <c r="U37" s="1575" t="e">
        <f t="shared" si="13"/>
        <v>#N/A</v>
      </c>
      <c r="V37" s="1574" t="s">
        <v>8</v>
      </c>
      <c r="W37" s="1575" t="e">
        <f t="shared" si="14"/>
        <v>#N/A</v>
      </c>
      <c r="X37" s="1568"/>
      <c r="Y37" s="343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39"/>
      <c r="Q38" s="1151" t="str">
        <f t="shared" si="11"/>
        <v>写字楼等级</v>
      </c>
      <c r="R38" s="1569" t="s">
        <v>8</v>
      </c>
      <c r="S38" s="1570">
        <f t="shared" si="12"/>
        <v>100</v>
      </c>
      <c r="T38" s="1569" t="s">
        <v>8</v>
      </c>
      <c r="U38" s="1570">
        <f t="shared" si="13"/>
        <v>100</v>
      </c>
      <c r="V38" s="1569" t="s">
        <v>8</v>
      </c>
      <c r="W38" s="1570">
        <f t="shared" si="14"/>
        <v>100</v>
      </c>
      <c r="X38" s="1571"/>
      <c r="Y38" s="343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39" t="s">
        <v>550</v>
      </c>
      <c r="Q39" s="1573" t="str">
        <f t="shared" si="11"/>
        <v>物业管理</v>
      </c>
      <c r="R39" s="1574" t="s">
        <v>8</v>
      </c>
      <c r="S39" s="1575">
        <f t="shared" si="12"/>
        <v>100</v>
      </c>
      <c r="T39" s="1574" t="s">
        <v>8</v>
      </c>
      <c r="U39" s="1575">
        <f t="shared" si="13"/>
        <v>100</v>
      </c>
      <c r="V39" s="1574" t="s">
        <v>8</v>
      </c>
      <c r="W39" s="1575">
        <f t="shared" si="14"/>
        <v>100</v>
      </c>
      <c r="X39" s="1568"/>
      <c r="Y39" s="3439"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39"/>
      <c r="Q40" s="1573" t="str">
        <f t="shared" si="11"/>
        <v>市政基础设施</v>
      </c>
      <c r="R40" s="1574" t="s">
        <v>8</v>
      </c>
      <c r="S40" s="1575">
        <f t="shared" si="12"/>
        <v>100</v>
      </c>
      <c r="T40" s="1574" t="s">
        <v>8</v>
      </c>
      <c r="U40" s="1575">
        <f t="shared" si="13"/>
        <v>100</v>
      </c>
      <c r="V40" s="1574" t="s">
        <v>8</v>
      </c>
      <c r="W40" s="1575">
        <f t="shared" si="14"/>
        <v>100</v>
      </c>
      <c r="X40" s="1568"/>
      <c r="Y40" s="343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39"/>
      <c r="Q41" s="1573" t="str">
        <f t="shared" si="11"/>
        <v>层高</v>
      </c>
      <c r="R41" s="1574" t="s">
        <v>8</v>
      </c>
      <c r="S41" s="1575">
        <f t="shared" si="12"/>
        <v>100</v>
      </c>
      <c r="T41" s="1574" t="s">
        <v>8</v>
      </c>
      <c r="U41" s="1575">
        <f t="shared" si="13"/>
        <v>100</v>
      </c>
      <c r="V41" s="1574" t="s">
        <v>8</v>
      </c>
      <c r="W41" s="1575">
        <f t="shared" si="14"/>
        <v>100</v>
      </c>
      <c r="X41" s="1568"/>
      <c r="Y41" s="343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39"/>
      <c r="Q42" s="1606" t="str">
        <f t="shared" si="11"/>
        <v>单套建筑面积</v>
      </c>
      <c r="R42" s="1578" t="s">
        <v>8</v>
      </c>
      <c r="S42" s="1579">
        <f t="shared" si="12"/>
        <v>100</v>
      </c>
      <c r="T42" s="1578" t="s">
        <v>8</v>
      </c>
      <c r="U42" s="1579">
        <f t="shared" si="13"/>
        <v>100</v>
      </c>
      <c r="V42" s="1578" t="s">
        <v>8</v>
      </c>
      <c r="W42" s="1579">
        <f t="shared" si="14"/>
        <v>100</v>
      </c>
      <c r="X42" s="1580"/>
      <c r="Y42" s="343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39"/>
      <c r="Q43" s="1573" t="str">
        <f t="shared" si="11"/>
        <v>内部装修</v>
      </c>
      <c r="R43" s="1574" t="s">
        <v>8</v>
      </c>
      <c r="S43" s="1575">
        <f t="shared" si="12"/>
        <v>100</v>
      </c>
      <c r="T43" s="1574" t="s">
        <v>8</v>
      </c>
      <c r="U43" s="1575">
        <f t="shared" si="13"/>
        <v>100</v>
      </c>
      <c r="V43" s="1574" t="s">
        <v>8</v>
      </c>
      <c r="W43" s="1575">
        <f t="shared" si="14"/>
        <v>100</v>
      </c>
      <c r="X43" s="1568"/>
      <c r="Y43" s="343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39"/>
      <c r="Q44" s="1573" t="str">
        <f t="shared" si="11"/>
        <v>内部装修维护情况</v>
      </c>
      <c r="R44" s="1574" t="s">
        <v>8</v>
      </c>
      <c r="S44" s="1575">
        <f t="shared" si="12"/>
        <v>100</v>
      </c>
      <c r="T44" s="1574" t="s">
        <v>8</v>
      </c>
      <c r="U44" s="1575">
        <f t="shared" si="13"/>
        <v>100</v>
      </c>
      <c r="V44" s="1574" t="s">
        <v>8</v>
      </c>
      <c r="W44" s="1575">
        <f t="shared" si="14"/>
        <v>100</v>
      </c>
      <c r="X44" s="1568"/>
      <c r="Y44" s="343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39"/>
      <c r="Q45" s="1151">
        <f t="shared" si="11"/>
        <v>111</v>
      </c>
      <c r="R45" s="1569" t="s">
        <v>8</v>
      </c>
      <c r="S45" s="1570">
        <f t="shared" si="12"/>
        <v>100</v>
      </c>
      <c r="T45" s="1569" t="s">
        <v>8</v>
      </c>
      <c r="U45" s="1570">
        <f t="shared" si="13"/>
        <v>100</v>
      </c>
      <c r="V45" s="1569" t="s">
        <v>8</v>
      </c>
      <c r="W45" s="1570">
        <f t="shared" si="14"/>
        <v>100</v>
      </c>
      <c r="X45" s="1571"/>
      <c r="Y45" s="343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39"/>
      <c r="Q46" s="1573">
        <f t="shared" si="11"/>
        <v>111</v>
      </c>
      <c r="R46" s="1574" t="s">
        <v>8</v>
      </c>
      <c r="S46" s="1575">
        <f t="shared" si="12"/>
        <v>100</v>
      </c>
      <c r="T46" s="1574" t="s">
        <v>8</v>
      </c>
      <c r="U46" s="1575">
        <f t="shared" si="13"/>
        <v>100</v>
      </c>
      <c r="V46" s="1574" t="s">
        <v>8</v>
      </c>
      <c r="W46" s="1575">
        <f t="shared" si="14"/>
        <v>100</v>
      </c>
      <c r="X46" s="1568"/>
      <c r="Y46" s="343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33"/>
      <c r="Q47" s="1573">
        <f t="shared" si="11"/>
        <v>111</v>
      </c>
      <c r="R47" s="1574" t="s">
        <v>8</v>
      </c>
      <c r="S47" s="1575">
        <f t="shared" si="12"/>
        <v>100</v>
      </c>
      <c r="T47" s="1574" t="s">
        <v>8</v>
      </c>
      <c r="U47" s="1575">
        <f t="shared" si="13"/>
        <v>100</v>
      </c>
      <c r="V47" s="1574" t="s">
        <v>8</v>
      </c>
      <c r="W47" s="1575">
        <f t="shared" si="14"/>
        <v>100</v>
      </c>
      <c r="X47" s="1568"/>
      <c r="Y47" s="353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0" t="str">
        <f>A48</f>
        <v>成交单价（元/平方米）</v>
      </c>
      <c r="Q48" s="3402"/>
      <c r="R48" s="3532">
        <f>E48</f>
        <v>0</v>
      </c>
      <c r="S48" s="3532"/>
      <c r="T48" s="3532">
        <f>G48</f>
        <v>0</v>
      </c>
      <c r="U48" s="3532"/>
      <c r="V48" s="3532">
        <f>I48</f>
        <v>0</v>
      </c>
      <c r="W48" s="3532"/>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00" t="str">
        <f>A49</f>
        <v>比较价格（元/平方米）</v>
      </c>
      <c r="Q49" s="3402"/>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534" t="str">
        <f>A50</f>
        <v>估价对象XX用房的比较价格（楼面单价，元/平方米）</v>
      </c>
      <c r="Q50" s="3400"/>
      <c r="R50" s="3531" t="e">
        <f>IF(F1="售价",ROUND(AVERAGE(R49:V49),0),ROUND(AVERAGE(R49:V49),1))</f>
        <v>#DIV/0!</v>
      </c>
      <c r="S50" s="3531"/>
      <c r="T50" s="3531"/>
      <c r="U50" s="3531"/>
      <c r="V50" s="3531"/>
      <c r="W50" s="353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57858.8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2018年11月6日（评估专业人员勘察现场之日）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根据《国有土地使用证》[]，本次评估估价对象证载（地类）用途为工交。</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根据《国有土地使用证》[]，估价对象（分摊）出让国有建设用地使用权面积为130380.53平方米。根据《建设工程规划许可证》[]、《出让合同》[]，估价对象规划建筑面积为57858.8平方米。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08" t="s">
        <v>522</v>
      </c>
      <c r="D4" s="3409"/>
      <c r="E4" s="3442" t="s">
        <v>523</v>
      </c>
      <c r="F4" s="3443"/>
      <c r="G4" s="3408" t="s">
        <v>524</v>
      </c>
      <c r="H4" s="3409"/>
      <c r="I4" s="3408" t="s">
        <v>525</v>
      </c>
      <c r="J4" s="3409"/>
      <c r="K4" s="514" t="s">
        <v>526</v>
      </c>
      <c r="L4" s="2135"/>
      <c r="M4" s="2136"/>
      <c r="N4" s="2136"/>
      <c r="O4" s="2136"/>
      <c r="P4" s="3410" t="s">
        <v>527</v>
      </c>
      <c r="Q4" s="3411"/>
      <c r="R4" s="3416" t="s">
        <v>523</v>
      </c>
      <c r="S4" s="3417"/>
      <c r="T4" s="3416" t="s">
        <v>524</v>
      </c>
      <c r="U4" s="3417"/>
      <c r="V4" s="3403" t="s">
        <v>525</v>
      </c>
      <c r="W4" s="3403"/>
      <c r="X4" s="1568"/>
      <c r="Y4" s="3416" t="s">
        <v>527</v>
      </c>
      <c r="Z4" s="3417"/>
      <c r="AA4" s="3405" t="s">
        <v>523</v>
      </c>
      <c r="AB4" s="3406" t="s">
        <v>524</v>
      </c>
      <c r="AC4" s="3405" t="s">
        <v>525</v>
      </c>
    </row>
    <row r="5" spans="1:29" ht="15">
      <c r="A5" s="515"/>
      <c r="B5" s="516"/>
      <c r="C5" s="3424" t="s">
        <v>2933</v>
      </c>
      <c r="D5" s="3425"/>
      <c r="E5" s="3444" t="s">
        <v>2934</v>
      </c>
      <c r="F5" s="3445"/>
      <c r="G5" s="3424" t="s">
        <v>2935</v>
      </c>
      <c r="H5" s="3425"/>
      <c r="I5" s="3424" t="s">
        <v>2936</v>
      </c>
      <c r="J5" s="3425"/>
      <c r="K5" s="514"/>
      <c r="L5" s="2135"/>
      <c r="M5" s="2136"/>
      <c r="N5" s="2136"/>
      <c r="O5" s="2136"/>
      <c r="P5" s="3412"/>
      <c r="Q5" s="3413"/>
      <c r="R5" s="3418"/>
      <c r="S5" s="3419"/>
      <c r="T5" s="3418"/>
      <c r="U5" s="3419"/>
      <c r="V5" s="3403"/>
      <c r="W5" s="3403"/>
      <c r="X5" s="1568"/>
      <c r="Y5" s="3418"/>
      <c r="Z5" s="3419"/>
      <c r="AA5" s="3406"/>
      <c r="AB5" s="3406"/>
      <c r="AC5" s="3406"/>
    </row>
    <row r="6" spans="1:29" ht="15.75" thickBot="1">
      <c r="A6" s="517"/>
      <c r="B6" s="518"/>
      <c r="C6" s="3422" t="s">
        <v>2937</v>
      </c>
      <c r="D6" s="3423"/>
      <c r="E6" s="3440" t="s">
        <v>2937</v>
      </c>
      <c r="F6" s="3441"/>
      <c r="G6" s="3422" t="s">
        <v>2937</v>
      </c>
      <c r="H6" s="3423"/>
      <c r="I6" s="3422" t="s">
        <v>2937</v>
      </c>
      <c r="J6" s="3423"/>
      <c r="K6" s="514" t="s">
        <v>528</v>
      </c>
      <c r="L6" s="2135"/>
      <c r="M6" s="2136"/>
      <c r="N6" s="2136"/>
      <c r="O6" s="2136"/>
      <c r="P6" s="3414"/>
      <c r="Q6" s="3415"/>
      <c r="R6" s="3418"/>
      <c r="S6" s="3419"/>
      <c r="T6" s="3420"/>
      <c r="U6" s="3421"/>
      <c r="V6" s="3403"/>
      <c r="W6" s="3403"/>
      <c r="X6" s="1568"/>
      <c r="Y6" s="3420"/>
      <c r="Z6" s="3421"/>
      <c r="AA6" s="3407"/>
      <c r="AB6" s="3407"/>
      <c r="AC6" s="3407"/>
    </row>
    <row r="7" spans="1:29" s="1220" customFormat="1" ht="15.75" thickBot="1">
      <c r="A7" s="2914"/>
      <c r="B7" s="2921" t="s">
        <v>529</v>
      </c>
      <c r="C7" s="519">
        <f>'数据-取费表'!B2</f>
        <v>43410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3" t="s">
        <v>530</v>
      </c>
      <c r="Q7" s="3435"/>
      <c r="R7" s="1569" t="s">
        <v>8</v>
      </c>
      <c r="S7" s="1570">
        <f t="shared" ref="S7:S15" si="0">F7</f>
        <v>0</v>
      </c>
      <c r="T7" s="1569" t="s">
        <v>8</v>
      </c>
      <c r="U7" s="1570">
        <f t="shared" ref="U7:U15" si="1">H7</f>
        <v>0</v>
      </c>
      <c r="V7" s="1569" t="s">
        <v>8</v>
      </c>
      <c r="W7" s="1570">
        <f t="shared" ref="W7:W15"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3" t="s">
        <v>533</v>
      </c>
      <c r="Q8" s="3434"/>
      <c r="R8" s="1569" t="s">
        <v>8</v>
      </c>
      <c r="S8" s="1570">
        <f t="shared" si="0"/>
        <v>0</v>
      </c>
      <c r="T8" s="1569" t="s">
        <v>8</v>
      </c>
      <c r="U8" s="1570">
        <f t="shared" si="1"/>
        <v>0</v>
      </c>
      <c r="V8" s="1569" t="s">
        <v>8</v>
      </c>
      <c r="W8" s="1570">
        <f t="shared" si="2"/>
        <v>0</v>
      </c>
      <c r="X8" s="1571"/>
      <c r="Y8" s="3433" t="s">
        <v>533</v>
      </c>
      <c r="Z8" s="3434"/>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2"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2"/>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2"/>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2"/>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2"/>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36" t="s">
        <v>540</v>
      </c>
      <c r="Q15" s="1573" t="str">
        <f t="shared" si="6"/>
        <v>产业集聚程度</v>
      </c>
      <c r="R15" s="1574" t="s">
        <v>8</v>
      </c>
      <c r="S15" s="1575">
        <f t="shared" si="0"/>
        <v>100</v>
      </c>
      <c r="T15" s="1574" t="s">
        <v>8</v>
      </c>
      <c r="U15" s="1575">
        <f t="shared" si="1"/>
        <v>100</v>
      </c>
      <c r="V15" s="1574" t="s">
        <v>8</v>
      </c>
      <c r="W15" s="1575">
        <f t="shared" si="2"/>
        <v>100</v>
      </c>
      <c r="X15" s="1568"/>
      <c r="Y15" s="343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7"/>
      <c r="Q16" s="1573"/>
      <c r="R16" s="1574"/>
      <c r="S16" s="1575"/>
      <c r="T16" s="1574"/>
      <c r="U16" s="1575"/>
      <c r="V16" s="1574"/>
      <c r="W16" s="1575"/>
      <c r="X16" s="1568"/>
      <c r="Y16" s="343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37"/>
      <c r="Q17" s="1573" t="str">
        <f>B17</f>
        <v>交通便捷度</v>
      </c>
      <c r="R17" s="1574" t="s">
        <v>8</v>
      </c>
      <c r="S17" s="1575">
        <f>F17</f>
        <v>100</v>
      </c>
      <c r="T17" s="1574" t="s">
        <v>8</v>
      </c>
      <c r="U17" s="1575">
        <f>H17</f>
        <v>100</v>
      </c>
      <c r="V17" s="1574" t="s">
        <v>8</v>
      </c>
      <c r="W17" s="1575">
        <f>J17</f>
        <v>100</v>
      </c>
      <c r="X17" s="1568"/>
      <c r="Y17" s="343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7"/>
      <c r="Q18" s="1573"/>
      <c r="R18" s="1574"/>
      <c r="S18" s="1575"/>
      <c r="T18" s="1574"/>
      <c r="U18" s="1575"/>
      <c r="V18" s="1574"/>
      <c r="W18" s="1575"/>
      <c r="X18" s="1568"/>
      <c r="Y18" s="3437"/>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37"/>
      <c r="Q19" s="1573" t="str">
        <f>B19</f>
        <v>公共配套设施</v>
      </c>
      <c r="R19" s="1574" t="s">
        <v>8</v>
      </c>
      <c r="S19" s="1575">
        <f>F19</f>
        <v>100</v>
      </c>
      <c r="T19" s="1574" t="s">
        <v>8</v>
      </c>
      <c r="U19" s="1575">
        <f>H19</f>
        <v>100</v>
      </c>
      <c r="V19" s="1574" t="s">
        <v>8</v>
      </c>
      <c r="W19" s="1575">
        <f>J19</f>
        <v>100</v>
      </c>
      <c r="X19" s="1568"/>
      <c r="Y19" s="343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37"/>
      <c r="Q20" s="1573"/>
      <c r="R20" s="1574"/>
      <c r="S20" s="1575"/>
      <c r="T20" s="1574"/>
      <c r="U20" s="1575"/>
      <c r="V20" s="1574"/>
      <c r="W20" s="1575"/>
      <c r="X20" s="1568"/>
      <c r="Y20" s="3437"/>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37"/>
      <c r="Q21" s="2581" t="str">
        <f>B21</f>
        <v>基础设施水平</v>
      </c>
      <c r="R21" s="1574" t="s">
        <v>8</v>
      </c>
      <c r="S21" s="1575">
        <f>F21</f>
        <v>100</v>
      </c>
      <c r="T21" s="1574" t="s">
        <v>8</v>
      </c>
      <c r="U21" s="1575">
        <f>H21</f>
        <v>100</v>
      </c>
      <c r="V21" s="1574" t="s">
        <v>8</v>
      </c>
      <c r="W21" s="1575">
        <f>J21</f>
        <v>100</v>
      </c>
      <c r="X21" s="2583"/>
      <c r="Y21" s="3437"/>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37"/>
      <c r="Q22" s="2581"/>
      <c r="R22" s="1574"/>
      <c r="S22" s="1575"/>
      <c r="T22" s="1574"/>
      <c r="U22" s="1575"/>
      <c r="V22" s="1574"/>
      <c r="W22" s="1575"/>
      <c r="X22" s="2583"/>
      <c r="Y22" s="3437"/>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37"/>
      <c r="Q23" s="1573" t="str">
        <f>B23</f>
        <v>环境质量</v>
      </c>
      <c r="R23" s="1574" t="s">
        <v>8</v>
      </c>
      <c r="S23" s="1575">
        <f>F23</f>
        <v>100</v>
      </c>
      <c r="T23" s="1574" t="s">
        <v>8</v>
      </c>
      <c r="U23" s="1575">
        <f>H23</f>
        <v>100</v>
      </c>
      <c r="V23" s="1574" t="s">
        <v>8</v>
      </c>
      <c r="W23" s="1575">
        <f>J23</f>
        <v>100</v>
      </c>
      <c r="X23" s="1568"/>
      <c r="Y23" s="343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37"/>
      <c r="Q24" s="1573"/>
      <c r="R24" s="1574"/>
      <c r="S24" s="1575"/>
      <c r="T24" s="1574"/>
      <c r="U24" s="1575"/>
      <c r="V24" s="1574"/>
      <c r="W24" s="1575"/>
      <c r="X24" s="1568"/>
      <c r="Y24" s="343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37"/>
      <c r="Q25" s="1573">
        <f>B25</f>
        <v>111</v>
      </c>
      <c r="R25" s="1574" t="s">
        <v>8</v>
      </c>
      <c r="S25" s="1575">
        <f>F25</f>
        <v>100</v>
      </c>
      <c r="T25" s="1574" t="s">
        <v>8</v>
      </c>
      <c r="U25" s="1575">
        <f>H25</f>
        <v>100</v>
      </c>
      <c r="V25" s="1574" t="s">
        <v>8</v>
      </c>
      <c r="W25" s="1575">
        <f>J25</f>
        <v>100</v>
      </c>
      <c r="X25" s="1568"/>
      <c r="Y25" s="343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37"/>
      <c r="Q26" s="1573">
        <f t="shared" ref="Q26:Q40" si="11">B26</f>
        <v>111</v>
      </c>
      <c r="R26" s="1574" t="s">
        <v>8</v>
      </c>
      <c r="S26" s="1575">
        <f>F26</f>
        <v>100</v>
      </c>
      <c r="T26" s="1574" t="s">
        <v>8</v>
      </c>
      <c r="U26" s="1575">
        <f>H26</f>
        <v>100</v>
      </c>
      <c r="V26" s="1574" t="s">
        <v>8</v>
      </c>
      <c r="W26" s="1575">
        <f>J26</f>
        <v>100</v>
      </c>
      <c r="X26" s="1568"/>
      <c r="Y26" s="343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37"/>
      <c r="Q27" s="1151">
        <f t="shared" si="11"/>
        <v>111</v>
      </c>
      <c r="R27" s="1569" t="s">
        <v>8</v>
      </c>
      <c r="S27" s="1570">
        <f>F27</f>
        <v>100</v>
      </c>
      <c r="T27" s="1569" t="s">
        <v>8</v>
      </c>
      <c r="U27" s="1570">
        <f>H27</f>
        <v>100</v>
      </c>
      <c r="V27" s="1569" t="s">
        <v>8</v>
      </c>
      <c r="W27" s="1570">
        <f>J27</f>
        <v>100</v>
      </c>
      <c r="X27" s="1571"/>
      <c r="Y27" s="343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37"/>
      <c r="Q28" s="1573">
        <f t="shared" si="11"/>
        <v>111</v>
      </c>
      <c r="R28" s="1574" t="s">
        <v>8</v>
      </c>
      <c r="S28" s="1575">
        <f t="shared" ref="S28:S40" si="12">F28</f>
        <v>100</v>
      </c>
      <c r="T28" s="1574" t="s">
        <v>8</v>
      </c>
      <c r="U28" s="1575">
        <f t="shared" ref="U28:U40" si="13">H28</f>
        <v>100</v>
      </c>
      <c r="V28" s="1574" t="s">
        <v>8</v>
      </c>
      <c r="W28" s="1575">
        <f t="shared" ref="W28:W40" si="14">J28</f>
        <v>100</v>
      </c>
      <c r="X28" s="1568"/>
      <c r="Y28" s="3437"/>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38" t="s">
        <v>550</v>
      </c>
      <c r="Q29" s="1573" t="str">
        <f t="shared" si="11"/>
        <v>建筑类型</v>
      </c>
      <c r="R29" s="1574" t="s">
        <v>8</v>
      </c>
      <c r="S29" s="1575">
        <f t="shared" si="12"/>
        <v>100</v>
      </c>
      <c r="T29" s="1574" t="s">
        <v>8</v>
      </c>
      <c r="U29" s="1575">
        <f t="shared" si="13"/>
        <v>100</v>
      </c>
      <c r="V29" s="1574" t="s">
        <v>8</v>
      </c>
      <c r="W29" s="1575">
        <f t="shared" si="14"/>
        <v>100</v>
      </c>
      <c r="X29" s="1568"/>
      <c r="Y29" s="343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39"/>
      <c r="Q30" s="1606" t="str">
        <f t="shared" si="11"/>
        <v>项目建筑规模</v>
      </c>
      <c r="R30" s="1578" t="s">
        <v>8</v>
      </c>
      <c r="S30" s="1579" t="e">
        <f t="shared" si="12"/>
        <v>#N/A</v>
      </c>
      <c r="T30" s="1578" t="s">
        <v>8</v>
      </c>
      <c r="U30" s="1579" t="e">
        <f t="shared" si="13"/>
        <v>#N/A</v>
      </c>
      <c r="V30" s="1578" t="s">
        <v>8</v>
      </c>
      <c r="W30" s="1579" t="e">
        <f t="shared" si="14"/>
        <v>#N/A</v>
      </c>
      <c r="X30" s="1580"/>
      <c r="Y30" s="343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39"/>
      <c r="Q31" s="1573" t="str">
        <f t="shared" si="11"/>
        <v>建筑结构</v>
      </c>
      <c r="R31" s="1574" t="s">
        <v>8</v>
      </c>
      <c r="S31" s="1575">
        <f t="shared" si="12"/>
        <v>100</v>
      </c>
      <c r="T31" s="1574" t="s">
        <v>8</v>
      </c>
      <c r="U31" s="1575">
        <f t="shared" si="13"/>
        <v>100</v>
      </c>
      <c r="V31" s="1574" t="s">
        <v>8</v>
      </c>
      <c r="W31" s="1575">
        <f t="shared" si="14"/>
        <v>100</v>
      </c>
      <c r="X31" s="1568"/>
      <c r="Y31" s="343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39"/>
      <c r="Q32" s="1573" t="str">
        <f t="shared" si="11"/>
        <v>公共部分装修</v>
      </c>
      <c r="R32" s="1574" t="s">
        <v>8</v>
      </c>
      <c r="S32" s="1575">
        <f t="shared" si="12"/>
        <v>100</v>
      </c>
      <c r="T32" s="1574" t="s">
        <v>8</v>
      </c>
      <c r="U32" s="1575">
        <f t="shared" si="13"/>
        <v>100</v>
      </c>
      <c r="V32" s="1574" t="s">
        <v>8</v>
      </c>
      <c r="W32" s="1575">
        <f t="shared" si="14"/>
        <v>100</v>
      </c>
      <c r="X32" s="1568"/>
      <c r="Y32" s="343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39"/>
      <c r="Q33" s="1573" t="str">
        <f t="shared" si="11"/>
        <v>成新度</v>
      </c>
      <c r="R33" s="1574" t="s">
        <v>8</v>
      </c>
      <c r="S33" s="1575" t="e">
        <f t="shared" si="12"/>
        <v>#N/A</v>
      </c>
      <c r="T33" s="1574" t="s">
        <v>8</v>
      </c>
      <c r="U33" s="1575" t="e">
        <f t="shared" si="13"/>
        <v>#N/A</v>
      </c>
      <c r="V33" s="1574" t="s">
        <v>8</v>
      </c>
      <c r="W33" s="1575" t="e">
        <f t="shared" si="14"/>
        <v>#N/A</v>
      </c>
      <c r="X33" s="1568"/>
      <c r="Y33" s="343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39"/>
      <c r="Q34" s="1151" t="str">
        <f t="shared" si="11"/>
        <v>物业管理</v>
      </c>
      <c r="R34" s="1569" t="s">
        <v>8</v>
      </c>
      <c r="S34" s="1570">
        <f t="shared" si="12"/>
        <v>100</v>
      </c>
      <c r="T34" s="1569" t="s">
        <v>8</v>
      </c>
      <c r="U34" s="1570">
        <f t="shared" si="13"/>
        <v>100</v>
      </c>
      <c r="V34" s="1569" t="s">
        <v>8</v>
      </c>
      <c r="W34" s="1570">
        <f t="shared" si="14"/>
        <v>100</v>
      </c>
      <c r="X34" s="1571"/>
      <c r="Y34" s="3439"/>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39" t="s">
        <v>550</v>
      </c>
      <c r="Q35" s="1573" t="str">
        <f t="shared" si="11"/>
        <v>市政基础设施</v>
      </c>
      <c r="R35" s="1574" t="s">
        <v>8</v>
      </c>
      <c r="S35" s="1575">
        <f t="shared" si="12"/>
        <v>100</v>
      </c>
      <c r="T35" s="1574" t="s">
        <v>8</v>
      </c>
      <c r="U35" s="1575">
        <f t="shared" si="13"/>
        <v>100</v>
      </c>
      <c r="V35" s="1574" t="s">
        <v>8</v>
      </c>
      <c r="W35" s="1575">
        <f t="shared" si="14"/>
        <v>100</v>
      </c>
      <c r="X35" s="1568"/>
      <c r="Y35" s="343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39"/>
      <c r="Q36" s="1573" t="str">
        <f t="shared" si="11"/>
        <v>内部装修</v>
      </c>
      <c r="R36" s="1574" t="s">
        <v>8</v>
      </c>
      <c r="S36" s="1575">
        <f t="shared" si="12"/>
        <v>100</v>
      </c>
      <c r="T36" s="1574" t="s">
        <v>8</v>
      </c>
      <c r="U36" s="1575">
        <f t="shared" si="13"/>
        <v>100</v>
      </c>
      <c r="V36" s="1574" t="s">
        <v>8</v>
      </c>
      <c r="W36" s="1575">
        <f t="shared" si="14"/>
        <v>100</v>
      </c>
      <c r="X36" s="1568"/>
      <c r="Y36" s="343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39"/>
      <c r="Q37" s="1573" t="str">
        <f t="shared" si="11"/>
        <v>内部装修状况</v>
      </c>
      <c r="R37" s="1574" t="s">
        <v>8</v>
      </c>
      <c r="S37" s="1575">
        <f t="shared" si="12"/>
        <v>100</v>
      </c>
      <c r="T37" s="1574" t="s">
        <v>8</v>
      </c>
      <c r="U37" s="1575">
        <f t="shared" si="13"/>
        <v>100</v>
      </c>
      <c r="V37" s="1574" t="s">
        <v>8</v>
      </c>
      <c r="W37" s="1575">
        <f t="shared" si="14"/>
        <v>100</v>
      </c>
      <c r="X37" s="1568"/>
      <c r="Y37" s="343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39"/>
      <c r="Q38" s="1606">
        <f t="shared" si="11"/>
        <v>111</v>
      </c>
      <c r="R38" s="1578" t="s">
        <v>8</v>
      </c>
      <c r="S38" s="1579">
        <f t="shared" si="12"/>
        <v>100</v>
      </c>
      <c r="T38" s="1578" t="s">
        <v>8</v>
      </c>
      <c r="U38" s="1579">
        <f t="shared" si="13"/>
        <v>100</v>
      </c>
      <c r="V38" s="1578" t="s">
        <v>8</v>
      </c>
      <c r="W38" s="1579">
        <f t="shared" si="14"/>
        <v>100</v>
      </c>
      <c r="X38" s="1580"/>
      <c r="Y38" s="343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39"/>
      <c r="Q39" s="1573">
        <f t="shared" si="11"/>
        <v>111</v>
      </c>
      <c r="R39" s="1574" t="s">
        <v>8</v>
      </c>
      <c r="S39" s="1575">
        <f t="shared" si="12"/>
        <v>100</v>
      </c>
      <c r="T39" s="1574" t="s">
        <v>8</v>
      </c>
      <c r="U39" s="1575">
        <f t="shared" si="13"/>
        <v>100</v>
      </c>
      <c r="V39" s="1574" t="s">
        <v>8</v>
      </c>
      <c r="W39" s="1575">
        <f t="shared" si="14"/>
        <v>100</v>
      </c>
      <c r="X39" s="1568"/>
      <c r="Y39" s="343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33"/>
      <c r="Q40" s="1573">
        <f t="shared" si="11"/>
        <v>111</v>
      </c>
      <c r="R40" s="1574" t="s">
        <v>8</v>
      </c>
      <c r="S40" s="1575">
        <f t="shared" si="12"/>
        <v>100</v>
      </c>
      <c r="T40" s="1574" t="s">
        <v>8</v>
      </c>
      <c r="U40" s="1575">
        <f t="shared" si="13"/>
        <v>100</v>
      </c>
      <c r="V40" s="1574" t="s">
        <v>8</v>
      </c>
      <c r="W40" s="1575">
        <f t="shared" si="14"/>
        <v>100</v>
      </c>
      <c r="X40" s="1568"/>
      <c r="Y40" s="353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02" t="str">
        <f>A41</f>
        <v>成交单价（元/平方米）</v>
      </c>
      <c r="Q41" s="3402"/>
      <c r="R41" s="3532">
        <f>E41</f>
        <v>0</v>
      </c>
      <c r="S41" s="3532"/>
      <c r="T41" s="3532">
        <f>G41</f>
        <v>0</v>
      </c>
      <c r="U41" s="3532"/>
      <c r="V41" s="3532">
        <f>I41</f>
        <v>0</v>
      </c>
      <c r="W41" s="3532"/>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02" t="str">
        <f>A42</f>
        <v>比较价格（元/平方米）</v>
      </c>
      <c r="Q42" s="3402"/>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399" t="str">
        <f>A43</f>
        <v>估价对象XX用房的比较价格（楼面单价，元/平方米）</v>
      </c>
      <c r="Q43" s="3400"/>
      <c r="R43" s="3531" t="e">
        <f>IF(F1="售价",ROUND(AVERAGE(R42:V42),0),ROUND(AVERAGE(R42:V42),1))</f>
        <v>#DIV/0!</v>
      </c>
      <c r="S43" s="3531"/>
      <c r="T43" s="3531"/>
      <c r="U43" s="3531"/>
      <c r="V43" s="3531"/>
      <c r="W43" s="353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08" t="s">
        <v>798</v>
      </c>
      <c r="D4" s="3409"/>
      <c r="E4" s="3408" t="s">
        <v>799</v>
      </c>
      <c r="F4" s="3409"/>
      <c r="G4" s="3408" t="s">
        <v>800</v>
      </c>
      <c r="H4" s="3409"/>
      <c r="I4" s="3408" t="s">
        <v>801</v>
      </c>
      <c r="J4" s="3409"/>
      <c r="K4" s="514" t="s">
        <v>802</v>
      </c>
      <c r="L4" s="2135"/>
      <c r="M4" s="2136"/>
      <c r="N4" s="2136"/>
      <c r="O4" s="2136"/>
      <c r="P4" s="3410" t="s">
        <v>803</v>
      </c>
      <c r="Q4" s="3411"/>
      <c r="R4" s="3416" t="s">
        <v>799</v>
      </c>
      <c r="S4" s="3417"/>
      <c r="T4" s="3416" t="s">
        <v>800</v>
      </c>
      <c r="U4" s="3417"/>
      <c r="V4" s="3403" t="s">
        <v>801</v>
      </c>
      <c r="W4" s="3403"/>
      <c r="X4" s="1568"/>
      <c r="Y4" s="3416" t="s">
        <v>803</v>
      </c>
      <c r="Z4" s="3417"/>
      <c r="AA4" s="3405" t="s">
        <v>799</v>
      </c>
      <c r="AB4" s="3406" t="s">
        <v>800</v>
      </c>
      <c r="AC4" s="3405" t="s">
        <v>801</v>
      </c>
    </row>
    <row r="5" spans="1:29" ht="15">
      <c r="A5" s="515"/>
      <c r="B5" s="516"/>
      <c r="C5" s="3424" t="s">
        <v>2933</v>
      </c>
      <c r="D5" s="3425"/>
      <c r="E5" s="3424" t="s">
        <v>2934</v>
      </c>
      <c r="F5" s="3425"/>
      <c r="G5" s="3424" t="s">
        <v>2935</v>
      </c>
      <c r="H5" s="3425"/>
      <c r="I5" s="3424" t="s">
        <v>2936</v>
      </c>
      <c r="J5" s="3425"/>
      <c r="K5" s="514"/>
      <c r="L5" s="2135"/>
      <c r="M5" s="2136"/>
      <c r="N5" s="2136"/>
      <c r="O5" s="2136"/>
      <c r="P5" s="3412"/>
      <c r="Q5" s="3413"/>
      <c r="R5" s="3418"/>
      <c r="S5" s="3419"/>
      <c r="T5" s="3418"/>
      <c r="U5" s="3419"/>
      <c r="V5" s="3403"/>
      <c r="W5" s="3403"/>
      <c r="X5" s="1568"/>
      <c r="Y5" s="3418"/>
      <c r="Z5" s="3419"/>
      <c r="AA5" s="3406"/>
      <c r="AB5" s="3406"/>
      <c r="AC5" s="3406"/>
    </row>
    <row r="6" spans="1:29" ht="15.75" thickBot="1">
      <c r="A6" s="517"/>
      <c r="B6" s="518"/>
      <c r="C6" s="3422" t="s">
        <v>2937</v>
      </c>
      <c r="D6" s="3423"/>
      <c r="E6" s="3426" t="s">
        <v>2937</v>
      </c>
      <c r="F6" s="3427"/>
      <c r="G6" s="3422" t="s">
        <v>2937</v>
      </c>
      <c r="H6" s="3423"/>
      <c r="I6" s="3422" t="s">
        <v>2937</v>
      </c>
      <c r="J6" s="3423"/>
      <c r="K6" s="514" t="s">
        <v>528</v>
      </c>
      <c r="L6" s="2135"/>
      <c r="M6" s="2136"/>
      <c r="N6" s="2136"/>
      <c r="O6" s="2136"/>
      <c r="P6" s="3414"/>
      <c r="Q6" s="3415"/>
      <c r="R6" s="3418"/>
      <c r="S6" s="3419"/>
      <c r="T6" s="3420"/>
      <c r="U6" s="3421"/>
      <c r="V6" s="3403"/>
      <c r="W6" s="3403"/>
      <c r="X6" s="1568"/>
      <c r="Y6" s="3420"/>
      <c r="Z6" s="3421"/>
      <c r="AA6" s="3407"/>
      <c r="AB6" s="3407"/>
      <c r="AC6" s="3407"/>
    </row>
    <row r="7" spans="1:29" s="1220" customFormat="1" ht="15.75" thickBot="1">
      <c r="A7" s="2914"/>
      <c r="B7" s="2921" t="s">
        <v>529</v>
      </c>
      <c r="C7" s="519">
        <f>'数据-取费表'!B2</f>
        <v>43410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3" t="s">
        <v>530</v>
      </c>
      <c r="Q7" s="3435"/>
      <c r="R7" s="1569" t="s">
        <v>8</v>
      </c>
      <c r="S7" s="1570">
        <f t="shared" ref="S7:S14" si="0">F7</f>
        <v>0</v>
      </c>
      <c r="T7" s="1569" t="s">
        <v>8</v>
      </c>
      <c r="U7" s="1570">
        <f t="shared" ref="U7:U14" si="1">H7</f>
        <v>0</v>
      </c>
      <c r="V7" s="1569" t="s">
        <v>8</v>
      </c>
      <c r="W7" s="1570">
        <f t="shared" ref="W7:W14"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3" t="s">
        <v>533</v>
      </c>
      <c r="Q8" s="3434"/>
      <c r="R8" s="1569" t="s">
        <v>8</v>
      </c>
      <c r="S8" s="1570">
        <f t="shared" si="0"/>
        <v>0</v>
      </c>
      <c r="T8" s="1569" t="s">
        <v>8</v>
      </c>
      <c r="U8" s="1570">
        <f t="shared" si="1"/>
        <v>0</v>
      </c>
      <c r="V8" s="1569" t="s">
        <v>8</v>
      </c>
      <c r="W8" s="1570">
        <f t="shared" si="2"/>
        <v>0</v>
      </c>
      <c r="X8" s="1571"/>
      <c r="Y8" s="3433" t="s">
        <v>533</v>
      </c>
      <c r="Z8" s="3434"/>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2" t="s">
        <v>535</v>
      </c>
      <c r="Q9" s="1151" t="str">
        <f t="shared" ref="Q9:Q14" si="6">B9</f>
        <v>用途</v>
      </c>
      <c r="R9" s="1569" t="s">
        <v>8</v>
      </c>
      <c r="S9" s="1570">
        <f t="shared" si="0"/>
        <v>100</v>
      </c>
      <c r="T9" s="1569" t="s">
        <v>8</v>
      </c>
      <c r="U9" s="1570">
        <f t="shared" si="1"/>
        <v>100</v>
      </c>
      <c r="V9" s="1569" t="s">
        <v>8</v>
      </c>
      <c r="W9" s="1570">
        <f t="shared" si="2"/>
        <v>100</v>
      </c>
      <c r="X9" s="1571"/>
      <c r="Y9" s="3348"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2"/>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2"/>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2"/>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36" t="s">
        <v>540</v>
      </c>
      <c r="Q14" s="1573" t="str">
        <f t="shared" si="6"/>
        <v>交通便捷度</v>
      </c>
      <c r="R14" s="1574" t="s">
        <v>8</v>
      </c>
      <c r="S14" s="1575">
        <f t="shared" si="0"/>
        <v>100</v>
      </c>
      <c r="T14" s="1574" t="s">
        <v>8</v>
      </c>
      <c r="U14" s="1575">
        <f t="shared" si="1"/>
        <v>100</v>
      </c>
      <c r="V14" s="1574" t="s">
        <v>8</v>
      </c>
      <c r="W14" s="1575">
        <f t="shared" si="2"/>
        <v>100</v>
      </c>
      <c r="X14" s="1568"/>
      <c r="Y14" s="343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37"/>
      <c r="Q15" s="1573"/>
      <c r="R15" s="1574"/>
      <c r="S15" s="1575"/>
      <c r="T15" s="1574"/>
      <c r="U15" s="1575"/>
      <c r="V15" s="1574"/>
      <c r="W15" s="1575"/>
      <c r="X15" s="1568"/>
      <c r="Y15" s="3437"/>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37"/>
      <c r="Q16" s="1573" t="str">
        <f>B16</f>
        <v>公共配套设施</v>
      </c>
      <c r="R16" s="1574" t="s">
        <v>8</v>
      </c>
      <c r="S16" s="1575">
        <f>F16</f>
        <v>100</v>
      </c>
      <c r="T16" s="1574" t="s">
        <v>8</v>
      </c>
      <c r="U16" s="1575">
        <f>H16</f>
        <v>100</v>
      </c>
      <c r="V16" s="1574" t="s">
        <v>8</v>
      </c>
      <c r="W16" s="1575">
        <f>J16</f>
        <v>100</v>
      </c>
      <c r="X16" s="1568"/>
      <c r="Y16" s="343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37"/>
      <c r="Q17" s="1573"/>
      <c r="R17" s="1574"/>
      <c r="S17" s="1575"/>
      <c r="T17" s="1574"/>
      <c r="U17" s="1575"/>
      <c r="V17" s="1574"/>
      <c r="W17" s="1575"/>
      <c r="X17" s="1568"/>
      <c r="Y17" s="3437"/>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37"/>
      <c r="Q18" s="2581" t="str">
        <f>B18</f>
        <v>基础设施水平</v>
      </c>
      <c r="R18" s="1574" t="s">
        <v>8</v>
      </c>
      <c r="S18" s="1575">
        <f>F18</f>
        <v>100</v>
      </c>
      <c r="T18" s="1574" t="s">
        <v>8</v>
      </c>
      <c r="U18" s="1575">
        <f>H18</f>
        <v>100</v>
      </c>
      <c r="V18" s="1574" t="s">
        <v>8</v>
      </c>
      <c r="W18" s="1575">
        <f>J18</f>
        <v>100</v>
      </c>
      <c r="X18" s="2583"/>
      <c r="Y18" s="3437"/>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37"/>
      <c r="Q19" s="2581"/>
      <c r="R19" s="1574"/>
      <c r="S19" s="1575"/>
      <c r="T19" s="1574"/>
      <c r="U19" s="1575"/>
      <c r="V19" s="1574"/>
      <c r="W19" s="1575"/>
      <c r="X19" s="2583"/>
      <c r="Y19" s="3437"/>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37"/>
      <c r="Q20" s="1573" t="str">
        <f>B20</f>
        <v>自然及人文环境</v>
      </c>
      <c r="R20" s="1574" t="s">
        <v>8</v>
      </c>
      <c r="S20" s="1575">
        <f>F20</f>
        <v>100</v>
      </c>
      <c r="T20" s="1574" t="s">
        <v>8</v>
      </c>
      <c r="U20" s="1575">
        <f>H20</f>
        <v>100</v>
      </c>
      <c r="V20" s="1574" t="s">
        <v>8</v>
      </c>
      <c r="W20" s="1575">
        <f>J20</f>
        <v>100</v>
      </c>
      <c r="X20" s="1568"/>
      <c r="Y20" s="343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37"/>
      <c r="Q21" s="1573"/>
      <c r="R21" s="1574"/>
      <c r="S21" s="1575"/>
      <c r="T21" s="1574"/>
      <c r="U21" s="1575"/>
      <c r="V21" s="1574"/>
      <c r="W21" s="1575"/>
      <c r="X21" s="1568"/>
      <c r="Y21" s="343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37"/>
      <c r="Q22" s="1573" t="str">
        <f>B22</f>
        <v>楼层</v>
      </c>
      <c r="R22" s="1574" t="s">
        <v>8</v>
      </c>
      <c r="S22" s="1575">
        <f>F22</f>
        <v>100</v>
      </c>
      <c r="T22" s="1574" t="s">
        <v>8</v>
      </c>
      <c r="U22" s="1575">
        <f>H22</f>
        <v>100</v>
      </c>
      <c r="V22" s="1574" t="s">
        <v>8</v>
      </c>
      <c r="W22" s="1575">
        <f>J22</f>
        <v>100</v>
      </c>
      <c r="X22" s="1568"/>
      <c r="Y22" s="343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37"/>
      <c r="Q23" s="1573">
        <f>B23</f>
        <v>111</v>
      </c>
      <c r="R23" s="1574" t="s">
        <v>8</v>
      </c>
      <c r="S23" s="1575">
        <f>F23</f>
        <v>100</v>
      </c>
      <c r="T23" s="1574" t="s">
        <v>8</v>
      </c>
      <c r="U23" s="1575">
        <f>H23</f>
        <v>100</v>
      </c>
      <c r="V23" s="1574" t="s">
        <v>8</v>
      </c>
      <c r="W23" s="1575">
        <f>J23</f>
        <v>100</v>
      </c>
      <c r="X23" s="1568"/>
      <c r="Y23" s="343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37"/>
      <c r="Q24" s="1573">
        <f t="shared" ref="Q24:Q36" si="11">B24</f>
        <v>111</v>
      </c>
      <c r="R24" s="1574" t="s">
        <v>8</v>
      </c>
      <c r="S24" s="1575">
        <f>F24</f>
        <v>100</v>
      </c>
      <c r="T24" s="1574" t="s">
        <v>8</v>
      </c>
      <c r="U24" s="1575">
        <f>H24</f>
        <v>100</v>
      </c>
      <c r="V24" s="1574" t="s">
        <v>8</v>
      </c>
      <c r="W24" s="1575">
        <f>J24</f>
        <v>100</v>
      </c>
      <c r="X24" s="1568"/>
      <c r="Y24" s="343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37"/>
      <c r="Q25" s="1151">
        <f t="shared" si="11"/>
        <v>111</v>
      </c>
      <c r="R25" s="1569" t="s">
        <v>8</v>
      </c>
      <c r="S25" s="1570">
        <f>F25</f>
        <v>100</v>
      </c>
      <c r="T25" s="1569" t="s">
        <v>8</v>
      </c>
      <c r="U25" s="1570">
        <f>H25</f>
        <v>100</v>
      </c>
      <c r="V25" s="1569" t="s">
        <v>8</v>
      </c>
      <c r="W25" s="1570">
        <f>J25</f>
        <v>100</v>
      </c>
      <c r="X25" s="1571"/>
      <c r="Y25" s="3437"/>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3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3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39"/>
      <c r="Q27" s="1606" t="str">
        <f t="shared" si="11"/>
        <v>项目停车位配比</v>
      </c>
      <c r="R27" s="1578" t="s">
        <v>8</v>
      </c>
      <c r="S27" s="1579">
        <f t="shared" si="12"/>
        <v>100</v>
      </c>
      <c r="T27" s="1578" t="s">
        <v>8</v>
      </c>
      <c r="U27" s="1579">
        <f t="shared" si="13"/>
        <v>100</v>
      </c>
      <c r="V27" s="1578" t="s">
        <v>8</v>
      </c>
      <c r="W27" s="1579">
        <f t="shared" si="14"/>
        <v>100</v>
      </c>
      <c r="X27" s="1580"/>
      <c r="Y27" s="343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39"/>
      <c r="Q28" s="1573" t="str">
        <f t="shared" si="11"/>
        <v>公共部分装修</v>
      </c>
      <c r="R28" s="1574" t="s">
        <v>8</v>
      </c>
      <c r="S28" s="1575">
        <f t="shared" si="12"/>
        <v>100</v>
      </c>
      <c r="T28" s="1574" t="s">
        <v>8</v>
      </c>
      <c r="U28" s="1575">
        <f t="shared" si="13"/>
        <v>100</v>
      </c>
      <c r="V28" s="1574" t="s">
        <v>8</v>
      </c>
      <c r="W28" s="1575">
        <f t="shared" si="14"/>
        <v>100</v>
      </c>
      <c r="X28" s="1568"/>
      <c r="Y28" s="343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39"/>
      <c r="Q29" s="1573" t="str">
        <f t="shared" si="11"/>
        <v>成新率</v>
      </c>
      <c r="R29" s="1574" t="s">
        <v>8</v>
      </c>
      <c r="S29" s="1575" t="e">
        <f t="shared" si="12"/>
        <v>#N/A</v>
      </c>
      <c r="T29" s="1574" t="s">
        <v>8</v>
      </c>
      <c r="U29" s="1575" t="e">
        <f t="shared" si="13"/>
        <v>#N/A</v>
      </c>
      <c r="V29" s="1574" t="s">
        <v>8</v>
      </c>
      <c r="W29" s="1575" t="e">
        <f t="shared" si="14"/>
        <v>#N/A</v>
      </c>
      <c r="X29" s="1568"/>
      <c r="Y29" s="343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39"/>
      <c r="Q30" s="1573" t="str">
        <f t="shared" si="11"/>
        <v>物业等级</v>
      </c>
      <c r="R30" s="1574" t="s">
        <v>8</v>
      </c>
      <c r="S30" s="1575">
        <f t="shared" si="12"/>
        <v>100</v>
      </c>
      <c r="T30" s="1574" t="s">
        <v>8</v>
      </c>
      <c r="U30" s="1575">
        <f t="shared" si="13"/>
        <v>100</v>
      </c>
      <c r="V30" s="1574" t="s">
        <v>8</v>
      </c>
      <c r="W30" s="1575">
        <f t="shared" si="14"/>
        <v>100</v>
      </c>
      <c r="X30" s="1568"/>
      <c r="Y30" s="343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39"/>
      <c r="Q31" s="1151" t="str">
        <f t="shared" si="11"/>
        <v>停车位面积</v>
      </c>
      <c r="R31" s="1569" t="s">
        <v>8</v>
      </c>
      <c r="S31" s="1570" t="e">
        <f t="shared" si="12"/>
        <v>#N/A</v>
      </c>
      <c r="T31" s="1569" t="s">
        <v>8</v>
      </c>
      <c r="U31" s="1570" t="e">
        <f t="shared" si="13"/>
        <v>#N/A</v>
      </c>
      <c r="V31" s="1569" t="s">
        <v>8</v>
      </c>
      <c r="W31" s="1570" t="e">
        <f t="shared" si="14"/>
        <v>#N/A</v>
      </c>
      <c r="X31" s="1571"/>
      <c r="Y31" s="343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39" t="s">
        <v>550</v>
      </c>
      <c r="Q32" s="1573" t="str">
        <f t="shared" si="11"/>
        <v>车位类型</v>
      </c>
      <c r="R32" s="1574" t="s">
        <v>8</v>
      </c>
      <c r="S32" s="1575">
        <f t="shared" si="12"/>
        <v>100</v>
      </c>
      <c r="T32" s="1574" t="s">
        <v>8</v>
      </c>
      <c r="U32" s="1575">
        <f t="shared" si="13"/>
        <v>100</v>
      </c>
      <c r="V32" s="1574" t="s">
        <v>8</v>
      </c>
      <c r="W32" s="1575">
        <f t="shared" si="14"/>
        <v>100</v>
      </c>
      <c r="X32" s="1568"/>
      <c r="Y32" s="343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39"/>
      <c r="Q33" s="1573" t="str">
        <f t="shared" si="11"/>
        <v>是否直接入户</v>
      </c>
      <c r="R33" s="1574" t="s">
        <v>8</v>
      </c>
      <c r="S33" s="1575">
        <f t="shared" si="12"/>
        <v>100</v>
      </c>
      <c r="T33" s="1574" t="s">
        <v>8</v>
      </c>
      <c r="U33" s="1575">
        <f t="shared" si="13"/>
        <v>100</v>
      </c>
      <c r="V33" s="1574" t="s">
        <v>8</v>
      </c>
      <c r="W33" s="1575">
        <f t="shared" si="14"/>
        <v>100</v>
      </c>
      <c r="X33" s="1568"/>
      <c r="Y33" s="343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39"/>
      <c r="Q34" s="1573">
        <f t="shared" si="11"/>
        <v>111</v>
      </c>
      <c r="R34" s="1574" t="s">
        <v>8</v>
      </c>
      <c r="S34" s="1575">
        <f t="shared" si="12"/>
        <v>100</v>
      </c>
      <c r="T34" s="1574" t="s">
        <v>8</v>
      </c>
      <c r="U34" s="1575">
        <f t="shared" si="13"/>
        <v>100</v>
      </c>
      <c r="V34" s="1574" t="s">
        <v>8</v>
      </c>
      <c r="W34" s="1575">
        <f t="shared" si="14"/>
        <v>100</v>
      </c>
      <c r="X34" s="1568"/>
      <c r="Y34" s="343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39"/>
      <c r="Q35" s="1606">
        <f t="shared" si="11"/>
        <v>111</v>
      </c>
      <c r="R35" s="1578" t="s">
        <v>8</v>
      </c>
      <c r="S35" s="1579">
        <f t="shared" si="12"/>
        <v>100</v>
      </c>
      <c r="T35" s="1578" t="s">
        <v>8</v>
      </c>
      <c r="U35" s="1579">
        <f t="shared" si="13"/>
        <v>100</v>
      </c>
      <c r="V35" s="1578" t="s">
        <v>8</v>
      </c>
      <c r="W35" s="1579">
        <f t="shared" si="14"/>
        <v>100</v>
      </c>
      <c r="X35" s="1580"/>
      <c r="Y35" s="343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39"/>
      <c r="Q36" s="1573">
        <f t="shared" si="11"/>
        <v>111</v>
      </c>
      <c r="R36" s="1574" t="s">
        <v>8</v>
      </c>
      <c r="S36" s="1575">
        <f t="shared" si="12"/>
        <v>100</v>
      </c>
      <c r="T36" s="1574" t="s">
        <v>8</v>
      </c>
      <c r="U36" s="1575">
        <f t="shared" si="13"/>
        <v>100</v>
      </c>
      <c r="V36" s="1574" t="s">
        <v>8</v>
      </c>
      <c r="W36" s="1575">
        <f t="shared" si="14"/>
        <v>100</v>
      </c>
      <c r="X36" s="1568"/>
      <c r="Y36" s="3439"/>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02" t="str">
        <f>A37</f>
        <v>成交单价</v>
      </c>
      <c r="Q37" s="3402"/>
      <c r="R37" s="3532">
        <f>E37</f>
        <v>0</v>
      </c>
      <c r="S37" s="3532"/>
      <c r="T37" s="3532">
        <f>G37</f>
        <v>0</v>
      </c>
      <c r="U37" s="3532"/>
      <c r="V37" s="3532">
        <f>I37</f>
        <v>0</v>
      </c>
      <c r="W37" s="3532"/>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02" t="str">
        <f>A38</f>
        <v>比较价格（元/平方米）</v>
      </c>
      <c r="Q38" s="3402"/>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399" t="str">
        <f>A39</f>
        <v>估价对象XX用房的比较价格（楼面单价，元/平方米）</v>
      </c>
      <c r="Q39" s="3400"/>
      <c r="R39" s="3531" t="e">
        <f>IF(F1="售价",ROUND(AVERAGE(R38:V38),0),ROUND(AVERAGE(R38:V38),1))</f>
        <v>#DIV/0!</v>
      </c>
      <c r="S39" s="3531"/>
      <c r="T39" s="3531"/>
      <c r="U39" s="3531"/>
      <c r="V39" s="3531"/>
      <c r="W39" s="353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08" t="s">
        <v>798</v>
      </c>
      <c r="D4" s="3409"/>
      <c r="E4" s="3442" t="s">
        <v>799</v>
      </c>
      <c r="F4" s="3443"/>
      <c r="G4" s="3408" t="s">
        <v>800</v>
      </c>
      <c r="H4" s="3409"/>
      <c r="I4" s="3408" t="s">
        <v>801</v>
      </c>
      <c r="J4" s="3409"/>
      <c r="K4" s="514" t="s">
        <v>802</v>
      </c>
      <c r="L4" s="2135"/>
      <c r="M4" s="2136"/>
      <c r="N4" s="2136"/>
      <c r="O4" s="2136"/>
      <c r="P4" s="3410" t="s">
        <v>803</v>
      </c>
      <c r="Q4" s="3411"/>
      <c r="R4" s="3416" t="s">
        <v>799</v>
      </c>
      <c r="S4" s="3417"/>
      <c r="T4" s="3416" t="s">
        <v>800</v>
      </c>
      <c r="U4" s="3417"/>
      <c r="V4" s="3403" t="s">
        <v>801</v>
      </c>
      <c r="W4" s="3403"/>
      <c r="X4" s="1568"/>
      <c r="Y4" s="3416" t="s">
        <v>803</v>
      </c>
      <c r="Z4" s="3417"/>
      <c r="AA4" s="3405" t="s">
        <v>799</v>
      </c>
      <c r="AB4" s="3406" t="s">
        <v>800</v>
      </c>
      <c r="AC4" s="3405" t="s">
        <v>801</v>
      </c>
    </row>
    <row r="5" spans="1:29" ht="15">
      <c r="A5" s="515"/>
      <c r="B5" s="516"/>
      <c r="C5" s="3424" t="s">
        <v>2933</v>
      </c>
      <c r="D5" s="3425"/>
      <c r="E5" s="3444" t="s">
        <v>2934</v>
      </c>
      <c r="F5" s="3445"/>
      <c r="G5" s="3424" t="s">
        <v>2935</v>
      </c>
      <c r="H5" s="3425"/>
      <c r="I5" s="3424" t="s">
        <v>2936</v>
      </c>
      <c r="J5" s="3425"/>
      <c r="K5" s="514"/>
      <c r="L5" s="2135"/>
      <c r="M5" s="2136"/>
      <c r="N5" s="2136"/>
      <c r="O5" s="2136"/>
      <c r="P5" s="3412"/>
      <c r="Q5" s="3413"/>
      <c r="R5" s="3418"/>
      <c r="S5" s="3419"/>
      <c r="T5" s="3418"/>
      <c r="U5" s="3419"/>
      <c r="V5" s="3403"/>
      <c r="W5" s="3403"/>
      <c r="X5" s="1568"/>
      <c r="Y5" s="3418"/>
      <c r="Z5" s="3419"/>
      <c r="AA5" s="3406"/>
      <c r="AB5" s="3406"/>
      <c r="AC5" s="3406"/>
    </row>
    <row r="6" spans="1:29" ht="15.75" thickBot="1">
      <c r="A6" s="517"/>
      <c r="B6" s="518"/>
      <c r="C6" s="3422" t="s">
        <v>2937</v>
      </c>
      <c r="D6" s="3423"/>
      <c r="E6" s="3440" t="s">
        <v>2937</v>
      </c>
      <c r="F6" s="3441"/>
      <c r="G6" s="3422" t="s">
        <v>2937</v>
      </c>
      <c r="H6" s="3423"/>
      <c r="I6" s="3422" t="s">
        <v>2937</v>
      </c>
      <c r="J6" s="3423"/>
      <c r="K6" s="514" t="s">
        <v>528</v>
      </c>
      <c r="L6" s="2135"/>
      <c r="M6" s="2136"/>
      <c r="N6" s="2136"/>
      <c r="O6" s="2136"/>
      <c r="P6" s="3414"/>
      <c r="Q6" s="3415"/>
      <c r="R6" s="3418"/>
      <c r="S6" s="3419"/>
      <c r="T6" s="3420"/>
      <c r="U6" s="3421"/>
      <c r="V6" s="3403"/>
      <c r="W6" s="3403"/>
      <c r="X6" s="1568"/>
      <c r="Y6" s="3420"/>
      <c r="Z6" s="3421"/>
      <c r="AA6" s="3407"/>
      <c r="AB6" s="3407"/>
      <c r="AC6" s="3407"/>
    </row>
    <row r="7" spans="1:29" s="1220" customFormat="1" ht="15.75" thickBot="1">
      <c r="A7" s="2914"/>
      <c r="B7" s="2921" t="s">
        <v>529</v>
      </c>
      <c r="C7" s="519">
        <f>'数据-取费表'!B2</f>
        <v>43410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3" t="s">
        <v>530</v>
      </c>
      <c r="Q7" s="3435"/>
      <c r="R7" s="1569" t="s">
        <v>8</v>
      </c>
      <c r="S7" s="1570">
        <f t="shared" ref="S7:S14" si="0">F7</f>
        <v>0</v>
      </c>
      <c r="T7" s="1569" t="s">
        <v>8</v>
      </c>
      <c r="U7" s="1570">
        <f t="shared" ref="U7:U14" si="1">H7</f>
        <v>0</v>
      </c>
      <c r="V7" s="1569" t="s">
        <v>8</v>
      </c>
      <c r="W7" s="1570">
        <f t="shared" ref="W7:W14" si="2">J7</f>
        <v>0</v>
      </c>
      <c r="X7" s="1571"/>
      <c r="Y7" s="3433" t="s">
        <v>530</v>
      </c>
      <c r="Z7" s="3434"/>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3" t="s">
        <v>533</v>
      </c>
      <c r="Q8" s="3434"/>
      <c r="R8" s="1569" t="s">
        <v>8</v>
      </c>
      <c r="S8" s="1570">
        <f t="shared" si="0"/>
        <v>0</v>
      </c>
      <c r="T8" s="1569" t="s">
        <v>8</v>
      </c>
      <c r="U8" s="1570">
        <f t="shared" si="1"/>
        <v>0</v>
      </c>
      <c r="V8" s="1569" t="s">
        <v>8</v>
      </c>
      <c r="W8" s="1570">
        <f t="shared" si="2"/>
        <v>0</v>
      </c>
      <c r="X8" s="1571"/>
      <c r="Y8" s="3433" t="s">
        <v>533</v>
      </c>
      <c r="Z8" s="3434"/>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2" t="s">
        <v>535</v>
      </c>
      <c r="Q9" s="1151" t="str">
        <f t="shared" ref="Q9:Q14" si="6">B9</f>
        <v>用途</v>
      </c>
      <c r="R9" s="1569" t="s">
        <v>8</v>
      </c>
      <c r="S9" s="1570">
        <f t="shared" si="0"/>
        <v>100</v>
      </c>
      <c r="T9" s="1569" t="s">
        <v>8</v>
      </c>
      <c r="U9" s="1570">
        <f t="shared" si="1"/>
        <v>100</v>
      </c>
      <c r="V9" s="1569" t="s">
        <v>8</v>
      </c>
      <c r="W9" s="1570">
        <f t="shared" si="2"/>
        <v>100</v>
      </c>
      <c r="X9" s="1571"/>
      <c r="Y9" s="3348"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2"/>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2"/>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2"/>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2"/>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36" t="s">
        <v>540</v>
      </c>
      <c r="Q14" s="1573" t="str">
        <f t="shared" si="6"/>
        <v>交通便捷度</v>
      </c>
      <c r="R14" s="1574" t="s">
        <v>8</v>
      </c>
      <c r="S14" s="1575">
        <f t="shared" si="0"/>
        <v>100</v>
      </c>
      <c r="T14" s="1574" t="s">
        <v>8</v>
      </c>
      <c r="U14" s="1575">
        <f t="shared" si="1"/>
        <v>100</v>
      </c>
      <c r="V14" s="1574" t="s">
        <v>8</v>
      </c>
      <c r="W14" s="1575">
        <f t="shared" si="2"/>
        <v>100</v>
      </c>
      <c r="X14" s="1568"/>
      <c r="Y14" s="343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37"/>
      <c r="Q15" s="1573"/>
      <c r="R15" s="1574"/>
      <c r="S15" s="1575"/>
      <c r="T15" s="1574"/>
      <c r="U15" s="1575"/>
      <c r="V15" s="1574"/>
      <c r="W15" s="1575"/>
      <c r="X15" s="1568"/>
      <c r="Y15" s="3437"/>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37"/>
      <c r="Q16" s="1573" t="str">
        <f>B16</f>
        <v>公共配套设施</v>
      </c>
      <c r="R16" s="1574" t="s">
        <v>8</v>
      </c>
      <c r="S16" s="1575">
        <f>F16</f>
        <v>100</v>
      </c>
      <c r="T16" s="1574" t="s">
        <v>8</v>
      </c>
      <c r="U16" s="1575">
        <f>H16</f>
        <v>100</v>
      </c>
      <c r="V16" s="1574" t="s">
        <v>8</v>
      </c>
      <c r="W16" s="1575">
        <f>J16</f>
        <v>100</v>
      </c>
      <c r="X16" s="1568"/>
      <c r="Y16" s="343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37"/>
      <c r="Q17" s="1573"/>
      <c r="R17" s="1574"/>
      <c r="S17" s="1575"/>
      <c r="T17" s="1574"/>
      <c r="U17" s="1575"/>
      <c r="V17" s="1574"/>
      <c r="W17" s="1575"/>
      <c r="X17" s="1568"/>
      <c r="Y17" s="3437"/>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37"/>
      <c r="Q18" s="2581" t="str">
        <f>B18</f>
        <v>基础设施水平</v>
      </c>
      <c r="R18" s="1574" t="s">
        <v>8</v>
      </c>
      <c r="S18" s="1575">
        <f>F18</f>
        <v>100</v>
      </c>
      <c r="T18" s="1574" t="s">
        <v>8</v>
      </c>
      <c r="U18" s="1575">
        <f>H18</f>
        <v>100</v>
      </c>
      <c r="V18" s="1574" t="s">
        <v>8</v>
      </c>
      <c r="W18" s="1575">
        <f>J18</f>
        <v>100</v>
      </c>
      <c r="X18" s="2583"/>
      <c r="Y18" s="3437"/>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37"/>
      <c r="Q19" s="2581"/>
      <c r="R19" s="1574"/>
      <c r="S19" s="1575"/>
      <c r="T19" s="1574"/>
      <c r="U19" s="1575"/>
      <c r="V19" s="1574"/>
      <c r="W19" s="1575"/>
      <c r="X19" s="2583"/>
      <c r="Y19" s="3437"/>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37"/>
      <c r="Q20" s="1573" t="str">
        <f>B20</f>
        <v>自然及人文环境</v>
      </c>
      <c r="R20" s="1574" t="s">
        <v>8</v>
      </c>
      <c r="S20" s="1575">
        <f>F20</f>
        <v>100</v>
      </c>
      <c r="T20" s="1574" t="s">
        <v>8</v>
      </c>
      <c r="U20" s="1575">
        <f>H20</f>
        <v>100</v>
      </c>
      <c r="V20" s="1574" t="s">
        <v>8</v>
      </c>
      <c r="W20" s="1575">
        <f>J20</f>
        <v>100</v>
      </c>
      <c r="X20" s="1568"/>
      <c r="Y20" s="343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37"/>
      <c r="Q21" s="1573"/>
      <c r="R21" s="1574"/>
      <c r="S21" s="1575"/>
      <c r="T21" s="1574"/>
      <c r="U21" s="1575"/>
      <c r="V21" s="1574"/>
      <c r="W21" s="1575"/>
      <c r="X21" s="1568"/>
      <c r="Y21" s="343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37"/>
      <c r="Q22" s="1573" t="str">
        <f>B22</f>
        <v>楼层</v>
      </c>
      <c r="R22" s="1574" t="s">
        <v>8</v>
      </c>
      <c r="S22" s="1575">
        <f>F22</f>
        <v>100</v>
      </c>
      <c r="T22" s="1574" t="s">
        <v>8</v>
      </c>
      <c r="U22" s="1575">
        <f>H22</f>
        <v>100</v>
      </c>
      <c r="V22" s="1574" t="s">
        <v>8</v>
      </c>
      <c r="W22" s="1575">
        <f>J22</f>
        <v>100</v>
      </c>
      <c r="X22" s="1568"/>
      <c r="Y22" s="343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37"/>
      <c r="Q23" s="1573">
        <f>B23</f>
        <v>111</v>
      </c>
      <c r="R23" s="1574" t="s">
        <v>8</v>
      </c>
      <c r="S23" s="1575">
        <f>F23</f>
        <v>100</v>
      </c>
      <c r="T23" s="1574" t="s">
        <v>8</v>
      </c>
      <c r="U23" s="1575">
        <f>H23</f>
        <v>100</v>
      </c>
      <c r="V23" s="1574" t="s">
        <v>8</v>
      </c>
      <c r="W23" s="1575">
        <f>J23</f>
        <v>100</v>
      </c>
      <c r="X23" s="1568"/>
      <c r="Y23" s="343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37"/>
      <c r="Q24" s="1573">
        <f t="shared" ref="Q24:Q34" si="11">B24</f>
        <v>111</v>
      </c>
      <c r="R24" s="1574" t="s">
        <v>8</v>
      </c>
      <c r="S24" s="1575">
        <f>F24</f>
        <v>100</v>
      </c>
      <c r="T24" s="1574" t="s">
        <v>8</v>
      </c>
      <c r="U24" s="1575">
        <f>H24</f>
        <v>100</v>
      </c>
      <c r="V24" s="1574" t="s">
        <v>8</v>
      </c>
      <c r="W24" s="1575">
        <f>J24</f>
        <v>100</v>
      </c>
      <c r="X24" s="1568"/>
      <c r="Y24" s="343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37"/>
      <c r="Q25" s="1151">
        <f t="shared" si="11"/>
        <v>111</v>
      </c>
      <c r="R25" s="1569" t="s">
        <v>8</v>
      </c>
      <c r="S25" s="1570">
        <f>F25</f>
        <v>100</v>
      </c>
      <c r="T25" s="1569" t="s">
        <v>8</v>
      </c>
      <c r="U25" s="1570">
        <f>H25</f>
        <v>100</v>
      </c>
      <c r="V25" s="1569" t="s">
        <v>8</v>
      </c>
      <c r="W25" s="1570">
        <f>J25</f>
        <v>100</v>
      </c>
      <c r="X25" s="1571"/>
      <c r="Y25" s="3437"/>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3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3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39"/>
      <c r="Q27" s="1606" t="str">
        <f t="shared" si="11"/>
        <v>成新率</v>
      </c>
      <c r="R27" s="1578" t="s">
        <v>8</v>
      </c>
      <c r="S27" s="1579" t="e">
        <f t="shared" si="12"/>
        <v>#N/A</v>
      </c>
      <c r="T27" s="1578" t="s">
        <v>8</v>
      </c>
      <c r="U27" s="1579" t="e">
        <f t="shared" si="13"/>
        <v>#N/A</v>
      </c>
      <c r="V27" s="1578" t="s">
        <v>8</v>
      </c>
      <c r="W27" s="1579" t="e">
        <f t="shared" si="14"/>
        <v>#N/A</v>
      </c>
      <c r="X27" s="1580"/>
      <c r="Y27" s="343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39"/>
      <c r="Q28" s="1573" t="str">
        <f t="shared" si="11"/>
        <v>物业等级</v>
      </c>
      <c r="R28" s="1574" t="s">
        <v>8</v>
      </c>
      <c r="S28" s="1575">
        <f t="shared" si="12"/>
        <v>100</v>
      </c>
      <c r="T28" s="1574" t="s">
        <v>8</v>
      </c>
      <c r="U28" s="1575">
        <f t="shared" si="13"/>
        <v>100</v>
      </c>
      <c r="V28" s="1574" t="s">
        <v>8</v>
      </c>
      <c r="W28" s="1575">
        <f t="shared" si="14"/>
        <v>100</v>
      </c>
      <c r="X28" s="1568"/>
      <c r="Y28" s="343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39"/>
      <c r="Q29" s="1573" t="str">
        <f t="shared" si="11"/>
        <v>有无电梯</v>
      </c>
      <c r="R29" s="1574" t="s">
        <v>8</v>
      </c>
      <c r="S29" s="1575">
        <f t="shared" si="12"/>
        <v>100</v>
      </c>
      <c r="T29" s="1574" t="s">
        <v>8</v>
      </c>
      <c r="U29" s="1575">
        <f t="shared" si="13"/>
        <v>100</v>
      </c>
      <c r="V29" s="1574" t="s">
        <v>8</v>
      </c>
      <c r="W29" s="1575">
        <f t="shared" si="14"/>
        <v>100</v>
      </c>
      <c r="X29" s="1568"/>
      <c r="Y29" s="343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39"/>
      <c r="Q30" s="1573" t="str">
        <f t="shared" si="11"/>
        <v>建筑面积</v>
      </c>
      <c r="R30" s="1574" t="s">
        <v>8</v>
      </c>
      <c r="S30" s="1575" t="e">
        <f t="shared" si="12"/>
        <v>#N/A</v>
      </c>
      <c r="T30" s="1574" t="s">
        <v>8</v>
      </c>
      <c r="U30" s="1575" t="e">
        <f t="shared" si="13"/>
        <v>#N/A</v>
      </c>
      <c r="V30" s="1574" t="s">
        <v>8</v>
      </c>
      <c r="W30" s="1575" t="e">
        <f t="shared" si="14"/>
        <v>#N/A</v>
      </c>
      <c r="X30" s="1568"/>
      <c r="Y30" s="343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39"/>
      <c r="Q31" s="1151" t="str">
        <f t="shared" si="11"/>
        <v>是否封闭</v>
      </c>
      <c r="R31" s="1569" t="s">
        <v>8</v>
      </c>
      <c r="S31" s="1570">
        <f t="shared" si="12"/>
        <v>100</v>
      </c>
      <c r="T31" s="1569" t="s">
        <v>8</v>
      </c>
      <c r="U31" s="1570">
        <f t="shared" si="13"/>
        <v>100</v>
      </c>
      <c r="V31" s="1569" t="s">
        <v>8</v>
      </c>
      <c r="W31" s="1570">
        <f t="shared" si="14"/>
        <v>100</v>
      </c>
      <c r="X31" s="1571"/>
      <c r="Y31" s="343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39" t="s">
        <v>550</v>
      </c>
      <c r="Q32" s="1573">
        <f t="shared" si="11"/>
        <v>111</v>
      </c>
      <c r="R32" s="1574" t="s">
        <v>8</v>
      </c>
      <c r="S32" s="1575">
        <f t="shared" si="12"/>
        <v>100</v>
      </c>
      <c r="T32" s="1574" t="s">
        <v>8</v>
      </c>
      <c r="U32" s="1575">
        <f t="shared" si="13"/>
        <v>100</v>
      </c>
      <c r="V32" s="1574" t="s">
        <v>8</v>
      </c>
      <c r="W32" s="1575">
        <f t="shared" si="14"/>
        <v>100</v>
      </c>
      <c r="X32" s="1568"/>
      <c r="Y32" s="343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39"/>
      <c r="Q33" s="1573">
        <f t="shared" si="11"/>
        <v>111</v>
      </c>
      <c r="R33" s="1574" t="s">
        <v>8</v>
      </c>
      <c r="S33" s="1575">
        <f t="shared" si="12"/>
        <v>100</v>
      </c>
      <c r="T33" s="1574" t="s">
        <v>8</v>
      </c>
      <c r="U33" s="1575">
        <f t="shared" si="13"/>
        <v>100</v>
      </c>
      <c r="V33" s="1574" t="s">
        <v>8</v>
      </c>
      <c r="W33" s="1575">
        <f t="shared" si="14"/>
        <v>100</v>
      </c>
      <c r="X33" s="1568"/>
      <c r="Y33" s="343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39"/>
      <c r="Q34" s="1573">
        <f t="shared" si="11"/>
        <v>111</v>
      </c>
      <c r="R34" s="1574" t="s">
        <v>8</v>
      </c>
      <c r="S34" s="1575">
        <f t="shared" si="12"/>
        <v>100</v>
      </c>
      <c r="T34" s="1574" t="s">
        <v>8</v>
      </c>
      <c r="U34" s="1575">
        <f t="shared" si="13"/>
        <v>100</v>
      </c>
      <c r="V34" s="1574" t="s">
        <v>8</v>
      </c>
      <c r="W34" s="1575">
        <f t="shared" si="14"/>
        <v>100</v>
      </c>
      <c r="X34" s="1568"/>
      <c r="Y34" s="3439"/>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02" t="str">
        <f>A35</f>
        <v>成交单价（元/平方米）</v>
      </c>
      <c r="Q35" s="3402"/>
      <c r="R35" s="3532">
        <f>E35</f>
        <v>0</v>
      </c>
      <c r="S35" s="3532"/>
      <c r="T35" s="3532">
        <f>G35</f>
        <v>0</v>
      </c>
      <c r="U35" s="3532"/>
      <c r="V35" s="3532">
        <f>I35</f>
        <v>0</v>
      </c>
      <c r="W35" s="3532"/>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02" t="str">
        <f>A36</f>
        <v>比较价格（元/平方米）</v>
      </c>
      <c r="Q36" s="3402"/>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399" t="str">
        <f>A37</f>
        <v>估价对象XX用房的比较价格（楼面单价，元/平方米）</v>
      </c>
      <c r="Q37" s="3400"/>
      <c r="R37" s="3531" t="e">
        <f>IF(F1="售价",ROUND(AVERAGE(R36:V36),0),ROUND(AVERAGE(R36:V36),1))</f>
        <v>#DIV/0!</v>
      </c>
      <c r="S37" s="3531"/>
      <c r="T37" s="3531"/>
      <c r="U37" s="3531"/>
      <c r="V37" s="3531"/>
      <c r="W37" s="353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41" t="s">
        <v>2307</v>
      </c>
      <c r="D1" s="3542"/>
      <c r="E1" s="3542"/>
      <c r="F1" s="3542"/>
      <c r="G1" s="3542"/>
      <c r="H1" s="3542"/>
      <c r="I1" s="3542"/>
      <c r="J1" s="3542"/>
      <c r="K1" s="3542"/>
      <c r="L1" s="3542"/>
      <c r="M1" s="3542"/>
      <c r="N1" s="3542"/>
      <c r="O1" s="3542"/>
      <c r="P1" s="3542"/>
      <c r="Q1" s="3542"/>
      <c r="R1" s="3542"/>
      <c r="S1" s="354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38" t="s">
        <v>20</v>
      </c>
      <c r="D22" s="3539"/>
      <c r="E22" s="3539"/>
      <c r="F22" s="3539"/>
      <c r="G22" s="3539"/>
      <c r="H22" s="3539"/>
      <c r="I22" s="3539"/>
      <c r="J22" s="3539"/>
      <c r="K22" s="3539"/>
      <c r="L22" s="3539"/>
      <c r="M22" s="3539"/>
      <c r="N22" s="3539"/>
      <c r="O22" s="3539"/>
      <c r="P22" s="3539"/>
      <c r="Q22" s="354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43410</v>
      </c>
      <c r="H1" s="2940">
        <f>IF(C1&gt;C13,0,MATCH(C1,C$13:C$100,-1))+IF(SUMIF(C13:C100,C1,D13:D100)=0,13,12)</f>
        <v>13</v>
      </c>
      <c r="I1" s="2940">
        <f>MATCH(C2,H3:H7,1)+IF(SUMIF(H3:H7,C2,I3:I7)=0,2,1)</f>
        <v>5</v>
      </c>
      <c r="J1" s="2999">
        <f ca="1">MATCH(C3,H3:H7,1)+IF(SUMIF(H3:H7,C3,J3:J7)=0,2,1)</f>
        <v>4</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1</v>
      </c>
      <c r="D3" s="3002" t="s">
        <v>2791</v>
      </c>
      <c r="E3" s="3005">
        <f ca="1">INDIRECT("J"&amp;$J$1)/100</f>
        <v>4.3499999999999997E-2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43" workbookViewId="0">
      <selection activeCell="N42" sqref="N42"/>
    </sheetView>
  </sheetViews>
  <sheetFormatPr defaultRowHeight="13.5"/>
  <sheetData>
    <row r="1" spans="1:7" ht="24">
      <c r="A1" s="3549" t="s">
        <v>3100</v>
      </c>
      <c r="B1" s="3549" t="s">
        <v>3101</v>
      </c>
      <c r="C1" s="3549" t="s">
        <v>3102</v>
      </c>
      <c r="D1" s="3549" t="s">
        <v>3103</v>
      </c>
      <c r="E1" s="3549" t="s">
        <v>3104</v>
      </c>
      <c r="F1" s="3549" t="s">
        <v>3105</v>
      </c>
      <c r="G1" s="3544" t="s">
        <v>3106</v>
      </c>
    </row>
    <row r="2" spans="1:7" ht="24.75" thickBot="1">
      <c r="A2" s="3550"/>
      <c r="B2" s="3550"/>
      <c r="C2" s="3550"/>
      <c r="D2" s="3550"/>
      <c r="E2" s="3550"/>
      <c r="F2" s="3550"/>
      <c r="G2" s="3545" t="s">
        <v>3107</v>
      </c>
    </row>
    <row r="3" spans="1:7" ht="34.5" thickBot="1">
      <c r="A3" s="3546">
        <v>1</v>
      </c>
      <c r="B3" s="3547" t="s">
        <v>3108</v>
      </c>
      <c r="C3" s="3547" t="s">
        <v>3109</v>
      </c>
      <c r="D3" s="3547">
        <v>800</v>
      </c>
      <c r="E3" s="3548" t="s">
        <v>3110</v>
      </c>
      <c r="F3" s="3547">
        <v>2018.8</v>
      </c>
      <c r="G3" s="3547">
        <v>0.8</v>
      </c>
    </row>
    <row r="4" spans="1:7" ht="34.5" thickBot="1">
      <c r="A4" s="3546">
        <v>2</v>
      </c>
      <c r="B4" s="3547" t="s">
        <v>3111</v>
      </c>
      <c r="C4" s="3547" t="s">
        <v>3112</v>
      </c>
      <c r="D4" s="3547">
        <v>360</v>
      </c>
      <c r="E4" s="3548" t="s">
        <v>3110</v>
      </c>
      <c r="F4" s="3547">
        <v>2018.8</v>
      </c>
      <c r="G4" s="3547">
        <v>0.8</v>
      </c>
    </row>
    <row r="5" spans="1:7" ht="34.5" thickBot="1">
      <c r="A5" s="3546">
        <v>3</v>
      </c>
      <c r="B5" s="3547" t="s">
        <v>3113</v>
      </c>
      <c r="C5" s="3547" t="s">
        <v>3114</v>
      </c>
      <c r="D5" s="3547">
        <v>450</v>
      </c>
      <c r="E5" s="3548" t="s">
        <v>3110</v>
      </c>
      <c r="F5" s="3547">
        <v>2018.8</v>
      </c>
      <c r="G5" s="3547">
        <v>1</v>
      </c>
    </row>
    <row r="6" spans="1:7" ht="14.25" thickBot="1"/>
    <row r="7" spans="1:7" ht="14.25" thickBot="1">
      <c r="A7" s="3554"/>
      <c r="B7" s="3555"/>
      <c r="C7" s="3551" t="s">
        <v>3115</v>
      </c>
      <c r="D7" s="3551" t="s">
        <v>3116</v>
      </c>
      <c r="E7" s="3551" t="s">
        <v>3117</v>
      </c>
      <c r="F7" s="3551" t="s">
        <v>3118</v>
      </c>
    </row>
    <row r="8" spans="1:7" ht="24" customHeight="1" thickBot="1">
      <c r="A8" s="3554" t="s">
        <v>3119</v>
      </c>
      <c r="B8" s="3555"/>
      <c r="C8" s="3548" t="s">
        <v>3120</v>
      </c>
      <c r="D8" s="3552">
        <v>0.8</v>
      </c>
      <c r="E8" s="3552">
        <v>0.8</v>
      </c>
      <c r="F8" s="3548">
        <v>1</v>
      </c>
    </row>
    <row r="9" spans="1:7" ht="14.25" thickBot="1">
      <c r="A9" s="3554" t="s">
        <v>3105</v>
      </c>
      <c r="B9" s="3555"/>
      <c r="C9" s="3548">
        <v>2018.8</v>
      </c>
      <c r="D9" s="3548">
        <v>2018.8</v>
      </c>
      <c r="E9" s="3548">
        <v>2018.8</v>
      </c>
      <c r="F9" s="3548">
        <v>2018.8</v>
      </c>
    </row>
    <row r="10" spans="1:7" ht="14.25" thickBot="1">
      <c r="A10" s="3554" t="s">
        <v>3121</v>
      </c>
      <c r="B10" s="3555"/>
      <c r="C10" s="3548" t="s">
        <v>982</v>
      </c>
      <c r="D10" s="3548" t="s">
        <v>982</v>
      </c>
      <c r="E10" s="3548" t="s">
        <v>982</v>
      </c>
      <c r="F10" s="3548" t="s">
        <v>982</v>
      </c>
    </row>
    <row r="11" spans="1:7" ht="14.25" thickBot="1">
      <c r="A11" s="3554" t="s">
        <v>3122</v>
      </c>
      <c r="B11" s="3555"/>
      <c r="C11" s="3548" t="s">
        <v>3123</v>
      </c>
      <c r="D11" s="3548" t="s">
        <v>3123</v>
      </c>
      <c r="E11" s="3548" t="s">
        <v>3123</v>
      </c>
      <c r="F11" s="3548" t="s">
        <v>3123</v>
      </c>
    </row>
    <row r="12" spans="1:7" ht="108.75" thickBot="1">
      <c r="A12" s="3557" t="s">
        <v>3124</v>
      </c>
      <c r="B12" s="3548" t="s">
        <v>3125</v>
      </c>
      <c r="C12" s="3548" t="s">
        <v>3126</v>
      </c>
      <c r="D12" s="3548" t="s">
        <v>3127</v>
      </c>
      <c r="E12" s="3548" t="s">
        <v>3128</v>
      </c>
      <c r="F12" s="3548" t="s">
        <v>3129</v>
      </c>
    </row>
    <row r="13" spans="1:7" ht="156.75" thickBot="1">
      <c r="A13" s="3556"/>
      <c r="B13" s="3548" t="s">
        <v>3130</v>
      </c>
      <c r="C13" s="3548" t="s">
        <v>3131</v>
      </c>
      <c r="D13" s="3548" t="s">
        <v>3132</v>
      </c>
      <c r="E13" s="3548" t="s">
        <v>3133</v>
      </c>
      <c r="F13" s="3548" t="s">
        <v>3134</v>
      </c>
    </row>
    <row r="14" spans="1:7" ht="156.75" thickBot="1">
      <c r="A14" s="3556"/>
      <c r="B14" s="3548" t="s">
        <v>3135</v>
      </c>
      <c r="C14" s="3548" t="s">
        <v>3136</v>
      </c>
      <c r="D14" s="3548" t="s">
        <v>3137</v>
      </c>
      <c r="E14" s="3548" t="s">
        <v>3138</v>
      </c>
      <c r="F14" s="3548" t="s">
        <v>3139</v>
      </c>
    </row>
    <row r="15" spans="1:7" ht="60.75" thickBot="1">
      <c r="A15" s="3556"/>
      <c r="B15" s="3548" t="s">
        <v>3140</v>
      </c>
      <c r="C15" s="3548" t="s">
        <v>3141</v>
      </c>
      <c r="D15" s="3548" t="s">
        <v>3141</v>
      </c>
      <c r="E15" s="3548" t="s">
        <v>3142</v>
      </c>
      <c r="F15" s="3548" t="s">
        <v>3141</v>
      </c>
    </row>
    <row r="16" spans="1:7" ht="24.75" thickBot="1">
      <c r="A16" s="3558"/>
      <c r="B16" s="3548" t="s">
        <v>3143</v>
      </c>
      <c r="C16" s="3548" t="s">
        <v>3144</v>
      </c>
      <c r="D16" s="3548" t="s">
        <v>3144</v>
      </c>
      <c r="E16" s="3548" t="s">
        <v>3144</v>
      </c>
      <c r="F16" s="3548" t="s">
        <v>3144</v>
      </c>
    </row>
    <row r="17" spans="1:12" ht="14.25" thickBot="1">
      <c r="A17" s="3557" t="s">
        <v>3145</v>
      </c>
      <c r="B17" s="3548" t="s">
        <v>3146</v>
      </c>
      <c r="C17" s="3548" t="s">
        <v>3147</v>
      </c>
      <c r="D17" s="3548" t="s">
        <v>3147</v>
      </c>
      <c r="E17" s="3548" t="s">
        <v>3147</v>
      </c>
      <c r="F17" s="3548" t="s">
        <v>3147</v>
      </c>
    </row>
    <row r="18" spans="1:12" ht="24.75" thickBot="1">
      <c r="A18" s="3556"/>
      <c r="B18" s="3548" t="s">
        <v>3148</v>
      </c>
      <c r="C18" s="3548" t="s">
        <v>3149</v>
      </c>
      <c r="D18" s="3548" t="s">
        <v>3150</v>
      </c>
      <c r="E18" s="3548" t="s">
        <v>3151</v>
      </c>
      <c r="F18" s="3548" t="s">
        <v>3152</v>
      </c>
    </row>
    <row r="19" spans="1:12" ht="48.75" thickBot="1">
      <c r="A19" s="3556"/>
      <c r="B19" s="3548" t="s">
        <v>3153</v>
      </c>
      <c r="C19" s="3548" t="s">
        <v>3154</v>
      </c>
      <c r="D19" s="3548" t="s">
        <v>3154</v>
      </c>
      <c r="E19" s="3548" t="s">
        <v>3154</v>
      </c>
      <c r="F19" s="3548" t="s">
        <v>3154</v>
      </c>
    </row>
    <row r="20" spans="1:12" ht="24.75" thickBot="1">
      <c r="A20" s="3556"/>
      <c r="B20" s="3548" t="s">
        <v>3155</v>
      </c>
      <c r="C20" s="3548" t="s">
        <v>3156</v>
      </c>
      <c r="D20" s="3548" t="s">
        <v>3156</v>
      </c>
      <c r="E20" s="3548" t="s">
        <v>3156</v>
      </c>
      <c r="F20" s="3548" t="s">
        <v>3156</v>
      </c>
    </row>
    <row r="21" spans="1:12" ht="14.25" thickBot="1">
      <c r="A21" s="3556"/>
      <c r="B21" s="3548" t="s">
        <v>3157</v>
      </c>
      <c r="C21" s="3548" t="s">
        <v>3110</v>
      </c>
      <c r="D21" s="3548" t="s">
        <v>3110</v>
      </c>
      <c r="E21" s="3548" t="s">
        <v>3110</v>
      </c>
      <c r="F21" s="3548" t="s">
        <v>3110</v>
      </c>
    </row>
    <row r="22" spans="1:12" ht="36.75" thickBot="1">
      <c r="A22" s="3558"/>
      <c r="B22" s="3553" t="s">
        <v>3158</v>
      </c>
      <c r="C22" s="3548" t="s">
        <v>3159</v>
      </c>
      <c r="D22" s="3548" t="s">
        <v>3159</v>
      </c>
      <c r="E22" s="3548" t="s">
        <v>3159</v>
      </c>
      <c r="F22" s="3548" t="s">
        <v>3159</v>
      </c>
    </row>
    <row r="23" spans="1:12" ht="14.25" thickBot="1">
      <c r="A23" s="3559" t="s">
        <v>3160</v>
      </c>
      <c r="B23" s="3548" t="s">
        <v>3161</v>
      </c>
      <c r="C23" s="3548" t="s">
        <v>3162</v>
      </c>
      <c r="D23" s="3548" t="s">
        <v>3162</v>
      </c>
      <c r="E23" s="3548" t="s">
        <v>3162</v>
      </c>
      <c r="F23" s="3548" t="s">
        <v>3162</v>
      </c>
    </row>
    <row r="24" spans="1:12" ht="24.75" thickBot="1">
      <c r="A24" s="3560"/>
      <c r="B24" s="3548" t="s">
        <v>3163</v>
      </c>
      <c r="C24" s="3548" t="s">
        <v>3164</v>
      </c>
      <c r="D24" s="3548" t="s">
        <v>3164</v>
      </c>
      <c r="E24" s="3548" t="s">
        <v>3164</v>
      </c>
      <c r="F24" s="3548" t="s">
        <v>3164</v>
      </c>
    </row>
    <row r="25" spans="1:12" ht="15" thickBot="1">
      <c r="A25" s="3561"/>
    </row>
    <row r="26" spans="1:12" ht="24.75" thickBot="1">
      <c r="A26" s="3554"/>
      <c r="B26" s="3555"/>
      <c r="C26" s="3554" t="s">
        <v>3116</v>
      </c>
      <c r="D26" s="3565"/>
      <c r="E26" s="3555"/>
      <c r="F26" s="3554" t="s">
        <v>3117</v>
      </c>
      <c r="G26" s="3565"/>
      <c r="H26" s="3555"/>
      <c r="I26" s="3554" t="s">
        <v>3118</v>
      </c>
      <c r="J26" s="3565"/>
      <c r="K26" s="3555"/>
      <c r="L26" s="3551" t="s">
        <v>3165</v>
      </c>
    </row>
    <row r="27" spans="1:12" ht="24" customHeight="1" thickBot="1">
      <c r="A27" s="3554" t="s">
        <v>3166</v>
      </c>
      <c r="B27" s="3555"/>
      <c r="C27" s="3554">
        <v>0.8</v>
      </c>
      <c r="D27" s="3565"/>
      <c r="E27" s="3555"/>
      <c r="F27" s="3554">
        <v>0.8</v>
      </c>
      <c r="G27" s="3565"/>
      <c r="H27" s="3555"/>
      <c r="I27" s="3554">
        <v>1</v>
      </c>
      <c r="J27" s="3565"/>
      <c r="K27" s="3555"/>
      <c r="L27" s="3548" t="s">
        <v>2820</v>
      </c>
    </row>
    <row r="28" spans="1:12" ht="96.75" thickBot="1">
      <c r="A28" s="3554" t="s">
        <v>3105</v>
      </c>
      <c r="B28" s="3555"/>
      <c r="C28" s="3563">
        <v>100</v>
      </c>
      <c r="D28" s="3562" t="s">
        <v>3167</v>
      </c>
      <c r="E28" s="3564">
        <v>100</v>
      </c>
      <c r="F28" s="3563">
        <v>100</v>
      </c>
      <c r="G28" s="3562" t="s">
        <v>3167</v>
      </c>
      <c r="H28" s="3564">
        <v>100</v>
      </c>
      <c r="I28" s="3563">
        <v>100</v>
      </c>
      <c r="J28" s="3562" t="s">
        <v>3167</v>
      </c>
      <c r="K28" s="3564">
        <v>100</v>
      </c>
      <c r="L28" s="3564" t="s">
        <v>3168</v>
      </c>
    </row>
    <row r="29" spans="1:12" ht="84.75" thickBot="1">
      <c r="A29" s="3554" t="s">
        <v>3121</v>
      </c>
      <c r="B29" s="3555"/>
      <c r="C29" s="3563">
        <v>100</v>
      </c>
      <c r="D29" s="3562" t="s">
        <v>3167</v>
      </c>
      <c r="E29" s="3564">
        <v>100</v>
      </c>
      <c r="F29" s="3563">
        <v>100</v>
      </c>
      <c r="G29" s="3562" t="s">
        <v>3167</v>
      </c>
      <c r="H29" s="3564">
        <v>100</v>
      </c>
      <c r="I29" s="3563">
        <v>100</v>
      </c>
      <c r="J29" s="3562" t="s">
        <v>3167</v>
      </c>
      <c r="K29" s="3564">
        <v>100</v>
      </c>
      <c r="L29" s="3564" t="s">
        <v>3169</v>
      </c>
    </row>
    <row r="30" spans="1:12" ht="108.75" thickBot="1">
      <c r="A30" s="3554" t="s">
        <v>3122</v>
      </c>
      <c r="B30" s="3555"/>
      <c r="C30" s="3563">
        <v>100</v>
      </c>
      <c r="D30" s="3562" t="s">
        <v>3167</v>
      </c>
      <c r="E30" s="3564">
        <v>100</v>
      </c>
      <c r="F30" s="3563">
        <v>100</v>
      </c>
      <c r="G30" s="3562" t="s">
        <v>3167</v>
      </c>
      <c r="H30" s="3564">
        <v>100</v>
      </c>
      <c r="I30" s="3563">
        <v>100</v>
      </c>
      <c r="J30" s="3562" t="s">
        <v>3167</v>
      </c>
      <c r="K30" s="3564">
        <v>100</v>
      </c>
      <c r="L30" s="3564" t="s">
        <v>3170</v>
      </c>
    </row>
    <row r="31" spans="1:12" ht="96.75" thickBot="1">
      <c r="A31" s="3557" t="s">
        <v>3124</v>
      </c>
      <c r="B31" s="3548" t="s">
        <v>3125</v>
      </c>
      <c r="C31" s="3563">
        <v>100</v>
      </c>
      <c r="D31" s="3562" t="s">
        <v>3167</v>
      </c>
      <c r="E31" s="3564">
        <v>100</v>
      </c>
      <c r="F31" s="3563">
        <v>100</v>
      </c>
      <c r="G31" s="3562" t="s">
        <v>3167</v>
      </c>
      <c r="H31" s="3564">
        <v>100</v>
      </c>
      <c r="I31" s="3563">
        <v>100</v>
      </c>
      <c r="J31" s="3562" t="s">
        <v>3167</v>
      </c>
      <c r="K31" s="3564">
        <v>100</v>
      </c>
      <c r="L31" s="3564" t="s">
        <v>3171</v>
      </c>
    </row>
    <row r="32" spans="1:12" ht="84.75" thickBot="1">
      <c r="A32" s="3556"/>
      <c r="B32" s="3548" t="s">
        <v>3130</v>
      </c>
      <c r="C32" s="3563">
        <v>100</v>
      </c>
      <c r="D32" s="3562" t="s">
        <v>3167</v>
      </c>
      <c r="E32" s="3564">
        <v>97</v>
      </c>
      <c r="F32" s="3563">
        <v>100</v>
      </c>
      <c r="G32" s="3562" t="s">
        <v>3167</v>
      </c>
      <c r="H32" s="3564">
        <v>97</v>
      </c>
      <c r="I32" s="3563">
        <v>100</v>
      </c>
      <c r="J32" s="3562" t="s">
        <v>3167</v>
      </c>
      <c r="K32" s="3564">
        <v>97</v>
      </c>
      <c r="L32" s="3564" t="s">
        <v>3172</v>
      </c>
    </row>
    <row r="33" spans="1:12" ht="108.75" thickBot="1">
      <c r="A33" s="3556"/>
      <c r="B33" s="3548" t="s">
        <v>3135</v>
      </c>
      <c r="C33" s="3563">
        <v>100</v>
      </c>
      <c r="D33" s="3562" t="s">
        <v>3167</v>
      </c>
      <c r="E33" s="3564">
        <v>100</v>
      </c>
      <c r="F33" s="3563">
        <v>100</v>
      </c>
      <c r="G33" s="3562" t="s">
        <v>3167</v>
      </c>
      <c r="H33" s="3564">
        <v>98</v>
      </c>
      <c r="I33" s="3563">
        <v>100</v>
      </c>
      <c r="J33" s="3562" t="s">
        <v>3167</v>
      </c>
      <c r="K33" s="3564">
        <v>98</v>
      </c>
      <c r="L33" s="3564" t="s">
        <v>3173</v>
      </c>
    </row>
    <row r="34" spans="1:12" ht="96.75" thickBot="1">
      <c r="A34" s="3556"/>
      <c r="B34" s="3548" t="s">
        <v>3140</v>
      </c>
      <c r="C34" s="3563">
        <v>100</v>
      </c>
      <c r="D34" s="3562" t="s">
        <v>3167</v>
      </c>
      <c r="E34" s="3564">
        <v>100</v>
      </c>
      <c r="F34" s="3563">
        <v>100</v>
      </c>
      <c r="G34" s="3562" t="s">
        <v>3167</v>
      </c>
      <c r="H34" s="3564">
        <v>98</v>
      </c>
      <c r="I34" s="3563">
        <v>100</v>
      </c>
      <c r="J34" s="3562" t="s">
        <v>3167</v>
      </c>
      <c r="K34" s="3564">
        <v>100</v>
      </c>
      <c r="L34" s="3564" t="s">
        <v>3174</v>
      </c>
    </row>
    <row r="35" spans="1:12" ht="96.75" thickBot="1">
      <c r="A35" s="3558"/>
      <c r="B35" s="3548" t="s">
        <v>3143</v>
      </c>
      <c r="C35" s="3563">
        <v>100</v>
      </c>
      <c r="D35" s="3562" t="s">
        <v>3167</v>
      </c>
      <c r="E35" s="3564">
        <v>100</v>
      </c>
      <c r="F35" s="3563">
        <v>100</v>
      </c>
      <c r="G35" s="3562" t="s">
        <v>3167</v>
      </c>
      <c r="H35" s="3564">
        <v>100</v>
      </c>
      <c r="I35" s="3563">
        <v>100</v>
      </c>
      <c r="J35" s="3562" t="s">
        <v>3167</v>
      </c>
      <c r="K35" s="3564">
        <v>100</v>
      </c>
      <c r="L35" s="3564" t="s">
        <v>3175</v>
      </c>
    </row>
    <row r="36" spans="1:12" ht="72.75" thickBot="1">
      <c r="A36" s="3557" t="s">
        <v>3176</v>
      </c>
      <c r="B36" s="3548" t="s">
        <v>3146</v>
      </c>
      <c r="C36" s="3563">
        <v>100</v>
      </c>
      <c r="D36" s="3562" t="s">
        <v>3167</v>
      </c>
      <c r="E36" s="3564">
        <v>100</v>
      </c>
      <c r="F36" s="3563">
        <v>100</v>
      </c>
      <c r="G36" s="3562" t="s">
        <v>3167</v>
      </c>
      <c r="H36" s="3564">
        <v>100</v>
      </c>
      <c r="I36" s="3563">
        <v>100</v>
      </c>
      <c r="J36" s="3562" t="s">
        <v>3167</v>
      </c>
      <c r="K36" s="3564">
        <v>100</v>
      </c>
      <c r="L36" s="3564" t="s">
        <v>3177</v>
      </c>
    </row>
    <row r="37" spans="1:12" ht="120.75" thickBot="1">
      <c r="A37" s="3556"/>
      <c r="B37" s="3548" t="s">
        <v>3148</v>
      </c>
      <c r="C37" s="3563">
        <v>100</v>
      </c>
      <c r="D37" s="3562" t="s">
        <v>3167</v>
      </c>
      <c r="E37" s="3564">
        <v>104</v>
      </c>
      <c r="F37" s="3563">
        <v>100</v>
      </c>
      <c r="G37" s="3562" t="s">
        <v>3167</v>
      </c>
      <c r="H37" s="3564">
        <v>102</v>
      </c>
      <c r="I37" s="3563">
        <v>100</v>
      </c>
      <c r="J37" s="3562" t="s">
        <v>3167</v>
      </c>
      <c r="K37" s="3564">
        <v>102</v>
      </c>
      <c r="L37" s="3564" t="s">
        <v>3178</v>
      </c>
    </row>
    <row r="38" spans="1:12" ht="96.75" thickBot="1">
      <c r="A38" s="3556"/>
      <c r="B38" s="3548" t="s">
        <v>3153</v>
      </c>
      <c r="C38" s="3563">
        <v>100</v>
      </c>
      <c r="D38" s="3562" t="s">
        <v>3167</v>
      </c>
      <c r="E38" s="3564">
        <v>100</v>
      </c>
      <c r="F38" s="3563">
        <v>100</v>
      </c>
      <c r="G38" s="3562" t="s">
        <v>3167</v>
      </c>
      <c r="H38" s="3564">
        <v>100</v>
      </c>
      <c r="I38" s="3563">
        <v>100</v>
      </c>
      <c r="J38" s="3562" t="s">
        <v>3167</v>
      </c>
      <c r="K38" s="3564">
        <v>100</v>
      </c>
      <c r="L38" s="3564" t="s">
        <v>3179</v>
      </c>
    </row>
    <row r="39" spans="1:12" ht="36.75" thickBot="1">
      <c r="A39" s="3556"/>
      <c r="B39" s="3548" t="s">
        <v>3155</v>
      </c>
      <c r="C39" s="3563">
        <v>100</v>
      </c>
      <c r="D39" s="3562" t="s">
        <v>3167</v>
      </c>
      <c r="E39" s="3564">
        <v>100</v>
      </c>
      <c r="F39" s="3563">
        <v>100</v>
      </c>
      <c r="G39" s="3562" t="s">
        <v>3167</v>
      </c>
      <c r="H39" s="3564">
        <v>100</v>
      </c>
      <c r="I39" s="3563">
        <v>100</v>
      </c>
      <c r="J39" s="3562" t="s">
        <v>3167</v>
      </c>
      <c r="K39" s="3564">
        <v>100</v>
      </c>
      <c r="L39" s="3564" t="s">
        <v>3180</v>
      </c>
    </row>
    <row r="40" spans="1:12" ht="96.75" thickBot="1">
      <c r="A40" s="3556"/>
      <c r="B40" s="3548" t="s">
        <v>3157</v>
      </c>
      <c r="C40" s="3563">
        <v>100</v>
      </c>
      <c r="D40" s="3562" t="s">
        <v>3167</v>
      </c>
      <c r="E40" s="3564">
        <v>100</v>
      </c>
      <c r="F40" s="3563">
        <v>100</v>
      </c>
      <c r="G40" s="3562" t="s">
        <v>3167</v>
      </c>
      <c r="H40" s="3564">
        <v>100</v>
      </c>
      <c r="I40" s="3563">
        <v>100</v>
      </c>
      <c r="J40" s="3562" t="s">
        <v>3167</v>
      </c>
      <c r="K40" s="3564">
        <v>100</v>
      </c>
      <c r="L40" s="3564" t="s">
        <v>3181</v>
      </c>
    </row>
    <row r="41" spans="1:12" ht="96.75" thickBot="1">
      <c r="A41" s="3558"/>
      <c r="B41" s="3548" t="s">
        <v>3158</v>
      </c>
      <c r="C41" s="3563">
        <v>100</v>
      </c>
      <c r="D41" s="3562" t="s">
        <v>3167</v>
      </c>
      <c r="E41" s="3564">
        <v>100</v>
      </c>
      <c r="F41" s="3563">
        <v>100</v>
      </c>
      <c r="G41" s="3562" t="s">
        <v>3167</v>
      </c>
      <c r="H41" s="3564">
        <v>100</v>
      </c>
      <c r="I41" s="3563">
        <v>100</v>
      </c>
      <c r="J41" s="3562" t="s">
        <v>3167</v>
      </c>
      <c r="K41" s="3564">
        <v>100</v>
      </c>
      <c r="L41" s="3564" t="s">
        <v>3182</v>
      </c>
    </row>
    <row r="42" spans="1:12" ht="72.75" thickBot="1">
      <c r="A42" s="3557" t="s">
        <v>3183</v>
      </c>
      <c r="B42" s="3548" t="s">
        <v>3161</v>
      </c>
      <c r="C42" s="3563">
        <v>100</v>
      </c>
      <c r="D42" s="3562" t="s">
        <v>3167</v>
      </c>
      <c r="E42" s="3564">
        <v>100</v>
      </c>
      <c r="F42" s="3563">
        <v>100</v>
      </c>
      <c r="G42" s="3562" t="s">
        <v>3167</v>
      </c>
      <c r="H42" s="3564">
        <v>100</v>
      </c>
      <c r="I42" s="3563">
        <v>100</v>
      </c>
      <c r="J42" s="3562" t="s">
        <v>3167</v>
      </c>
      <c r="K42" s="3564">
        <v>100</v>
      </c>
      <c r="L42" s="3564" t="s">
        <v>3184</v>
      </c>
    </row>
    <row r="43" spans="1:12" ht="72.75" thickBot="1">
      <c r="A43" s="3558"/>
      <c r="B43" s="3548" t="s">
        <v>3163</v>
      </c>
      <c r="C43" s="3563">
        <v>100</v>
      </c>
      <c r="D43" s="3562" t="s">
        <v>3167</v>
      </c>
      <c r="E43" s="3564">
        <v>100</v>
      </c>
      <c r="F43" s="3563">
        <v>100</v>
      </c>
      <c r="G43" s="3562" t="s">
        <v>3167</v>
      </c>
      <c r="H43" s="3564">
        <v>100</v>
      </c>
      <c r="I43" s="3563">
        <v>100</v>
      </c>
      <c r="J43" s="3562" t="s">
        <v>3167</v>
      </c>
      <c r="K43" s="3564">
        <v>100</v>
      </c>
      <c r="L43" s="3564" t="s">
        <v>3185</v>
      </c>
    </row>
    <row r="44" spans="1:12" ht="14.25" thickBot="1">
      <c r="A44" s="3566" t="s">
        <v>3186</v>
      </c>
      <c r="B44" s="3567"/>
      <c r="C44" s="3566">
        <v>0.99129999999999996</v>
      </c>
      <c r="D44" s="3568"/>
      <c r="E44" s="3567"/>
      <c r="F44" s="3566">
        <v>1.0524</v>
      </c>
      <c r="G44" s="3568"/>
      <c r="H44" s="3567"/>
      <c r="I44" s="3566">
        <v>1.0313000000000001</v>
      </c>
      <c r="J44" s="3568"/>
      <c r="K44" s="3567"/>
      <c r="L44" s="3553" t="s">
        <v>2820</v>
      </c>
    </row>
    <row r="45" spans="1:12" ht="14.25" thickBot="1">
      <c r="A45" s="3566" t="s">
        <v>3187</v>
      </c>
      <c r="B45" s="3567"/>
      <c r="C45" s="3566">
        <v>0.79</v>
      </c>
      <c r="D45" s="3568"/>
      <c r="E45" s="3567"/>
      <c r="F45" s="3566">
        <v>0.84</v>
      </c>
      <c r="G45" s="3568"/>
      <c r="H45" s="3567"/>
      <c r="I45" s="3566">
        <v>1.03</v>
      </c>
      <c r="J45" s="3568"/>
      <c r="K45" s="3567"/>
      <c r="L45" s="3553" t="s">
        <v>2820</v>
      </c>
    </row>
    <row r="46" spans="1:12" ht="24" customHeight="1" thickBot="1">
      <c r="A46" s="3554" t="s">
        <v>3188</v>
      </c>
      <c r="B46" s="3555"/>
      <c r="C46" s="3566">
        <v>0.9</v>
      </c>
      <c r="D46" s="3568"/>
      <c r="E46" s="3568"/>
      <c r="F46" s="3568"/>
      <c r="G46" s="3568"/>
      <c r="H46" s="3568"/>
      <c r="I46" s="3568"/>
      <c r="J46" s="3568"/>
      <c r="K46" s="3567"/>
      <c r="L46" s="3553" t="s">
        <v>3189</v>
      </c>
    </row>
  </sheetData>
  <mergeCells count="38">
    <mergeCell ref="A46:B46"/>
    <mergeCell ref="C46:K46"/>
    <mergeCell ref="A44:B44"/>
    <mergeCell ref="C44:E44"/>
    <mergeCell ref="F44:H44"/>
    <mergeCell ref="I44:K44"/>
    <mergeCell ref="A45:B45"/>
    <mergeCell ref="C45:E45"/>
    <mergeCell ref="F45:H45"/>
    <mergeCell ref="I45:K45"/>
    <mergeCell ref="A28:B28"/>
    <mergeCell ref="A29:B29"/>
    <mergeCell ref="A30:B30"/>
    <mergeCell ref="A31:A35"/>
    <mergeCell ref="A36:A41"/>
    <mergeCell ref="A42:A43"/>
    <mergeCell ref="A26:B26"/>
    <mergeCell ref="C26:E26"/>
    <mergeCell ref="F26:H26"/>
    <mergeCell ref="I26:K26"/>
    <mergeCell ref="A27:B27"/>
    <mergeCell ref="C27:E27"/>
    <mergeCell ref="F27:H27"/>
    <mergeCell ref="I27:K27"/>
    <mergeCell ref="A17:A22"/>
    <mergeCell ref="A23:A24"/>
    <mergeCell ref="A7:B7"/>
    <mergeCell ref="A8:B8"/>
    <mergeCell ref="A9:B9"/>
    <mergeCell ref="A10:B10"/>
    <mergeCell ref="A11:B11"/>
    <mergeCell ref="A12:A16"/>
    <mergeCell ref="A1:A2"/>
    <mergeCell ref="B1:B2"/>
    <mergeCell ref="C1:C2"/>
    <mergeCell ref="D1:D2"/>
    <mergeCell ref="E1:E2"/>
    <mergeCell ref="F1:F2"/>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2041</v>
      </c>
      <c r="B1" s="3239"/>
      <c r="C1" s="3239"/>
      <c r="D1" s="3239"/>
      <c r="E1" s="3239"/>
      <c r="F1" s="3239"/>
      <c r="G1" s="3239"/>
      <c r="H1" s="3239"/>
      <c r="I1" s="3239"/>
      <c r="J1" s="3239"/>
      <c r="K1" s="3239"/>
      <c r="L1" s="3239"/>
      <c r="M1" s="3239"/>
      <c r="N1" s="3239"/>
      <c r="O1" s="3239"/>
      <c r="P1" s="3239"/>
      <c r="Q1" s="3239"/>
      <c r="R1" s="3239"/>
    </row>
    <row r="2" spans="1:18">
      <c r="A2" s="1809" t="s">
        <v>2043</v>
      </c>
      <c r="B2" s="1809"/>
      <c r="C2" s="1809"/>
      <c r="D2" s="1809"/>
      <c r="E2" s="1809"/>
      <c r="F2" s="1809"/>
      <c r="G2" s="1809"/>
      <c r="H2" s="1809"/>
      <c r="I2" s="1810"/>
      <c r="J2" s="1810"/>
      <c r="K2" s="1811" t="str">
        <f>"估价期日："&amp;TEXT(项目基本情况!D3,"yyyy年m月d日;;")</f>
        <v>估价期日：2018年11月6日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0" t="s">
        <v>2032</v>
      </c>
      <c r="B3" s="3240" t="s">
        <v>2734</v>
      </c>
      <c r="C3" s="3241" t="s">
        <v>2033</v>
      </c>
      <c r="D3" s="3240" t="s">
        <v>2738</v>
      </c>
      <c r="E3" s="3235" t="s">
        <v>2034</v>
      </c>
      <c r="F3" s="3235"/>
      <c r="G3" s="3235"/>
      <c r="H3" s="3235" t="s">
        <v>2035</v>
      </c>
      <c r="I3" s="3235"/>
      <c r="J3" s="3235"/>
      <c r="K3" s="3241" t="s">
        <v>2036</v>
      </c>
      <c r="L3" s="3241" t="s">
        <v>2037</v>
      </c>
      <c r="M3" s="3240" t="s">
        <v>2735</v>
      </c>
      <c r="N3" s="3242" t="str">
        <f>"（分摊）"&amp;项目基本情况!B16&amp;"国有建设用地使用权面积/㎡"</f>
        <v>（分摊）出让国有建设用地使用权面积/㎡</v>
      </c>
      <c r="O3" s="3240" t="s">
        <v>2066</v>
      </c>
      <c r="P3" s="3241" t="s">
        <v>2046</v>
      </c>
      <c r="Q3" s="3241" t="s">
        <v>2067</v>
      </c>
      <c r="R3" s="3241" t="s">
        <v>2038</v>
      </c>
    </row>
    <row r="4" spans="1:18" ht="36.75" customHeight="1">
      <c r="A4" s="3240"/>
      <c r="B4" s="3240"/>
      <c r="C4" s="3241"/>
      <c r="D4" s="3240"/>
      <c r="E4" s="2651" t="s">
        <v>2045</v>
      </c>
      <c r="F4" s="2651" t="s">
        <v>2747</v>
      </c>
      <c r="G4" s="2651" t="s">
        <v>2039</v>
      </c>
      <c r="H4" s="2651" t="s">
        <v>2040</v>
      </c>
      <c r="I4" s="2651" t="s">
        <v>2748</v>
      </c>
      <c r="J4" s="2651" t="s">
        <v>2039</v>
      </c>
      <c r="K4" s="3241"/>
      <c r="L4" s="3241"/>
      <c r="M4" s="3240"/>
      <c r="N4" s="3242"/>
      <c r="O4" s="3240"/>
      <c r="P4" s="3241"/>
      <c r="Q4" s="3241"/>
      <c r="R4" s="3241"/>
    </row>
    <row r="5" spans="1:18" ht="135" customHeight="1">
      <c r="A5" s="1945" t="s">
        <v>2658</v>
      </c>
      <c r="B5" s="2869" t="s">
        <v>2656</v>
      </c>
      <c r="C5" s="2650">
        <v>22</v>
      </c>
      <c r="D5" s="2649" t="s">
        <v>2657</v>
      </c>
      <c r="E5" s="1812" t="str">
        <f>项目基本情况!B12</f>
        <v>工交</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130380.53</v>
      </c>
      <c r="O5" s="1812">
        <f>项目基本情况!C21</f>
        <v>57858.8</v>
      </c>
      <c r="P5" s="1812">
        <f ca="1">结果表!E42</f>
        <v>6299</v>
      </c>
      <c r="Q5" s="1812">
        <f ca="1">结果表!D42</f>
        <v>14194</v>
      </c>
      <c r="R5" s="1813">
        <f ca="1">结果表!C42</f>
        <v>82125</v>
      </c>
    </row>
    <row r="6" spans="1:18">
      <c r="A6" s="3236" t="str">
        <f>IF(项目基本情况!B9="市场价格","——","抵押价格")</f>
        <v>——</v>
      </c>
      <c r="B6" s="3237"/>
      <c r="C6" s="3237"/>
      <c r="D6" s="3237"/>
      <c r="E6" s="3237"/>
      <c r="F6" s="3237"/>
      <c r="G6" s="3237"/>
      <c r="H6" s="3237"/>
      <c r="I6" s="3237"/>
      <c r="J6" s="3237"/>
      <c r="K6" s="3237"/>
      <c r="L6" s="3237"/>
      <c r="M6" s="3237"/>
      <c r="N6" s="3237"/>
      <c r="O6" s="3237"/>
      <c r="P6" s="3237"/>
      <c r="Q6" s="3238"/>
      <c r="R6" s="1814" t="str">
        <f>结果表!O39</f>
        <v>——</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4" t="str">
        <f>结果表!O40</f>
        <v>——</v>
      </c>
    </row>
    <row r="8" spans="1:18">
      <c r="A8" s="3236" t="str">
        <f>IF(项目基本情况!B9="市场价格","——",项目基本情况!E9)</f>
        <v>——</v>
      </c>
      <c r="B8" s="3237"/>
      <c r="C8" s="3237"/>
      <c r="D8" s="3237"/>
      <c r="E8" s="3237"/>
      <c r="F8" s="3237"/>
      <c r="G8" s="3237"/>
      <c r="H8" s="3237"/>
      <c r="I8" s="3237"/>
      <c r="J8" s="3237"/>
      <c r="K8" s="3237"/>
      <c r="L8" s="3237"/>
      <c r="M8" s="3237"/>
      <c r="N8" s="3237"/>
      <c r="O8" s="3237"/>
      <c r="P8" s="3237"/>
      <c r="Q8" s="3238"/>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4" t="s">
        <v>2068</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2069</v>
      </c>
      <c r="B5" s="3243"/>
      <c r="C5" s="3243"/>
      <c r="D5" s="3243"/>
    </row>
    <row r="6" spans="1:4">
      <c r="A6" s="3244" t="s">
        <v>2047</v>
      </c>
      <c r="B6" s="3244"/>
      <c r="C6" s="3244"/>
      <c r="D6" s="3244"/>
    </row>
    <row r="7" spans="1:4" ht="33" customHeight="1">
      <c r="A7" s="3244" t="s">
        <v>2578</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4"/>
      <c r="C8" s="3244"/>
      <c r="D8" s="3244"/>
    </row>
    <row r="9" spans="1:4" ht="33.75" customHeight="1">
      <c r="A9" s="3244" t="str">
        <f>IF(项目基本情况!B8="抵押","3.抵押双方在办理抵押登记手续时，应使用本公司出具的正式《土地估价报告》，特提请报告使用者注意。","——")</f>
        <v>——</v>
      </c>
      <c r="B9" s="3244"/>
      <c r="C9" s="3244"/>
      <c r="D9" s="3244"/>
    </row>
    <row r="10" spans="1:4">
      <c r="A10" s="3244" t="str">
        <f>IF(项目基本情况!B8="抵押","4.估价师所知悉的法定优先受偿款情况为：","——")</f>
        <v>——</v>
      </c>
      <c r="B10" s="3244"/>
      <c r="C10" s="3244"/>
      <c r="D10" s="3244"/>
    </row>
    <row r="11" spans="1:4" ht="37.5" customHeight="1">
      <c r="A11" s="3246" t="str">
        <f>IF(项目基本情况!B8="抵押","（1）"&amp;CONCATENATE(项目基本情况!L24,项目基本情况!L25,项目基本情况!L26),"——")</f>
        <v>——</v>
      </c>
      <c r="B11" s="3246"/>
      <c r="C11" s="3246"/>
      <c r="D11" s="3246"/>
    </row>
    <row r="12" spans="1:4" ht="168" customHeight="1">
      <c r="A12" s="3243" t="s">
        <v>2071</v>
      </c>
      <c r="B12" s="3243"/>
      <c r="C12" s="3243"/>
      <c r="D12" s="3243"/>
    </row>
    <row r="13" spans="1:4">
      <c r="A13" s="3247" t="s">
        <v>2749</v>
      </c>
      <c r="B13" s="3247"/>
      <c r="C13" s="3247"/>
      <c r="D13" s="3247"/>
    </row>
    <row r="14" spans="1:4">
      <c r="A14" s="3246" t="str">
        <f>IF(项目基本情况!B8="抵押","综上，"&amp;结果表!K47,"——")</f>
        <v>——</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2705</v>
      </c>
      <c r="B17" s="3244"/>
      <c r="C17" s="3244"/>
      <c r="D17" s="3244"/>
    </row>
    <row r="18" spans="1:4">
      <c r="A18" s="3244" t="s">
        <v>2697</v>
      </c>
      <c r="B18" s="3244"/>
      <c r="C18" s="3244"/>
      <c r="D18" s="3244"/>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44" t="s">
        <v>2702</v>
      </c>
      <c r="B23" s="3244"/>
      <c r="C23" s="3244"/>
      <c r="D23" s="3244"/>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5" t="s">
        <v>53</v>
      </c>
      <c r="B15" s="3256" t="s">
        <v>846</v>
      </c>
      <c r="C15" s="3252"/>
    </row>
    <row r="16" spans="1:7" ht="14.25">
      <c r="A16" s="3255"/>
      <c r="B16" s="3253" t="s">
        <v>54</v>
      </c>
      <c r="C16" s="1172" t="s">
        <v>53</v>
      </c>
    </row>
    <row r="17" spans="1:3" ht="14.25">
      <c r="A17" s="3255"/>
      <c r="B17" s="3253"/>
      <c r="C17" s="1172" t="s">
        <v>55</v>
      </c>
    </row>
    <row r="18" spans="1:3" ht="14.25">
      <c r="A18" s="3255"/>
      <c r="B18" s="3253"/>
      <c r="C18" s="1172" t="s">
        <v>56</v>
      </c>
    </row>
    <row r="19" spans="1:3" ht="14.25">
      <c r="A19" s="3255"/>
      <c r="B19" s="3251" t="s">
        <v>57</v>
      </c>
      <c r="C19" s="3252"/>
    </row>
    <row r="20" spans="1:3" ht="14.25">
      <c r="A20" s="1173" t="s">
        <v>58</v>
      </c>
      <c r="B20" s="1174"/>
      <c r="C20" s="1175"/>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6" t="s">
        <v>837</v>
      </c>
    </row>
    <row r="25" spans="1:3" ht="14.25">
      <c r="A25" s="3254"/>
      <c r="B25" s="3258"/>
      <c r="C25" s="1176" t="s">
        <v>838</v>
      </c>
    </row>
    <row r="26" spans="1:3" ht="14.25">
      <c r="A26" s="3254"/>
      <c r="B26" s="3258"/>
      <c r="C26" s="1176" t="s">
        <v>839</v>
      </c>
    </row>
    <row r="27" spans="1:3" ht="14.25">
      <c r="A27" s="3254"/>
      <c r="B27" s="3258"/>
      <c r="C27" s="1176" t="s">
        <v>840</v>
      </c>
    </row>
    <row r="28" spans="1:3" ht="14.25">
      <c r="A28" s="3254"/>
      <c r="B28" s="3258"/>
      <c r="C28" s="1176" t="s">
        <v>841</v>
      </c>
    </row>
    <row r="29" spans="1:3" ht="14.25">
      <c r="A29" s="3254"/>
      <c r="B29" s="3258"/>
      <c r="C29" s="1176" t="s">
        <v>842</v>
      </c>
    </row>
    <row r="30" spans="1:3" ht="14.25">
      <c r="A30" s="3254"/>
      <c r="B30" s="3258"/>
      <c r="C30" s="1176" t="s">
        <v>843</v>
      </c>
    </row>
    <row r="31" spans="1:3" ht="14.25">
      <c r="A31" s="3254"/>
      <c r="B31" s="3258"/>
      <c r="C31" s="1176" t="s">
        <v>844</v>
      </c>
    </row>
    <row r="32" spans="1:3" ht="14.25">
      <c r="A32" s="3254"/>
      <c r="B32" s="3258"/>
      <c r="C32" s="1176" t="s">
        <v>1647</v>
      </c>
    </row>
    <row r="33" spans="1:3" ht="14.25">
      <c r="A33" s="3254"/>
      <c r="B33" s="3248" t="s">
        <v>1653</v>
      </c>
      <c r="C33" s="1176" t="s">
        <v>1648</v>
      </c>
    </row>
    <row r="34" spans="1:3" ht="14.25">
      <c r="A34" s="3254"/>
      <c r="B34" s="3249"/>
      <c r="C34" s="1181" t="s">
        <v>1649</v>
      </c>
    </row>
    <row r="35" spans="1:3" ht="14.25">
      <c r="A35" s="3254"/>
      <c r="B35" s="3249"/>
      <c r="C35" s="1182" t="s">
        <v>1650</v>
      </c>
    </row>
    <row r="36" spans="1:3" ht="14.25">
      <c r="A36" s="3254"/>
      <c r="B36" s="3249"/>
      <c r="C36" s="1182" t="s">
        <v>1651</v>
      </c>
    </row>
    <row r="37" spans="1:3" ht="14.25">
      <c r="A37" s="3254"/>
      <c r="B37" s="325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43412</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59" t="s">
        <v>1929</v>
      </c>
      <c r="B25" s="3259"/>
      <c r="C25" s="3259"/>
      <c r="D25" s="3259"/>
      <c r="E25" s="3259"/>
      <c r="F25" s="3259"/>
      <c r="G25" s="3259"/>
    </row>
    <row r="26" spans="1:7" ht="20.25" customHeight="1">
      <c r="A26" s="3260" t="s">
        <v>1930</v>
      </c>
      <c r="B26" s="3260"/>
      <c r="C26" s="3260"/>
      <c r="D26" s="3260" t="s">
        <v>1931</v>
      </c>
      <c r="E26" s="3260"/>
      <c r="F26" s="326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5" workbookViewId="0">
      <selection activeCell="A34" sqref="A3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2959</v>
      </c>
      <c r="C18" s="1555"/>
    </row>
    <row r="19" spans="1:3">
      <c r="A19" s="8" t="s">
        <v>120</v>
      </c>
      <c r="B19" s="3115"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5" t="s">
        <v>3025</v>
      </c>
      <c r="B27" s="8" t="s">
        <v>1642</v>
      </c>
      <c r="C27" s="1555"/>
    </row>
    <row r="28" spans="1:3">
      <c r="A28" s="8">
        <v>2</v>
      </c>
      <c r="B28" s="8" t="s">
        <v>1642</v>
      </c>
      <c r="C28" s="1555"/>
    </row>
    <row r="29" spans="1:3">
      <c r="A29" s="8">
        <v>3</v>
      </c>
      <c r="B29" s="8" t="s">
        <v>1642</v>
      </c>
      <c r="C29" s="1555"/>
    </row>
    <row r="30" spans="1:3">
      <c r="A30" s="8">
        <v>4</v>
      </c>
      <c r="B30" s="8" t="s">
        <v>1642</v>
      </c>
      <c r="C30" s="1555"/>
    </row>
    <row r="31" spans="1:3">
      <c r="A31" s="3181" t="s">
        <v>3027</v>
      </c>
      <c r="B31" s="8" t="s">
        <v>1642</v>
      </c>
      <c r="C31" s="1555"/>
    </row>
    <row r="32" spans="1:3">
      <c r="A32" s="8">
        <v>5</v>
      </c>
      <c r="B32" s="8" t="s">
        <v>1642</v>
      </c>
      <c r="C32" s="1555"/>
    </row>
    <row r="33" spans="1:3">
      <c r="A33" s="8">
        <v>6</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清河安宁庄东路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c r="D53" s="1769"/>
      <c r="E53" s="1769"/>
    </row>
    <row r="54" spans="1:5">
      <c r="A54" s="326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案例</vt:lpstr>
      <vt:lpstr>搬迁费</vt:lpstr>
      <vt:lpstr>建筑物价格</vt:lpstr>
      <vt:lpstr>停产停业损失补偿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2018-11-08T03:10:47Z</dcterms:modified>
</cp:coreProperties>
</file>