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E:\2025\进行中\2025-1-0137-F01-爱分类商业办公邮储租金评估-单套-魏总-邮储-1-郑、魏\F03\"/>
    </mc:Choice>
  </mc:AlternateContent>
  <xr:revisionPtr revIDLastSave="0" documentId="13_ncr:1_{F9A8213B-B51D-47D3-AC61-1EF72CCC21C9}" xr6:coauthVersionLast="47" xr6:coauthVersionMax="47" xr10:uidLastSave="{00000000-0000-0000-0000-000000000000}"/>
  <bookViews>
    <workbookView xWindow="-108" yWindow="-108" windowWidth="20376" windowHeight="12216" tabRatio="899" firstSheet="9"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商业租赁合同" sheetId="83" state="hidden" r:id="rId28"/>
    <sheet name="比较法-办公" sheetId="34" r:id="rId29"/>
    <sheet name="典型户型修正" sheetId="31" r:id="rId30"/>
    <sheet name="资料" sheetId="80" r:id="rId31"/>
    <sheet name="办公案例" sheetId="8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所有租赁合同" sheetId="82"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5" i="31" l="1"/>
  <c r="E5" i="31"/>
  <c r="C5" i="31"/>
  <c r="E48" i="34"/>
  <c r="G48" i="34"/>
  <c r="L16" i="84"/>
  <c r="G34" i="34"/>
  <c r="T7" i="31" l="1"/>
  <c r="D7" i="31"/>
  <c r="E7" i="31"/>
  <c r="F7" i="31"/>
  <c r="C7" i="31"/>
  <c r="T5" i="31"/>
  <c r="D3" i="31"/>
  <c r="E3" i="31"/>
  <c r="F3" i="31"/>
  <c r="G3" i="31"/>
  <c r="H3" i="31"/>
  <c r="D4" i="31"/>
  <c r="C3" i="31"/>
  <c r="I37" i="34"/>
  <c r="O12" i="34"/>
  <c r="K29" i="83"/>
  <c r="C105" i="34" l="1"/>
  <c r="C4" i="31" s="1"/>
  <c r="E105" i="34"/>
  <c r="E4" i="31" s="1"/>
  <c r="I47" i="33"/>
  <c r="N19" i="1"/>
  <c r="N6" i="1" s="1"/>
  <c r="I33" i="33"/>
  <c r="G33" i="33"/>
  <c r="E104" i="33"/>
  <c r="F104" i="33" s="1"/>
  <c r="G104" i="33" s="1"/>
  <c r="H104" i="33" s="1"/>
  <c r="I104" i="33" s="1"/>
  <c r="D104" i="33"/>
  <c r="D89" i="33"/>
  <c r="E89" i="33" s="1"/>
  <c r="F89" i="33" s="1"/>
  <c r="G89" i="33" s="1"/>
  <c r="B21" i="1"/>
  <c r="J9" i="1"/>
  <c r="I9" i="1"/>
  <c r="H9" i="1"/>
  <c r="J8" i="1"/>
  <c r="I8" i="1"/>
  <c r="H8" i="1"/>
  <c r="J7" i="1"/>
  <c r="I7" i="1"/>
  <c r="H7" i="1"/>
  <c r="F21" i="6"/>
  <c r="F22" i="6"/>
  <c r="F20" i="6"/>
  <c r="C22" i="6"/>
  <c r="A26" i="31" s="1"/>
  <c r="C21" i="6"/>
  <c r="A25" i="31" s="1"/>
  <c r="C20" i="6"/>
  <c r="C19" i="6"/>
  <c r="J12" i="83"/>
  <c r="J13" i="83"/>
  <c r="J14" i="83"/>
  <c r="G47" i="33" s="1"/>
  <c r="J15" i="83"/>
  <c r="J16" i="83"/>
  <c r="J17" i="83"/>
  <c r="N7" i="1" l="1"/>
  <c r="C37" i="34"/>
  <c r="N9" i="1"/>
  <c r="N8" i="1"/>
  <c r="C36" i="33"/>
  <c r="F105" i="34"/>
  <c r="C60" i="78"/>
  <c r="D60" i="78" s="1"/>
  <c r="D53" i="78"/>
  <c r="D52" i="78"/>
  <c r="B51" i="78"/>
  <c r="B56" i="78" s="1"/>
  <c r="G105" i="34" l="1"/>
  <c r="F4" i="31"/>
  <c r="G37" i="34"/>
  <c r="D51" i="78"/>
  <c r="I36" i="33"/>
  <c r="G36" i="33"/>
  <c r="B55" i="78"/>
  <c r="D55" i="78" s="1"/>
  <c r="C51" i="78"/>
  <c r="C56" i="78" s="1"/>
  <c r="C58" i="78" s="1"/>
  <c r="B62" i="78"/>
  <c r="B54" i="78"/>
  <c r="D54" i="78" s="1"/>
  <c r="D56" i="78" l="1"/>
  <c r="H105" i="34"/>
  <c r="G4" i="31"/>
  <c r="D58" i="78"/>
  <c r="D62" i="78" s="1"/>
  <c r="C62" i="78" s="1"/>
  <c r="I105" i="34" l="1"/>
  <c r="H4" i="3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C83" i="71" s="1"/>
  <c r="D83" i="71" s="1"/>
  <c r="D84" i="71"/>
  <c r="B84" i="71"/>
  <c r="B83" i="71" s="1"/>
  <c r="B82" i="71" s="1"/>
  <c r="D81" i="71"/>
  <c r="Q80" i="71"/>
  <c r="P80" i="71"/>
  <c r="O80" i="71"/>
  <c r="N80" i="71"/>
  <c r="F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F67" i="71" s="1"/>
  <c r="E68" i="7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AB39" i="71"/>
  <c r="Q39" i="71"/>
  <c r="P39" i="71"/>
  <c r="AA39" i="71"/>
  <c r="O39" i="71"/>
  <c r="Y37" i="71" s="1"/>
  <c r="Z37" i="71" s="1"/>
  <c r="N39" i="71"/>
  <c r="X39" i="71" s="1"/>
  <c r="Q38" i="71"/>
  <c r="P38" i="71"/>
  <c r="O38" i="71"/>
  <c r="N38" i="71"/>
  <c r="Q37" i="71"/>
  <c r="F38" i="71" s="1"/>
  <c r="F39" i="71" s="1"/>
  <c r="F40" i="71" s="1"/>
  <c r="V40" i="71" s="1"/>
  <c r="P37" i="71"/>
  <c r="AA37" i="71" s="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C30" i="71"/>
  <c r="C34" i="71"/>
  <c r="C38" i="71"/>
  <c r="D38" i="71" s="1"/>
  <c r="C28" i="71"/>
  <c r="C39" i="71"/>
  <c r="P28" i="71"/>
  <c r="E28" i="71" s="1"/>
  <c r="E67" i="71"/>
  <c r="Q28" i="71"/>
  <c r="F28" i="71" s="1"/>
  <c r="F27" i="71" s="1"/>
  <c r="F26" i="71" s="1"/>
  <c r="T68" i="71"/>
  <c r="D68" i="71"/>
  <c r="C67" i="71"/>
  <c r="D67" i="71" s="1"/>
  <c r="D72" i="71"/>
  <c r="C75" i="71"/>
  <c r="C79" i="71"/>
  <c r="D79" i="71" s="1"/>
  <c r="E79" i="71"/>
  <c r="E78" i="71" s="1"/>
  <c r="D80" i="71"/>
  <c r="AA27"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18" i="36"/>
  <c r="H25" i="40"/>
  <c r="J25" i="40"/>
  <c r="AC25" i="40" s="1"/>
  <c r="H29" i="39"/>
  <c r="AB29" i="39" s="1"/>
  <c r="J29" i="39"/>
  <c r="AC29" i="39" s="1"/>
  <c r="J18" i="36"/>
  <c r="H18" i="35"/>
  <c r="AB18" i="35" s="1"/>
  <c r="J18" i="35"/>
  <c r="H21" i="37"/>
  <c r="AB21" i="37" s="1"/>
  <c r="F21" i="37"/>
  <c r="AA21" i="37" s="1"/>
  <c r="H21" i="34"/>
  <c r="H21" i="33"/>
  <c r="U21" i="33" s="1"/>
  <c r="F21" i="33"/>
  <c r="S21" i="33" s="1"/>
  <c r="E83" i="21"/>
  <c r="F83" i="21" s="1"/>
  <c r="H1" i="69"/>
  <c r="W25" i="40"/>
  <c r="U29" i="39"/>
  <c r="W29" i="39"/>
  <c r="AA21" i="33"/>
  <c r="J21" i="37"/>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93"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E25" i="31"/>
  <c r="S262" i="31"/>
  <c r="S230" i="31"/>
  <c r="S134" i="31"/>
  <c r="S54" i="31"/>
  <c r="S3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AZ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AB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AA37" i="33" s="1"/>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AC25" i="37" s="1"/>
  <c r="H25" i="37"/>
  <c r="U25" i="37" s="1"/>
  <c r="B110" i="37"/>
  <c r="F39" i="37" s="1"/>
  <c r="S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AB27" i="37" s="1"/>
  <c r="U27" i="37"/>
  <c r="B82" i="37"/>
  <c r="D79" i="37"/>
  <c r="E79" i="37" s="1"/>
  <c r="D75" i="37"/>
  <c r="E75" i="37"/>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c r="J16" i="36"/>
  <c r="W16" i="36" s="1"/>
  <c r="D62" i="36"/>
  <c r="E62" i="36" s="1"/>
  <c r="F62" i="36" s="1"/>
  <c r="G62" i="36" s="1"/>
  <c r="B59" i="36"/>
  <c r="H13" i="36" s="1"/>
  <c r="AB13" i="36" s="1"/>
  <c r="B57" i="36"/>
  <c r="H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H35" i="35" s="1"/>
  <c r="B97" i="35"/>
  <c r="B77" i="35"/>
  <c r="B75" i="35"/>
  <c r="J24" i="35" s="1"/>
  <c r="AC24" i="35"/>
  <c r="B73" i="35"/>
  <c r="J23" i="35" s="1"/>
  <c r="AC23" i="35" s="1"/>
  <c r="B57" i="35"/>
  <c r="B61" i="35"/>
  <c r="B59" i="35"/>
  <c r="F12" i="35" s="1"/>
  <c r="B131" i="34"/>
  <c r="B129" i="34"/>
  <c r="B127" i="34"/>
  <c r="J45" i="34" s="1"/>
  <c r="W45" i="34" s="1"/>
  <c r="B99" i="34"/>
  <c r="B97" i="34"/>
  <c r="B95" i="34"/>
  <c r="B93" i="34"/>
  <c r="B75" i="34"/>
  <c r="B73" i="34"/>
  <c r="B71" i="34"/>
  <c r="J12" i="34" s="1"/>
  <c r="W12" i="34" s="1"/>
  <c r="B130" i="33"/>
  <c r="H46" i="33" s="1"/>
  <c r="U46" i="33" s="1"/>
  <c r="B128" i="33"/>
  <c r="B126" i="33"/>
  <c r="B98" i="33"/>
  <c r="B96" i="33"/>
  <c r="B94" i="33"/>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H25" i="34" s="1"/>
  <c r="AB25" i="34" s="1"/>
  <c r="D86" i="34"/>
  <c r="E86" i="34" s="1"/>
  <c r="F86" i="34" s="1"/>
  <c r="G86" i="34" s="1"/>
  <c r="D82" i="34"/>
  <c r="E82" i="34" s="1"/>
  <c r="F82" i="34" s="1"/>
  <c r="G82" i="34" s="1"/>
  <c r="D80" i="34"/>
  <c r="E80" i="34" s="1"/>
  <c r="F80" i="34" s="1"/>
  <c r="G80" i="34" s="1"/>
  <c r="D78" i="34"/>
  <c r="E78" i="34" s="1"/>
  <c r="H15" i="34" s="1"/>
  <c r="AB15"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U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J17" i="33" s="1"/>
  <c r="W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B128" i="21"/>
  <c r="F45" i="21" s="1"/>
  <c r="AA45" i="21" s="1"/>
  <c r="J45" i="21"/>
  <c r="W45" i="21" s="1"/>
  <c r="B126" i="21"/>
  <c r="B98" i="21"/>
  <c r="H31" i="21" s="1"/>
  <c r="B96" i="21"/>
  <c r="B94" i="21"/>
  <c r="B92" i="21"/>
  <c r="B90" i="21"/>
  <c r="F27" i="21" s="1"/>
  <c r="AA27" i="21" s="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AA41" i="21"/>
  <c r="F45" i="39"/>
  <c r="S45" i="39" s="1"/>
  <c r="J44" i="39"/>
  <c r="AC44" i="39" s="1"/>
  <c r="F36" i="39"/>
  <c r="H36" i="39"/>
  <c r="AB36" i="39"/>
  <c r="F35" i="39"/>
  <c r="J36" i="39"/>
  <c r="AC36" i="39" s="1"/>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2" i="35"/>
  <c r="S31" i="35"/>
  <c r="J35" i="34"/>
  <c r="W35" i="34" s="1"/>
  <c r="H39" i="33"/>
  <c r="AB39" i="33" s="1"/>
  <c r="S40" i="33"/>
  <c r="F11" i="40"/>
  <c r="AA11" i="40" s="1"/>
  <c r="H11" i="40"/>
  <c r="AB11" i="40" s="1"/>
  <c r="W8" i="40"/>
  <c r="S34"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S21" i="40" s="1"/>
  <c r="AA21" i="40"/>
  <c r="J21" i="40"/>
  <c r="W21" i="40" s="1"/>
  <c r="H42" i="39"/>
  <c r="AB42" i="39" s="1"/>
  <c r="J34" i="39"/>
  <c r="AC34" i="39" s="1"/>
  <c r="J31" i="39"/>
  <c r="H27" i="39"/>
  <c r="U27" i="39" s="1"/>
  <c r="J19" i="39"/>
  <c r="AC19" i="39" s="1"/>
  <c r="J17" i="39"/>
  <c r="J27" i="39"/>
  <c r="AC27" i="39" s="1"/>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J29" i="36"/>
  <c r="AC29" i="36" s="1"/>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H23" i="34"/>
  <c r="AB23" i="34" s="1"/>
  <c r="J23" i="34"/>
  <c r="AC23" i="34" s="1"/>
  <c r="F19" i="34"/>
  <c r="S19" i="34" s="1"/>
  <c r="F41" i="33"/>
  <c r="F32" i="33"/>
  <c r="AA32" i="33" s="1"/>
  <c r="J19" i="33"/>
  <c r="AC19" i="33" s="1"/>
  <c r="J15" i="33"/>
  <c r="AC15" i="33" s="1"/>
  <c r="F11" i="33"/>
  <c r="AA11" i="33" s="1"/>
  <c r="U40" i="33"/>
  <c r="W40" i="33"/>
  <c r="F37" i="40"/>
  <c r="AA37" i="40"/>
  <c r="F36" i="40"/>
  <c r="AA36" i="40" s="1"/>
  <c r="H28" i="40"/>
  <c r="U28" i="40" s="1"/>
  <c r="F23" i="40"/>
  <c r="AA23" i="40" s="1"/>
  <c r="F17" i="40"/>
  <c r="AA17" i="40" s="1"/>
  <c r="J17" i="40"/>
  <c r="W17" i="40" s="1"/>
  <c r="F15" i="40"/>
  <c r="S15" i="40" s="1"/>
  <c r="H15" i="40"/>
  <c r="AB15" i="40" s="1"/>
  <c r="AC11" i="40"/>
  <c r="F29" i="35"/>
  <c r="S29" i="35" s="1"/>
  <c r="H29" i="35"/>
  <c r="AB29" i="35" s="1"/>
  <c r="H33" i="37"/>
  <c r="F33" i="37"/>
  <c r="AA33" i="37" s="1"/>
  <c r="U34" i="37"/>
  <c r="S34" i="37"/>
  <c r="AA34" i="37"/>
  <c r="AB42" i="34"/>
  <c r="J40" i="34"/>
  <c r="W40" i="34" s="1"/>
  <c r="H38" i="34"/>
  <c r="AB38" i="34" s="1"/>
  <c r="F23" i="34"/>
  <c r="AA23" i="34" s="1"/>
  <c r="J19" i="34"/>
  <c r="AC19" i="34" s="1"/>
  <c r="F17" i="34"/>
  <c r="AA17" i="34" s="1"/>
  <c r="J17" i="34"/>
  <c r="W17" i="34" s="1"/>
  <c r="H11" i="33"/>
  <c r="AB11" i="33" s="1"/>
  <c r="F28" i="40"/>
  <c r="AA28" i="40" s="1"/>
  <c r="AA42" i="34"/>
  <c r="S42" i="34"/>
  <c r="J37" i="34"/>
  <c r="AC37" i="34" s="1"/>
  <c r="J11" i="33"/>
  <c r="W11" i="33" s="1"/>
  <c r="I123" i="21"/>
  <c r="J123" i="21" s="1"/>
  <c r="K123" i="21" s="1"/>
  <c r="L123" i="21" s="1"/>
  <c r="M123" i="21" s="1"/>
  <c r="J42" i="21"/>
  <c r="AC42" i="21" s="1"/>
  <c r="H42" i="21"/>
  <c r="U42" i="21" s="1"/>
  <c r="J10" i="35"/>
  <c r="AC10" i="35" s="1"/>
  <c r="J14" i="21"/>
  <c r="W14" i="21" s="1"/>
  <c r="F14" i="21"/>
  <c r="S14" i="21" s="1"/>
  <c r="H14" i="21"/>
  <c r="U14" i="21" s="1"/>
  <c r="H28" i="21"/>
  <c r="AB28" i="21" s="1"/>
  <c r="F28" i="21"/>
  <c r="AA28" i="21"/>
  <c r="J28" i="21"/>
  <c r="W28" i="21" s="1"/>
  <c r="H30" i="21"/>
  <c r="U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J31" i="21"/>
  <c r="AC31" i="21" s="1"/>
  <c r="F31" i="21"/>
  <c r="S31" i="21" s="1"/>
  <c r="J13" i="33"/>
  <c r="H13" i="33"/>
  <c r="U13" i="33" s="1"/>
  <c r="F13" i="33"/>
  <c r="J29" i="33"/>
  <c r="H29" i="33"/>
  <c r="U29" i="33" s="1"/>
  <c r="F29" i="33"/>
  <c r="S29" i="33" s="1"/>
  <c r="J31" i="33"/>
  <c r="W31" i="33" s="1"/>
  <c r="H31" i="33"/>
  <c r="F31" i="33"/>
  <c r="H45" i="33"/>
  <c r="U45" i="33" s="1"/>
  <c r="J45" i="33"/>
  <c r="F45" i="33"/>
  <c r="AA45" i="33" s="1"/>
  <c r="J14" i="34"/>
  <c r="W14" i="34" s="1"/>
  <c r="F14" i="34"/>
  <c r="H14" i="34"/>
  <c r="H30" i="34"/>
  <c r="F30" i="34"/>
  <c r="J30" i="34"/>
  <c r="H32" i="34"/>
  <c r="F32" i="34"/>
  <c r="S32" i="34" s="1"/>
  <c r="J32" i="34"/>
  <c r="W32" i="34" s="1"/>
  <c r="H46" i="34"/>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F13" i="36"/>
  <c r="S13" i="36"/>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c r="J14" i="33"/>
  <c r="J30" i="33"/>
  <c r="H44" i="33"/>
  <c r="U44" i="33" s="1"/>
  <c r="J44" i="33"/>
  <c r="AC44" i="33" s="1"/>
  <c r="F44" i="33"/>
  <c r="S44" i="33" s="1"/>
  <c r="J46" i="33"/>
  <c r="AC46" i="33" s="1"/>
  <c r="F46" i="33"/>
  <c r="H13" i="34"/>
  <c r="U13" i="34" s="1"/>
  <c r="J13" i="34"/>
  <c r="W13" i="34" s="1"/>
  <c r="F13" i="34"/>
  <c r="AA13" i="34" s="1"/>
  <c r="H29" i="34"/>
  <c r="AB29" i="34" s="1"/>
  <c r="J31" i="34"/>
  <c r="AC31" i="34" s="1"/>
  <c r="H31" i="34"/>
  <c r="F31" i="34"/>
  <c r="S31" i="34" s="1"/>
  <c r="H45" i="34"/>
  <c r="U45" i="34" s="1"/>
  <c r="F45" i="34"/>
  <c r="S45" i="34" s="1"/>
  <c r="H47" i="34"/>
  <c r="F47" i="34"/>
  <c r="S47" i="34" s="1"/>
  <c r="J47" i="34"/>
  <c r="W47" i="34" s="1"/>
  <c r="AC47" i="34"/>
  <c r="F13" i="35"/>
  <c r="J25" i="35"/>
  <c r="W25" i="35"/>
  <c r="F25" i="35"/>
  <c r="S25" i="35" s="1"/>
  <c r="H25" i="35"/>
  <c r="J35" i="35"/>
  <c r="AC35" i="35" s="1"/>
  <c r="F35" i="35"/>
  <c r="AA35" i="35" s="1"/>
  <c r="J25" i="36"/>
  <c r="W25" i="36" s="1"/>
  <c r="F25" i="36"/>
  <c r="S25" i="36" s="1"/>
  <c r="H13" i="37"/>
  <c r="AB13" i="37" s="1"/>
  <c r="F13" i="37"/>
  <c r="F28" i="37"/>
  <c r="AA28" i="37" s="1"/>
  <c r="J28" i="37"/>
  <c r="AC28" i="37" s="1"/>
  <c r="H28" i="37"/>
  <c r="H38" i="37"/>
  <c r="AB38" i="37"/>
  <c r="J38" i="37"/>
  <c r="AC38" i="37" s="1"/>
  <c r="F38" i="37"/>
  <c r="S38" i="37" s="1"/>
  <c r="F43" i="39"/>
  <c r="H43" i="39"/>
  <c r="J14" i="39"/>
  <c r="AC14" i="39" s="1"/>
  <c r="F14" i="39"/>
  <c r="H14" i="39"/>
  <c r="H12" i="40"/>
  <c r="H30" i="40"/>
  <c r="AB30" i="40" s="1"/>
  <c r="F33" i="40"/>
  <c r="H33" i="40"/>
  <c r="U33" i="40" s="1"/>
  <c r="J35" i="40"/>
  <c r="J37" i="40"/>
  <c r="AC37" i="40" s="1"/>
  <c r="F13" i="40"/>
  <c r="AA13" i="40" s="1"/>
  <c r="F14" i="37"/>
  <c r="S14" i="37" s="1"/>
  <c r="J13" i="39"/>
  <c r="W13" i="39" s="1"/>
  <c r="H13" i="39"/>
  <c r="AB13" i="39" s="1"/>
  <c r="H14" i="40"/>
  <c r="AB14" i="40"/>
  <c r="J14" i="40"/>
  <c r="W14" i="40" s="1"/>
  <c r="F14" i="40"/>
  <c r="J14" i="37"/>
  <c r="AA14" i="33"/>
  <c r="J36" i="37"/>
  <c r="AC36" i="37" s="1"/>
  <c r="J10" i="36"/>
  <c r="AC10" i="36" s="1"/>
  <c r="AB30" i="21"/>
  <c r="W31" i="34"/>
  <c r="S45" i="33"/>
  <c r="F17" i="21"/>
  <c r="H17" i="21"/>
  <c r="AB17" i="21" s="1"/>
  <c r="F15" i="21"/>
  <c r="S15" i="21" s="1"/>
  <c r="J41" i="39"/>
  <c r="W41" i="39" s="1"/>
  <c r="W44" i="39"/>
  <c r="U36" i="39"/>
  <c r="G544" i="3"/>
  <c r="G540" i="3"/>
  <c r="G536" i="3"/>
  <c r="G532" i="3"/>
  <c r="G531" i="3"/>
  <c r="G528" i="3"/>
  <c r="G523" i="3"/>
  <c r="G518" i="3"/>
  <c r="G514" i="3"/>
  <c r="G510" i="3"/>
  <c r="G508" i="3"/>
  <c r="G504" i="3"/>
  <c r="G500" i="3"/>
  <c r="G496" i="3"/>
  <c r="G580" i="3"/>
  <c r="G576" i="3"/>
  <c r="G572" i="3"/>
  <c r="G564" i="3"/>
  <c r="G560" i="3"/>
  <c r="G554" i="3"/>
  <c r="BL584" i="3"/>
  <c r="BL580" i="3"/>
  <c r="BL568" i="3"/>
  <c r="BL564" i="3"/>
  <c r="BL546" i="3"/>
  <c r="BL542" i="3"/>
  <c r="BL534" i="3"/>
  <c r="BL530" i="3"/>
  <c r="AZ530" i="3" s="1"/>
  <c r="BL526" i="3"/>
  <c r="BL516" i="3"/>
  <c r="BL512" i="3"/>
  <c r="BL506" i="3"/>
  <c r="BL502" i="3"/>
  <c r="BL498" i="3"/>
  <c r="BL494" i="3"/>
  <c r="AZ494" i="3" s="1"/>
  <c r="BL582" i="3"/>
  <c r="BL570" i="3"/>
  <c r="BL566" i="3"/>
  <c r="BL552" i="3"/>
  <c r="BL544" i="3"/>
  <c r="BL536" i="3"/>
  <c r="G533" i="3"/>
  <c r="BL532" i="3"/>
  <c r="BL528" i="3"/>
  <c r="G525" i="3"/>
  <c r="BL524" i="3"/>
  <c r="BL514" i="3"/>
  <c r="BL510" i="3"/>
  <c r="BL504" i="3"/>
  <c r="BL500" i="3"/>
  <c r="BL496" i="3"/>
  <c r="G493" i="3"/>
  <c r="BA584" i="3"/>
  <c r="BA578" i="3"/>
  <c r="BA576" i="3"/>
  <c r="BA570" i="3"/>
  <c r="BA568" i="3"/>
  <c r="BA562" i="3"/>
  <c r="BA560" i="3"/>
  <c r="AZ560" i="3" s="1"/>
  <c r="BA554" i="3"/>
  <c r="AZ554" i="3" s="1"/>
  <c r="BA552" i="3"/>
  <c r="BA546" i="3"/>
  <c r="BA544" i="3"/>
  <c r="AZ544" i="3" s="1"/>
  <c r="BA542" i="3"/>
  <c r="AZ542" i="3" s="1"/>
  <c r="BA538" i="3"/>
  <c r="AZ538" i="3"/>
  <c r="BA536" i="3"/>
  <c r="AZ536" i="3" s="1"/>
  <c r="BA534" i="3"/>
  <c r="AZ534" i="3"/>
  <c r="BA532" i="3"/>
  <c r="BA530" i="3"/>
  <c r="BA528" i="3"/>
  <c r="AZ528" i="3" s="1"/>
  <c r="BA526" i="3"/>
  <c r="AZ526" i="3" s="1"/>
  <c r="BA522" i="3"/>
  <c r="BA520" i="3"/>
  <c r="BA518" i="3"/>
  <c r="BA514" i="3"/>
  <c r="BA512" i="3"/>
  <c r="BA510" i="3"/>
  <c r="BA506" i="3"/>
  <c r="BA504" i="3"/>
  <c r="AZ504" i="3" s="1"/>
  <c r="BA502" i="3"/>
  <c r="BA500" i="3"/>
  <c r="BA498" i="3"/>
  <c r="AZ498" i="3" s="1"/>
  <c r="BA496" i="3"/>
  <c r="AZ496" i="3" s="1"/>
  <c r="BA494" i="3"/>
  <c r="BA581" i="3"/>
  <c r="BA579" i="3"/>
  <c r="BA573" i="3"/>
  <c r="BA571" i="3"/>
  <c r="BA565" i="3"/>
  <c r="BA563" i="3"/>
  <c r="BA555" i="3"/>
  <c r="BA553" i="3"/>
  <c r="BA547" i="3"/>
  <c r="BA545" i="3"/>
  <c r="BA543" i="3"/>
  <c r="AZ543" i="3" s="1"/>
  <c r="BA539" i="3"/>
  <c r="BA537" i="3"/>
  <c r="BA535" i="3"/>
  <c r="BA531" i="3"/>
  <c r="BA529" i="3"/>
  <c r="BA527" i="3"/>
  <c r="BA523" i="3"/>
  <c r="BA519" i="3"/>
  <c r="BA517" i="3"/>
  <c r="BA513" i="3"/>
  <c r="BA511" i="3"/>
  <c r="BA507" i="3"/>
  <c r="BA505" i="3"/>
  <c r="BA503" i="3"/>
  <c r="BA501" i="3"/>
  <c r="AZ501" i="3" s="1"/>
  <c r="BA499" i="3"/>
  <c r="BA497" i="3"/>
  <c r="BA495" i="3"/>
  <c r="BA493" i="3"/>
  <c r="G581" i="3"/>
  <c r="G579" i="3"/>
  <c r="G577" i="3"/>
  <c r="G573" i="3"/>
  <c r="G571" i="3"/>
  <c r="G569" i="3"/>
  <c r="G565" i="3"/>
  <c r="G563" i="3"/>
  <c r="G561" i="3"/>
  <c r="AC557" i="3"/>
  <c r="G557" i="3" s="1"/>
  <c r="BQ557" i="3"/>
  <c r="BL557" i="3" s="1"/>
  <c r="BQ583" i="3"/>
  <c r="BQ581" i="3"/>
  <c r="BQ579" i="3"/>
  <c r="BL579" i="3" s="1"/>
  <c r="BQ577" i="3"/>
  <c r="BL577" i="3" s="1"/>
  <c r="AZ577" i="3" s="1"/>
  <c r="BQ575" i="3"/>
  <c r="BQ573" i="3"/>
  <c r="BL573" i="3" s="1"/>
  <c r="BQ571" i="3"/>
  <c r="BL571" i="3" s="1"/>
  <c r="BQ569" i="3"/>
  <c r="BQ567" i="3"/>
  <c r="BL567" i="3"/>
  <c r="BQ565" i="3"/>
  <c r="BL565" i="3" s="1"/>
  <c r="BQ563" i="3"/>
  <c r="BL563" i="3"/>
  <c r="BQ561" i="3"/>
  <c r="BQ559" i="3"/>
  <c r="G559" i="3"/>
  <c r="G555" i="3"/>
  <c r="G549" i="3"/>
  <c r="G547" i="3"/>
  <c r="G543" i="3"/>
  <c r="G541" i="3"/>
  <c r="G539" i="3"/>
  <c r="BQ555" i="3"/>
  <c r="BL555" i="3"/>
  <c r="BQ553" i="3"/>
  <c r="BL553" i="3" s="1"/>
  <c r="BQ551" i="3"/>
  <c r="BQ549" i="3"/>
  <c r="BQ547" i="3"/>
  <c r="BL547" i="3" s="1"/>
  <c r="AZ547" i="3" s="1"/>
  <c r="BQ545" i="3"/>
  <c r="BL545" i="3"/>
  <c r="BQ543" i="3"/>
  <c r="BL543" i="3" s="1"/>
  <c r="BQ541" i="3"/>
  <c r="BQ539" i="3"/>
  <c r="BL539" i="3" s="1"/>
  <c r="BQ537" i="3"/>
  <c r="BL537" i="3" s="1"/>
  <c r="BQ535" i="3"/>
  <c r="BL535" i="3" s="1"/>
  <c r="BQ533" i="3"/>
  <c r="BL533" i="3"/>
  <c r="BQ531" i="3"/>
  <c r="BL531" i="3" s="1"/>
  <c r="BQ529" i="3"/>
  <c r="BL529" i="3" s="1"/>
  <c r="BQ527" i="3"/>
  <c r="BQ525" i="3"/>
  <c r="BL525" i="3" s="1"/>
  <c r="BQ523" i="3"/>
  <c r="BL523" i="3" s="1"/>
  <c r="AZ523" i="3" s="1"/>
  <c r="BA521" i="3"/>
  <c r="AC521" i="3"/>
  <c r="BQ521" i="3"/>
  <c r="BL521" i="3" s="1"/>
  <c r="BL520" i="3"/>
  <c r="G519" i="3"/>
  <c r="G517" i="3"/>
  <c r="G515" i="3"/>
  <c r="G513" i="3"/>
  <c r="G511" i="3"/>
  <c r="BQ519" i="3"/>
  <c r="BQ517" i="3"/>
  <c r="BL517" i="3" s="1"/>
  <c r="BQ515" i="3"/>
  <c r="BL515" i="3" s="1"/>
  <c r="AZ515" i="3" s="1"/>
  <c r="BQ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F39" i="33"/>
  <c r="E123" i="33"/>
  <c r="F123" i="33" s="1"/>
  <c r="H28" i="34"/>
  <c r="AB28" i="34" s="1"/>
  <c r="F14" i="36"/>
  <c r="AA14" i="36" s="1"/>
  <c r="F22" i="36"/>
  <c r="S22" i="36" s="1"/>
  <c r="F26" i="36"/>
  <c r="S26" i="36" s="1"/>
  <c r="H35" i="34"/>
  <c r="U35" i="34" s="1"/>
  <c r="F41" i="34"/>
  <c r="H41" i="34"/>
  <c r="U41" i="34" s="1"/>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AC43" i="33" s="1"/>
  <c r="U14" i="40"/>
  <c r="W23" i="35"/>
  <c r="U26" i="37"/>
  <c r="U19" i="21"/>
  <c r="W44" i="21"/>
  <c r="F43" i="33"/>
  <c r="AA43" i="33" s="1"/>
  <c r="W16" i="35"/>
  <c r="W40" i="37"/>
  <c r="H37" i="21"/>
  <c r="U37" i="21" s="1"/>
  <c r="S42" i="21"/>
  <c r="H19" i="34"/>
  <c r="AB19" i="34" s="1"/>
  <c r="F36" i="35"/>
  <c r="S36" i="35" s="1"/>
  <c r="J9" i="37"/>
  <c r="W9" i="37" s="1"/>
  <c r="H9" i="37"/>
  <c r="U9" i="37" s="1"/>
  <c r="F9" i="37"/>
  <c r="S9"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s="1"/>
  <c r="AT6" i="3"/>
  <c r="H19" i="40"/>
  <c r="U19" i="40" s="1"/>
  <c r="F88" i="40"/>
  <c r="G88" i="40" s="1"/>
  <c r="F19"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14" i="3"/>
  <c r="G546" i="3"/>
  <c r="G524" i="3"/>
  <c r="G303" i="3"/>
  <c r="BL304" i="3"/>
  <c r="G305" i="3"/>
  <c r="BL306" i="3"/>
  <c r="AZ306" i="3" s="1"/>
  <c r="BA308" i="3"/>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BL184" i="3"/>
  <c r="G185" i="3"/>
  <c r="BA187" i="3"/>
  <c r="BL188" i="3"/>
  <c r="G189" i="3"/>
  <c r="BA191" i="3"/>
  <c r="BL192" i="3"/>
  <c r="G193" i="3"/>
  <c r="BA195" i="3"/>
  <c r="BL196" i="3"/>
  <c r="G197" i="3"/>
  <c r="BA199" i="3"/>
  <c r="BL200" i="3"/>
  <c r="G201" i="3"/>
  <c r="BA203" i="3"/>
  <c r="BL204" i="3"/>
  <c r="AZ168" i="3"/>
  <c r="AZ120" i="3"/>
  <c r="G534" i="3"/>
  <c r="G530" i="3"/>
  <c r="G522" i="3"/>
  <c r="G516" i="3"/>
  <c r="G512" i="3"/>
  <c r="G506" i="3"/>
  <c r="G498" i="3"/>
  <c r="G494" i="3"/>
  <c r="G16" i="3"/>
  <c r="E22" i="6" s="1"/>
  <c r="G15" i="3"/>
  <c r="E21" i="6" s="1"/>
  <c r="BA304" i="3"/>
  <c r="AZ304" i="3" s="1"/>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AZ361" i="3" s="1"/>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AZ162" i="3"/>
  <c r="BA16" i="3"/>
  <c r="BL303" i="3"/>
  <c r="G304" i="3"/>
  <c r="BA306" i="3"/>
  <c r="BL307" i="3"/>
  <c r="G308" i="3"/>
  <c r="BA310" i="3"/>
  <c r="BL311" i="3"/>
  <c r="AZ311" i="3" s="1"/>
  <c r="G312" i="3"/>
  <c r="BA314" i="3"/>
  <c r="BL315" i="3"/>
  <c r="G316" i="3"/>
  <c r="BA318" i="3"/>
  <c r="AZ318" i="3" s="1"/>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AZ229" i="3"/>
  <c r="BA379" i="3"/>
  <c r="AZ379" i="3" s="1"/>
  <c r="BL380" i="3"/>
  <c r="AZ380" i="3" s="1"/>
  <c r="G381" i="3"/>
  <c r="BA383" i="3"/>
  <c r="AZ383" i="3" s="1"/>
  <c r="BL384" i="3"/>
  <c r="G385" i="3"/>
  <c r="BA387" i="3"/>
  <c r="BL388" i="3"/>
  <c r="G389" i="3"/>
  <c r="BA391" i="3"/>
  <c r="AZ391" i="3" s="1"/>
  <c r="BL392" i="3"/>
  <c r="G393" i="3"/>
  <c r="BM5" i="3"/>
  <c r="BJ5" i="3"/>
  <c r="BF5" i="3"/>
  <c r="BD5" i="3"/>
  <c r="AZ506" i="3"/>
  <c r="G548" i="3"/>
  <c r="G538" i="3"/>
  <c r="G520" i="3"/>
  <c r="G502" i="3"/>
  <c r="BP5" i="3"/>
  <c r="BN5" i="3"/>
  <c r="BK5" i="3"/>
  <c r="BE5" i="3"/>
  <c r="BC5" i="3"/>
  <c r="G17" i="3"/>
  <c r="BA17" i="3"/>
  <c r="BT5" i="3"/>
  <c r="AZ356" i="3"/>
  <c r="BB5" i="3"/>
  <c r="AZ509" i="3"/>
  <c r="G509" i="3"/>
  <c r="BL493" i="3"/>
  <c r="AZ493" i="3"/>
  <c r="U36" i="40"/>
  <c r="F83" i="43"/>
  <c r="H85" i="43" s="1"/>
  <c r="F50" i="43"/>
  <c r="H54" i="43" s="1"/>
  <c r="F72" i="43"/>
  <c r="H75" i="43" s="1"/>
  <c r="U17" i="39"/>
  <c r="S14" i="35"/>
  <c r="U43" i="21"/>
  <c r="U35" i="21"/>
  <c r="AC35" i="21"/>
  <c r="AC11" i="39"/>
  <c r="W37" i="37"/>
  <c r="S15" i="37"/>
  <c r="U13" i="37"/>
  <c r="J37" i="33"/>
  <c r="W37" i="33" s="1"/>
  <c r="F106" i="33"/>
  <c r="G106" i="33" s="1"/>
  <c r="H106" i="33" s="1"/>
  <c r="I106" i="33" s="1"/>
  <c r="J106" i="33" s="1"/>
  <c r="K106" i="33" s="1"/>
  <c r="L106" i="33" s="1"/>
  <c r="M106" i="33" s="1"/>
  <c r="J34" i="33"/>
  <c r="W34" i="33"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AC14" i="35"/>
  <c r="H20" i="35"/>
  <c r="F20" i="35"/>
  <c r="AB29" i="36"/>
  <c r="U29" i="36"/>
  <c r="H32" i="37"/>
  <c r="AB32" i="37" s="1"/>
  <c r="F96" i="37"/>
  <c r="G96" i="37" s="1"/>
  <c r="H96" i="37" s="1"/>
  <c r="I96" i="37" s="1"/>
  <c r="J96" i="37" s="1"/>
  <c r="K96" i="37" s="1"/>
  <c r="L96" i="37" s="1"/>
  <c r="M96" i="37" s="1"/>
  <c r="H27" i="40"/>
  <c r="U27" i="40"/>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AB33" i="36"/>
  <c r="U33" i="36"/>
  <c r="AC12" i="39"/>
  <c r="W12" i="39"/>
  <c r="AC39" i="40"/>
  <c r="W39" i="40"/>
  <c r="AA32" i="36"/>
  <c r="S32" i="36"/>
  <c r="BL14" i="3"/>
  <c r="AC13" i="34"/>
  <c r="AA47" i="34"/>
  <c r="W28" i="37"/>
  <c r="F12" i="33"/>
  <c r="H12" i="39"/>
  <c r="U12" i="39" s="1"/>
  <c r="AB12" i="39"/>
  <c r="F39" i="40"/>
  <c r="BA14" i="3"/>
  <c r="AZ14" i="3" s="1"/>
  <c r="AZ224" i="3"/>
  <c r="B12" i="1"/>
  <c r="E12" i="1" s="1"/>
  <c r="B10" i="1"/>
  <c r="E10" i="1" s="1"/>
  <c r="K12" i="1"/>
  <c r="M12" i="1" s="1"/>
  <c r="S13" i="1"/>
  <c r="AR13" i="1" s="1"/>
  <c r="R13" i="1"/>
  <c r="J51" i="67"/>
  <c r="C42" i="1"/>
  <c r="C24" i="12" s="1"/>
  <c r="B41" i="1"/>
  <c r="AB37" i="40"/>
  <c r="S35" i="40"/>
  <c r="U35" i="40"/>
  <c r="AC36" i="40"/>
  <c r="W38" i="40"/>
  <c r="AA32" i="40"/>
  <c r="S17" i="40"/>
  <c r="S23" i="40"/>
  <c r="AC17" i="40"/>
  <c r="AC15" i="40"/>
  <c r="AB27" i="40"/>
  <c r="S30" i="40"/>
  <c r="S28" i="40"/>
  <c r="U21" i="40"/>
  <c r="U37"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AC13" i="39"/>
  <c r="S23" i="36"/>
  <c r="U13" i="36"/>
  <c r="U26" i="36"/>
  <c r="AA26" i="36"/>
  <c r="AA34" i="36"/>
  <c r="AC26" i="36"/>
  <c r="W14" i="36"/>
  <c r="U22" i="36"/>
  <c r="S16" i="36"/>
  <c r="AA25" i="36"/>
  <c r="S24" i="36"/>
  <c r="AB20" i="36"/>
  <c r="U16" i="36"/>
  <c r="S14" i="36"/>
  <c r="AA25" i="35"/>
  <c r="S23" i="35"/>
  <c r="W24" i="35"/>
  <c r="U28" i="35"/>
  <c r="AB27" i="35"/>
  <c r="U32" i="35"/>
  <c r="AA33" i="35"/>
  <c r="AC30" i="35"/>
  <c r="S32" i="35"/>
  <c r="AA36" i="35"/>
  <c r="S28" i="35"/>
  <c r="U22" i="35"/>
  <c r="AC20" i="35"/>
  <c r="S22" i="35"/>
  <c r="U14" i="35"/>
  <c r="AA11" i="35"/>
  <c r="AC9" i="35"/>
  <c r="W9" i="35"/>
  <c r="AC12" i="35"/>
  <c r="F9" i="35"/>
  <c r="S9" i="35" s="1"/>
  <c r="H9" i="35"/>
  <c r="U9" i="35" s="1"/>
  <c r="AB40" i="37"/>
  <c r="S25" i="37"/>
  <c r="AC29" i="37"/>
  <c r="U29" i="37"/>
  <c r="AB31" i="37"/>
  <c r="W30" i="37"/>
  <c r="S36" i="37"/>
  <c r="AA38" i="37"/>
  <c r="U32" i="37"/>
  <c r="W38" i="37"/>
  <c r="AC35" i="37"/>
  <c r="S30" i="37"/>
  <c r="AC15" i="37"/>
  <c r="J17" i="37"/>
  <c r="W17" i="37"/>
  <c r="G73" i="37"/>
  <c r="F17" i="37"/>
  <c r="AA17" i="37" s="1"/>
  <c r="F75" i="37"/>
  <c r="F19" i="37"/>
  <c r="S19" i="37" s="1"/>
  <c r="F79" i="37"/>
  <c r="F23" i="37"/>
  <c r="S23" i="37" s="1"/>
  <c r="U23" i="37"/>
  <c r="U15" i="37"/>
  <c r="AC13" i="37"/>
  <c r="H10" i="37"/>
  <c r="AB10" i="37" s="1"/>
  <c r="F63" i="37"/>
  <c r="F11" i="37"/>
  <c r="S11" i="37" s="1"/>
  <c r="AC42" i="34"/>
  <c r="AA45" i="34"/>
  <c r="S13" i="34"/>
  <c r="H10" i="34"/>
  <c r="AB10" i="34" s="1"/>
  <c r="F11" i="34"/>
  <c r="S11" i="34" s="1"/>
  <c r="F70" i="34"/>
  <c r="H41" i="33"/>
  <c r="F121" i="33"/>
  <c r="G121" i="33" s="1"/>
  <c r="H121" i="33" s="1"/>
  <c r="I121" i="33" s="1"/>
  <c r="J121" i="33" s="1"/>
  <c r="K121" i="33" s="1"/>
  <c r="L121" i="33" s="1"/>
  <c r="M121" i="33" s="1"/>
  <c r="G108" i="33"/>
  <c r="H108" i="33" s="1"/>
  <c r="I108" i="33" s="1"/>
  <c r="J108" i="33" s="1"/>
  <c r="K108" i="33" s="1"/>
  <c r="L108" i="33" s="1"/>
  <c r="M108" i="33" s="1"/>
  <c r="J35" i="33"/>
  <c r="AC35" i="33" s="1"/>
  <c r="S37" i="33"/>
  <c r="F101" i="33"/>
  <c r="G101" i="33" s="1"/>
  <c r="H101" i="33" s="1"/>
  <c r="I101" i="33" s="1"/>
  <c r="J101" i="33" s="1"/>
  <c r="K101" i="33" s="1"/>
  <c r="L101" i="33" s="1"/>
  <c r="M101" i="33" s="1"/>
  <c r="J32" i="33"/>
  <c r="W32" i="33" s="1"/>
  <c r="F91" i="33"/>
  <c r="G91" i="33" s="1"/>
  <c r="H91" i="33" s="1"/>
  <c r="I91" i="33" s="1"/>
  <c r="J91" i="33" s="1"/>
  <c r="K91" i="33" s="1"/>
  <c r="L91" i="33" s="1"/>
  <c r="M91" i="33" s="1"/>
  <c r="J23" i="33"/>
  <c r="AC23" i="33" s="1"/>
  <c r="H23" i="33"/>
  <c r="U23" i="33" s="1"/>
  <c r="F81" i="33"/>
  <c r="G81" i="33" s="1"/>
  <c r="F19" i="33"/>
  <c r="S19"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C25" i="35"/>
  <c r="S24" i="35"/>
  <c r="S35" i="35"/>
  <c r="W35" i="35"/>
  <c r="AA16" i="35"/>
  <c r="AA35" i="37"/>
  <c r="W36" i="37"/>
  <c r="S28" i="37"/>
  <c r="U36" i="37"/>
  <c r="S40" i="37"/>
  <c r="U38" i="37"/>
  <c r="AB37" i="37"/>
  <c r="AC34" i="37"/>
  <c r="AA31" i="37"/>
  <c r="AA29" i="37"/>
  <c r="U8" i="37"/>
  <c r="AA40" i="34"/>
  <c r="AC45" i="34"/>
  <c r="AA31" i="34"/>
  <c r="AB45" i="34"/>
  <c r="AC14" i="34"/>
  <c r="AC32" i="34"/>
  <c r="W46" i="34"/>
  <c r="AC46" i="34"/>
  <c r="AA32" i="34"/>
  <c r="U30" i="34"/>
  <c r="AB30" i="34"/>
  <c r="AA46" i="34"/>
  <c r="U32" i="34"/>
  <c r="AB32" i="34"/>
  <c r="U14" i="34"/>
  <c r="AB14" i="34"/>
  <c r="W23" i="34"/>
  <c r="U12" i="34"/>
  <c r="AB12" i="34"/>
  <c r="W46"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AC14"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B44" i="21"/>
  <c r="W13" i="21"/>
  <c r="W42" i="21"/>
  <c r="AC45" i="21"/>
  <c r="F10" i="21"/>
  <c r="AA10" i="21" s="1"/>
  <c r="K145" i="21"/>
  <c r="W17" i="21"/>
  <c r="W25" i="21"/>
  <c r="W31" i="21"/>
  <c r="S2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AC32" i="39" s="1"/>
  <c r="H32" i="39"/>
  <c r="AB32" i="39" s="1"/>
  <c r="AA32" i="39"/>
  <c r="S32" i="39"/>
  <c r="AB21" i="39"/>
  <c r="U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J27" i="33"/>
  <c r="AC27" i="33" s="1"/>
  <c r="F23" i="33"/>
  <c r="H19" i="33"/>
  <c r="U19" i="33" s="1"/>
  <c r="F17" i="33"/>
  <c r="S17" i="33" s="1"/>
  <c r="S37" i="21"/>
  <c r="AA23" i="21"/>
  <c r="AB15" i="21"/>
  <c r="J23" i="21"/>
  <c r="F85" i="21"/>
  <c r="G85" i="21" s="1"/>
  <c r="H23" i="21"/>
  <c r="U23" i="21" s="1"/>
  <c r="S13" i="21"/>
  <c r="D6" i="52"/>
  <c r="AP7" i="1"/>
  <c r="AB45" i="21"/>
  <c r="AB9" i="21"/>
  <c r="U9" i="21"/>
  <c r="AA32" i="21"/>
  <c r="S32" i="21"/>
  <c r="W9" i="21"/>
  <c r="AB32" i="21"/>
  <c r="U32" i="21"/>
  <c r="A18" i="62"/>
  <c r="B64" i="72" s="1"/>
  <c r="J63" i="37"/>
  <c r="K63" i="37" s="1"/>
  <c r="L63" i="37" s="1"/>
  <c r="M63" i="37" s="1"/>
  <c r="J11" i="37"/>
  <c r="AC11" i="37" s="1"/>
  <c r="H70" i="34"/>
  <c r="I70" i="34" s="1"/>
  <c r="J70" i="34" s="1"/>
  <c r="K70" i="34" s="1"/>
  <c r="L70" i="34" s="1"/>
  <c r="M70" i="34" s="1"/>
  <c r="J11" i="34"/>
  <c r="W11" i="34" s="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B9" i="76"/>
  <c r="F4" i="73"/>
  <c r="D34" i="9"/>
  <c r="E2" i="69"/>
  <c r="D19" i="9"/>
  <c r="E13" i="76"/>
  <c r="F3" i="73"/>
  <c r="C19" i="9"/>
  <c r="F5" i="73"/>
  <c r="B10" i="76"/>
  <c r="F20" i="31"/>
  <c r="F6" i="73"/>
  <c r="E12" i="76"/>
  <c r="D35" i="9"/>
  <c r="B11" i="76"/>
  <c r="B7" i="76"/>
  <c r="E7" i="76"/>
  <c r="B8" i="76"/>
  <c r="E8" i="76"/>
  <c r="AO13" i="1"/>
  <c r="F7" i="73"/>
  <c r="E9" i="76"/>
  <c r="C20" i="9"/>
  <c r="E11" i="76"/>
  <c r="D20" i="9"/>
  <c r="D6" i="73"/>
  <c r="B13" i="76"/>
  <c r="E2" i="68"/>
  <c r="B12" i="76"/>
  <c r="F25" i="34" l="1"/>
  <c r="S25" i="34" s="1"/>
  <c r="F88" i="34"/>
  <c r="W9" i="34"/>
  <c r="H27" i="34"/>
  <c r="U27" i="34" s="1"/>
  <c r="J43" i="34"/>
  <c r="W43" i="34" s="1"/>
  <c r="F43" i="34"/>
  <c r="AA43" i="34" s="1"/>
  <c r="G488" i="31"/>
  <c r="G440" i="31"/>
  <c r="G376" i="31"/>
  <c r="G520" i="31"/>
  <c r="G293" i="31"/>
  <c r="G424" i="31"/>
  <c r="G264" i="31"/>
  <c r="G504" i="31"/>
  <c r="G472" i="31"/>
  <c r="G408" i="31"/>
  <c r="G336" i="31"/>
  <c r="G205" i="31"/>
  <c r="G512" i="31"/>
  <c r="G480" i="31"/>
  <c r="G357" i="31"/>
  <c r="G496" i="31"/>
  <c r="G456" i="31"/>
  <c r="G392" i="31"/>
  <c r="G314" i="31"/>
  <c r="G141" i="31"/>
  <c r="AC43" i="34"/>
  <c r="G519" i="31"/>
  <c r="G511" i="31"/>
  <c r="G503" i="31"/>
  <c r="G495" i="31"/>
  <c r="G487" i="31"/>
  <c r="G479" i="31"/>
  <c r="G468" i="31"/>
  <c r="G452" i="31"/>
  <c r="G436" i="31"/>
  <c r="G420" i="31"/>
  <c r="G404" i="31"/>
  <c r="G388" i="31"/>
  <c r="G372" i="31"/>
  <c r="G352" i="31"/>
  <c r="G330" i="31"/>
  <c r="G309" i="31"/>
  <c r="G288" i="31"/>
  <c r="G253" i="31"/>
  <c r="G189" i="31"/>
  <c r="G125" i="31"/>
  <c r="G28" i="31"/>
  <c r="G524" i="31"/>
  <c r="G516" i="31"/>
  <c r="G508" i="31"/>
  <c r="G500" i="31"/>
  <c r="G492" i="31"/>
  <c r="G484" i="31"/>
  <c r="G476" i="31"/>
  <c r="G464" i="31"/>
  <c r="G448" i="31"/>
  <c r="G432" i="31"/>
  <c r="G416" i="31"/>
  <c r="G400" i="31"/>
  <c r="G384" i="31"/>
  <c r="G368" i="31"/>
  <c r="G346" i="31"/>
  <c r="G325" i="31"/>
  <c r="G304" i="31"/>
  <c r="G280" i="31"/>
  <c r="G237" i="31"/>
  <c r="G173" i="31"/>
  <c r="G109" i="31"/>
  <c r="G523" i="31"/>
  <c r="G515" i="31"/>
  <c r="G507" i="31"/>
  <c r="G499" i="31"/>
  <c r="G491" i="31"/>
  <c r="G483" i="31"/>
  <c r="G475" i="31"/>
  <c r="G460" i="31"/>
  <c r="G444" i="31"/>
  <c r="G428" i="31"/>
  <c r="G412" i="31"/>
  <c r="G396" i="31"/>
  <c r="G380" i="31"/>
  <c r="G362" i="31"/>
  <c r="G341" i="31"/>
  <c r="G320" i="31"/>
  <c r="G298" i="31"/>
  <c r="G272" i="31"/>
  <c r="G221" i="31"/>
  <c r="G157" i="31"/>
  <c r="G33" i="31"/>
  <c r="G49" i="31"/>
  <c r="G65" i="31"/>
  <c r="G81" i="31"/>
  <c r="G97" i="31"/>
  <c r="G113" i="31"/>
  <c r="G129" i="31"/>
  <c r="G145" i="31"/>
  <c r="G161" i="31"/>
  <c r="G177" i="31"/>
  <c r="G193" i="31"/>
  <c r="G209" i="31"/>
  <c r="G225" i="31"/>
  <c r="G241" i="31"/>
  <c r="G257" i="31"/>
  <c r="G265" i="31"/>
  <c r="G273" i="31"/>
  <c r="G281" i="31"/>
  <c r="G289" i="31"/>
  <c r="G294" i="31"/>
  <c r="G300" i="31"/>
  <c r="G305" i="31"/>
  <c r="G310" i="31"/>
  <c r="G316" i="31"/>
  <c r="G321" i="31"/>
  <c r="G326" i="31"/>
  <c r="G332" i="31"/>
  <c r="G337" i="31"/>
  <c r="G342" i="31"/>
  <c r="G348" i="31"/>
  <c r="G353" i="31"/>
  <c r="G358" i="31"/>
  <c r="G364"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26" i="31"/>
  <c r="G25" i="31"/>
  <c r="G345" i="31"/>
  <c r="G361" i="31"/>
  <c r="G371" i="31"/>
  <c r="G383" i="31"/>
  <c r="G391" i="31"/>
  <c r="G403" i="31"/>
  <c r="G415" i="31"/>
  <c r="G427" i="31"/>
  <c r="G439" i="31"/>
  <c r="G451" i="31"/>
  <c r="G463" i="31"/>
  <c r="G37" i="31"/>
  <c r="G53" i="31"/>
  <c r="G69" i="31"/>
  <c r="G85" i="31"/>
  <c r="G101" i="31"/>
  <c r="G117" i="31"/>
  <c r="G133" i="31"/>
  <c r="G149" i="31"/>
  <c r="G165" i="31"/>
  <c r="G181" i="31"/>
  <c r="G197" i="31"/>
  <c r="G213" i="31"/>
  <c r="G229" i="31"/>
  <c r="G245" i="31"/>
  <c r="G260" i="31"/>
  <c r="G268" i="31"/>
  <c r="G276" i="31"/>
  <c r="G284" i="31"/>
  <c r="G290" i="31"/>
  <c r="G296" i="31"/>
  <c r="G301" i="31"/>
  <c r="G306" i="31"/>
  <c r="G312" i="31"/>
  <c r="G317" i="31"/>
  <c r="G322" i="31"/>
  <c r="G328" i="31"/>
  <c r="G333" i="31"/>
  <c r="G338" i="31"/>
  <c r="G344" i="31"/>
  <c r="G349" i="31"/>
  <c r="G354" i="31"/>
  <c r="G360" i="31"/>
  <c r="G365"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27" i="31"/>
  <c r="G375" i="31"/>
  <c r="G395" i="31"/>
  <c r="G407" i="31"/>
  <c r="G419" i="31"/>
  <c r="G431" i="31"/>
  <c r="G443" i="31"/>
  <c r="G455" i="31"/>
  <c r="G467" i="31"/>
  <c r="G41" i="31"/>
  <c r="G57" i="31"/>
  <c r="G73" i="31"/>
  <c r="G89" i="31"/>
  <c r="G105" i="31"/>
  <c r="G121" i="31"/>
  <c r="G137" i="31"/>
  <c r="G153" i="31"/>
  <c r="G169" i="31"/>
  <c r="G185" i="31"/>
  <c r="G201" i="31"/>
  <c r="G217" i="31"/>
  <c r="G233" i="31"/>
  <c r="G249" i="31"/>
  <c r="G261" i="31"/>
  <c r="G269" i="31"/>
  <c r="G277" i="31"/>
  <c r="G285" i="31"/>
  <c r="G292" i="31"/>
  <c r="G297" i="31"/>
  <c r="G302" i="31"/>
  <c r="G308" i="31"/>
  <c r="G313" i="31"/>
  <c r="G318" i="31"/>
  <c r="G324" i="31"/>
  <c r="G329" i="31"/>
  <c r="G334" i="31"/>
  <c r="G340" i="31"/>
  <c r="G350" i="31"/>
  <c r="G356" i="31"/>
  <c r="G366" i="31"/>
  <c r="G379" i="31"/>
  <c r="G387" i="31"/>
  <c r="G399" i="31"/>
  <c r="G411" i="31"/>
  <c r="G423" i="31"/>
  <c r="G435" i="31"/>
  <c r="G447" i="31"/>
  <c r="G459" i="31"/>
  <c r="G471" i="31"/>
  <c r="G77" i="31"/>
  <c r="G61" i="31"/>
  <c r="G45" i="31"/>
  <c r="G8" i="31"/>
  <c r="H8" i="31" s="1"/>
  <c r="I8" i="31" s="1"/>
  <c r="J8" i="31" s="1"/>
  <c r="K8" i="31" s="1"/>
  <c r="L8" i="31" s="1"/>
  <c r="M8" i="31" s="1"/>
  <c r="N8" i="31" s="1"/>
  <c r="O8" i="31" s="1"/>
  <c r="P8" i="31" s="1"/>
  <c r="Q8" i="31" s="1"/>
  <c r="R8" i="31" s="1"/>
  <c r="S8" i="31" s="1"/>
  <c r="G30" i="31"/>
  <c r="G34" i="31"/>
  <c r="G38"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142" i="31"/>
  <c r="G146" i="31"/>
  <c r="G150"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31" i="31"/>
  <c r="G35" i="31"/>
  <c r="G39" i="31"/>
  <c r="G43" i="31"/>
  <c r="G47" i="31"/>
  <c r="G51" i="31"/>
  <c r="G55" i="31"/>
  <c r="G59" i="31"/>
  <c r="G63" i="31"/>
  <c r="G67" i="31"/>
  <c r="G71" i="31"/>
  <c r="G75" i="31"/>
  <c r="G79" i="31"/>
  <c r="G83" i="31"/>
  <c r="G87" i="31"/>
  <c r="G91" i="31"/>
  <c r="G95" i="31"/>
  <c r="G99" i="31"/>
  <c r="G103" i="31"/>
  <c r="G107" i="31"/>
  <c r="G111" i="31"/>
  <c r="G115" i="31"/>
  <c r="G119" i="31"/>
  <c r="G123" i="31"/>
  <c r="G127" i="31"/>
  <c r="G131" i="31"/>
  <c r="G135" i="31"/>
  <c r="G139" i="31"/>
  <c r="G143" i="31"/>
  <c r="G147"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2"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S8" i="34"/>
  <c r="AB8" i="34"/>
  <c r="J27" i="34"/>
  <c r="AC27" i="34" s="1"/>
  <c r="J25" i="33"/>
  <c r="W25" i="33" s="1"/>
  <c r="F25" i="33"/>
  <c r="S25" i="33" s="1"/>
  <c r="H25" i="33"/>
  <c r="AB25" i="33" s="1"/>
  <c r="H15" i="33"/>
  <c r="AB15" i="33" s="1"/>
  <c r="AA29" i="33"/>
  <c r="AB29" i="33"/>
  <c r="G7" i="33"/>
  <c r="E7" i="33"/>
  <c r="I7" i="33"/>
  <c r="H27" i="33"/>
  <c r="U27" i="33" s="1"/>
  <c r="S27" i="40"/>
  <c r="AZ342" i="3"/>
  <c r="AZ337" i="3"/>
  <c r="AZ584" i="3"/>
  <c r="AA11" i="36"/>
  <c r="S11" i="36"/>
  <c r="W45" i="33"/>
  <c r="AC45" i="33"/>
  <c r="U38" i="21"/>
  <c r="AB38" i="21"/>
  <c r="BA587" i="3"/>
  <c r="BS5" i="3"/>
  <c r="BA585" i="3"/>
  <c r="J29" i="21"/>
  <c r="H29" i="21"/>
  <c r="H28" i="33"/>
  <c r="U28" i="33" s="1"/>
  <c r="F28" i="33"/>
  <c r="AA28" i="33" s="1"/>
  <c r="F78" i="34"/>
  <c r="G78" i="34" s="1"/>
  <c r="F15" i="34"/>
  <c r="AA15" i="34" s="1"/>
  <c r="AZ582" i="3"/>
  <c r="AZ566" i="3"/>
  <c r="AZ377" i="3"/>
  <c r="AZ364" i="3"/>
  <c r="G123" i="33"/>
  <c r="H123" i="33" s="1"/>
  <c r="I123" i="33" s="1"/>
  <c r="J123" i="33" s="1"/>
  <c r="K123" i="33" s="1"/>
  <c r="L123" i="33" s="1"/>
  <c r="M123" i="33" s="1"/>
  <c r="F42" i="33"/>
  <c r="AA42" i="33" s="1"/>
  <c r="AZ563" i="3"/>
  <c r="AZ570" i="3"/>
  <c r="AB12" i="40"/>
  <c r="U12" i="40"/>
  <c r="U46" i="34"/>
  <c r="AB46" i="34"/>
  <c r="S41" i="33"/>
  <c r="AA41" i="33"/>
  <c r="S36" i="39"/>
  <c r="AA36" i="39"/>
  <c r="BA586" i="3"/>
  <c r="BR5" i="3"/>
  <c r="BI5" i="3"/>
  <c r="F30" i="21"/>
  <c r="J30" i="21"/>
  <c r="J42" i="33"/>
  <c r="AC42" i="33" s="1"/>
  <c r="J26" i="33"/>
  <c r="W26" i="33" s="1"/>
  <c r="F26" i="33"/>
  <c r="AA26" i="33" s="1"/>
  <c r="AB23" i="21"/>
  <c r="W23" i="37"/>
  <c r="G7" i="34"/>
  <c r="E7" i="34"/>
  <c r="I7" i="34"/>
  <c r="AZ565" i="3"/>
  <c r="AZ520" i="3"/>
  <c r="AA35" i="39"/>
  <c r="S35" i="39"/>
  <c r="B72" i="43"/>
  <c r="C15" i="39"/>
  <c r="B79" i="43"/>
  <c r="AC28" i="35"/>
  <c r="W28" i="35"/>
  <c r="U32" i="39"/>
  <c r="AZ389" i="3"/>
  <c r="K9" i="1"/>
  <c r="M9" i="1" s="1"/>
  <c r="B26" i="31"/>
  <c r="AZ553" i="3"/>
  <c r="AZ512" i="3"/>
  <c r="AZ532" i="3"/>
  <c r="AC28" i="21"/>
  <c r="F27" i="33"/>
  <c r="AA27" i="33" s="1"/>
  <c r="E126" i="34"/>
  <c r="F126" i="34" s="1"/>
  <c r="G126" i="34" s="1"/>
  <c r="J44" i="34"/>
  <c r="AC44" i="34" s="1"/>
  <c r="F44" i="34"/>
  <c r="AA44" i="34" s="1"/>
  <c r="H30" i="33"/>
  <c r="AB30" i="33" s="1"/>
  <c r="F30" i="33"/>
  <c r="J29" i="34"/>
  <c r="F29" i="34"/>
  <c r="J13" i="35"/>
  <c r="H13" i="35"/>
  <c r="AZ580" i="3"/>
  <c r="AZ572" i="3"/>
  <c r="AZ564" i="3"/>
  <c r="BL561" i="3"/>
  <c r="AZ561" i="3" s="1"/>
  <c r="AZ558" i="3"/>
  <c r="AZ556" i="3"/>
  <c r="BL541" i="3"/>
  <c r="AZ541" i="3" s="1"/>
  <c r="AZ524" i="3"/>
  <c r="BL513" i="3"/>
  <c r="AZ376" i="3"/>
  <c r="AZ327" i="3"/>
  <c r="AZ309" i="3"/>
  <c r="H12" i="37"/>
  <c r="AB12" i="37" s="1"/>
  <c r="AZ511" i="3"/>
  <c r="AZ521" i="3"/>
  <c r="AZ525" i="3"/>
  <c r="AZ533" i="3"/>
  <c r="BL559" i="3"/>
  <c r="AZ559" i="3" s="1"/>
  <c r="BL581" i="3"/>
  <c r="J27" i="37"/>
  <c r="J13" i="40"/>
  <c r="F12" i="40"/>
  <c r="S12" i="40" s="1"/>
  <c r="J13" i="36"/>
  <c r="E113" i="33"/>
  <c r="F113" i="33" s="1"/>
  <c r="G113" i="33" s="1"/>
  <c r="H113" i="33" s="1"/>
  <c r="I113" i="33" s="1"/>
  <c r="J113" i="33" s="1"/>
  <c r="K113" i="33" s="1"/>
  <c r="L113" i="33" s="1"/>
  <c r="M113" i="33" s="1"/>
  <c r="H40" i="34"/>
  <c r="AB40" i="34" s="1"/>
  <c r="J45" i="39"/>
  <c r="W45" i="39" s="1"/>
  <c r="G587" i="3"/>
  <c r="J38" i="33"/>
  <c r="AC38" i="33" s="1"/>
  <c r="H43" i="34"/>
  <c r="AB43" i="34" s="1"/>
  <c r="H23" i="35"/>
  <c r="H23" i="36"/>
  <c r="J23" i="36"/>
  <c r="AZ345" i="3"/>
  <c r="AZ347" i="3"/>
  <c r="AZ329" i="3"/>
  <c r="K8" i="1"/>
  <c r="M8" i="1" s="1"/>
  <c r="B25" i="31"/>
  <c r="F12" i="39"/>
  <c r="BL519" i="3"/>
  <c r="G521" i="3"/>
  <c r="BL527" i="3"/>
  <c r="BL569" i="3"/>
  <c r="AZ569" i="3" s="1"/>
  <c r="BL583" i="3"/>
  <c r="AZ500" i="3"/>
  <c r="F27" i="37"/>
  <c r="H37" i="33"/>
  <c r="AB37" i="33" s="1"/>
  <c r="H17" i="34"/>
  <c r="U17" i="34" s="1"/>
  <c r="U34" i="40"/>
  <c r="U34" i="35"/>
  <c r="W40" i="39"/>
  <c r="G586" i="3"/>
  <c r="AZ402" i="3"/>
  <c r="AZ413" i="3"/>
  <c r="G329" i="3"/>
  <c r="BL340" i="3"/>
  <c r="AZ340" i="3" s="1"/>
  <c r="BL346" i="3"/>
  <c r="AZ346" i="3" s="1"/>
  <c r="G349" i="3"/>
  <c r="BA225" i="3"/>
  <c r="BA227" i="3"/>
  <c r="AZ227" i="3" s="1"/>
  <c r="G229" i="3"/>
  <c r="BA231" i="3"/>
  <c r="G234" i="3"/>
  <c r="BA248" i="3"/>
  <c r="BA250" i="3"/>
  <c r="AZ250" i="3" s="1"/>
  <c r="BL250" i="3"/>
  <c r="G251" i="3"/>
  <c r="BL259" i="3"/>
  <c r="BL262" i="3"/>
  <c r="BA263" i="3"/>
  <c r="BL265" i="3"/>
  <c r="G267" i="3"/>
  <c r="BA281" i="3"/>
  <c r="BA40" i="3"/>
  <c r="N67" i="71"/>
  <c r="B66" i="71"/>
  <c r="BG5" i="3"/>
  <c r="BO5" i="3"/>
  <c r="G399" i="3"/>
  <c r="BA400" i="3"/>
  <c r="BA406" i="3"/>
  <c r="AZ406" i="3" s="1"/>
  <c r="BL409" i="3"/>
  <c r="BL413" i="3"/>
  <c r="G416" i="3"/>
  <c r="BL423" i="3"/>
  <c r="G430" i="3"/>
  <c r="BL433" i="3"/>
  <c r="BL447" i="3"/>
  <c r="BL452" i="3"/>
  <c r="G455" i="3"/>
  <c r="BA457" i="3"/>
  <c r="BL458" i="3"/>
  <c r="G460" i="3"/>
  <c r="BA461" i="3"/>
  <c r="BA464" i="3"/>
  <c r="BA466" i="3"/>
  <c r="AZ466" i="3" s="1"/>
  <c r="BL466" i="3"/>
  <c r="G469" i="3"/>
  <c r="BA473" i="3"/>
  <c r="BL484" i="3"/>
  <c r="BL488" i="3"/>
  <c r="BL308" i="3"/>
  <c r="AZ308" i="3" s="1"/>
  <c r="BA315" i="3"/>
  <c r="AZ315" i="3" s="1"/>
  <c r="BL367" i="3"/>
  <c r="G384" i="3"/>
  <c r="BA386" i="3"/>
  <c r="AZ386" i="3" s="1"/>
  <c r="BL395" i="3"/>
  <c r="BA211" i="3"/>
  <c r="AZ211" i="3" s="1"/>
  <c r="G215" i="3"/>
  <c r="G570" i="3"/>
  <c r="F6" i="1"/>
  <c r="G6" i="1" s="1"/>
  <c r="BL400" i="3"/>
  <c r="G404" i="3"/>
  <c r="G408" i="3"/>
  <c r="G409" i="3"/>
  <c r="BL412" i="3"/>
  <c r="G413" i="3"/>
  <c r="G419" i="3"/>
  <c r="BA419" i="3"/>
  <c r="AZ419" i="3" s="1"/>
  <c r="BA420" i="3"/>
  <c r="BL427" i="3"/>
  <c r="G428" i="3"/>
  <c r="BL428" i="3"/>
  <c r="BL429" i="3"/>
  <c r="G440" i="3"/>
  <c r="BA444" i="3"/>
  <c r="AZ444" i="3" s="1"/>
  <c r="BL444" i="3"/>
  <c r="G446" i="3"/>
  <c r="G447" i="3"/>
  <c r="G452" i="3"/>
  <c r="G459" i="3"/>
  <c r="BA459" i="3"/>
  <c r="G463" i="3"/>
  <c r="BA463" i="3"/>
  <c r="G466" i="3"/>
  <c r="G475" i="3"/>
  <c r="BA480" i="3"/>
  <c r="AZ480" i="3" s="1"/>
  <c r="BL480" i="3"/>
  <c r="G482" i="3"/>
  <c r="BA483" i="3"/>
  <c r="BL483" i="3"/>
  <c r="BL487" i="3"/>
  <c r="BL491" i="3"/>
  <c r="BL492" i="3"/>
  <c r="G307" i="3"/>
  <c r="G311" i="3"/>
  <c r="G315" i="3"/>
  <c r="G323" i="3"/>
  <c r="G339" i="3"/>
  <c r="G343" i="3"/>
  <c r="G347" i="3"/>
  <c r="G351" i="3"/>
  <c r="G382" i="3"/>
  <c r="BA392" i="3"/>
  <c r="AZ392" i="3" s="1"/>
  <c r="BA214" i="3"/>
  <c r="BA216" i="3"/>
  <c r="AZ216" i="3" s="1"/>
  <c r="G218" i="3"/>
  <c r="BA220" i="3"/>
  <c r="BL222" i="3"/>
  <c r="BL223" i="3"/>
  <c r="G224" i="3"/>
  <c r="G228" i="3"/>
  <c r="BA228" i="3"/>
  <c r="BL230" i="3"/>
  <c r="G231" i="3"/>
  <c r="BL237" i="3"/>
  <c r="BL240" i="3"/>
  <c r="G241" i="3"/>
  <c r="BL252" i="3"/>
  <c r="BA257" i="3"/>
  <c r="G270" i="3"/>
  <c r="BA275" i="3"/>
  <c r="BA279" i="3"/>
  <c r="BA283" i="3"/>
  <c r="BA286" i="3"/>
  <c r="BL286" i="3"/>
  <c r="BA22" i="3"/>
  <c r="G566" i="3"/>
  <c r="E20" i="6"/>
  <c r="C34" i="34"/>
  <c r="BL16" i="3"/>
  <c r="AZ16" i="3" s="1"/>
  <c r="BL399" i="3"/>
  <c r="G400" i="3"/>
  <c r="BL408" i="3"/>
  <c r="BL416" i="3"/>
  <c r="G417" i="3"/>
  <c r="BL417" i="3"/>
  <c r="BL418" i="3"/>
  <c r="BL420" i="3"/>
  <c r="G422" i="3"/>
  <c r="BA424" i="3"/>
  <c r="G431" i="3"/>
  <c r="G432" i="3"/>
  <c r="BL432" i="3"/>
  <c r="G438" i="3"/>
  <c r="BL438" i="3"/>
  <c r="BA442" i="3"/>
  <c r="G444" i="3"/>
  <c r="BA448" i="3"/>
  <c r="BL448" i="3"/>
  <c r="G450" i="3"/>
  <c r="G457" i="3"/>
  <c r="G461" i="3"/>
  <c r="BL462" i="3"/>
  <c r="BL465" i="3"/>
  <c r="BL472" i="3"/>
  <c r="G473" i="3"/>
  <c r="BL479" i="3"/>
  <c r="G480" i="3"/>
  <c r="BA487" i="3"/>
  <c r="AZ487" i="3" s="1"/>
  <c r="BA489" i="3"/>
  <c r="BL489" i="3"/>
  <c r="G490" i="3"/>
  <c r="G491" i="3"/>
  <c r="BA319" i="3"/>
  <c r="AZ319" i="3" s="1"/>
  <c r="BL350" i="3"/>
  <c r="G364" i="3"/>
  <c r="BL381" i="3"/>
  <c r="AZ381" i="3" s="1"/>
  <c r="BL208" i="3"/>
  <c r="G210" i="3"/>
  <c r="G216" i="3"/>
  <c r="BA218" i="3"/>
  <c r="AZ218" i="3" s="1"/>
  <c r="BL218" i="3"/>
  <c r="BL220" i="3"/>
  <c r="BL221" i="3"/>
  <c r="G222" i="3"/>
  <c r="BA233" i="3"/>
  <c r="G236" i="3"/>
  <c r="BA260" i="3"/>
  <c r="BL267" i="3"/>
  <c r="BA293" i="3"/>
  <c r="BA116" i="3"/>
  <c r="AZ116" i="3" s="1"/>
  <c r="BA121" i="3"/>
  <c r="AZ121" i="3" s="1"/>
  <c r="BL121" i="3"/>
  <c r="BA194" i="3"/>
  <c r="G292" i="3"/>
  <c r="BL298" i="3"/>
  <c r="G116" i="3"/>
  <c r="BA126" i="3"/>
  <c r="BA132" i="3"/>
  <c r="AZ132" i="3" s="1"/>
  <c r="G150" i="3"/>
  <c r="G154" i="3"/>
  <c r="BA156" i="3"/>
  <c r="AZ156" i="3" s="1"/>
  <c r="G160" i="3"/>
  <c r="G167" i="3"/>
  <c r="G172" i="3"/>
  <c r="BL181" i="3"/>
  <c r="BL186" i="3"/>
  <c r="BA188" i="3"/>
  <c r="AZ188" i="3" s="1"/>
  <c r="BL195" i="3"/>
  <c r="AZ195" i="3" s="1"/>
  <c r="G196" i="3"/>
  <c r="BA197" i="3"/>
  <c r="BA201" i="3"/>
  <c r="BL23" i="3"/>
  <c r="BL44" i="3"/>
  <c r="BA45" i="3"/>
  <c r="BA46" i="3"/>
  <c r="G48" i="3"/>
  <c r="BL52" i="3"/>
  <c r="G53" i="3"/>
  <c r="BL53" i="3"/>
  <c r="G57" i="3"/>
  <c r="G61" i="3"/>
  <c r="BA63" i="3"/>
  <c r="G66" i="3"/>
  <c r="BA67" i="3"/>
  <c r="G71" i="3"/>
  <c r="BA72" i="3"/>
  <c r="G76" i="3"/>
  <c r="BA78" i="3"/>
  <c r="BL82" i="3"/>
  <c r="G85" i="3"/>
  <c r="G89" i="3"/>
  <c r="BL93" i="3"/>
  <c r="BL99" i="3"/>
  <c r="BA105" i="3"/>
  <c r="BA109" i="3"/>
  <c r="S25" i="40"/>
  <c r="C66" i="71"/>
  <c r="Q68" i="71"/>
  <c r="E39" i="71"/>
  <c r="E40" i="71" s="1"/>
  <c r="U40" i="71" s="1"/>
  <c r="S68" i="71"/>
  <c r="V68" i="71"/>
  <c r="C23" i="71"/>
  <c r="B22" i="71"/>
  <c r="B21" i="71" s="1"/>
  <c r="B20" i="71" s="1"/>
  <c r="BL242" i="3"/>
  <c r="BA243" i="3"/>
  <c r="BL245" i="3"/>
  <c r="G247" i="3"/>
  <c r="G252" i="3"/>
  <c r="G259" i="3"/>
  <c r="G260" i="3"/>
  <c r="BL269" i="3"/>
  <c r="G271" i="3"/>
  <c r="BA276" i="3"/>
  <c r="G279" i="3"/>
  <c r="BL280" i="3"/>
  <c r="G283" i="3"/>
  <c r="BA288" i="3"/>
  <c r="G289" i="3"/>
  <c r="G295" i="3"/>
  <c r="BA296" i="3"/>
  <c r="G299" i="3"/>
  <c r="BL122" i="3"/>
  <c r="G123" i="3"/>
  <c r="BA124" i="3"/>
  <c r="AZ124" i="3" s="1"/>
  <c r="G127" i="3"/>
  <c r="BL135" i="3"/>
  <c r="AZ135" i="3" s="1"/>
  <c r="BL138" i="3"/>
  <c r="BA140" i="3"/>
  <c r="AZ140" i="3" s="1"/>
  <c r="BA142" i="3"/>
  <c r="G146" i="3"/>
  <c r="BL161" i="3"/>
  <c r="G162" i="3"/>
  <c r="G170" i="3"/>
  <c r="BL183" i="3"/>
  <c r="AZ183" i="3" s="1"/>
  <c r="BA186" i="3"/>
  <c r="BA190" i="3"/>
  <c r="G199" i="3"/>
  <c r="BL201" i="3"/>
  <c r="BL203" i="3"/>
  <c r="AZ203" i="3" s="1"/>
  <c r="BA204" i="3"/>
  <c r="AZ204" i="3" s="1"/>
  <c r="BA18" i="3"/>
  <c r="BL21" i="3"/>
  <c r="G23" i="3"/>
  <c r="G27" i="3"/>
  <c r="G47" i="3"/>
  <c r="BL49" i="3"/>
  <c r="G56" i="3"/>
  <c r="BA56" i="3"/>
  <c r="BA57" i="3"/>
  <c r="BL58" i="3"/>
  <c r="G60" i="3"/>
  <c r="BA60" i="3"/>
  <c r="G64" i="3"/>
  <c r="BA66" i="3"/>
  <c r="BA71" i="3"/>
  <c r="G88" i="3"/>
  <c r="BA89" i="3"/>
  <c r="G103" i="3"/>
  <c r="BA103" i="3"/>
  <c r="AZ103" i="3" s="1"/>
  <c r="U21" i="37"/>
  <c r="P27" i="6"/>
  <c r="E71" i="71"/>
  <c r="E70" i="71" s="1"/>
  <c r="N68" i="71"/>
  <c r="Y30" i="71"/>
  <c r="Z30" i="71" s="1"/>
  <c r="Y35" i="71"/>
  <c r="Z35" i="71" s="1"/>
  <c r="BA133" i="3"/>
  <c r="AZ133" i="3" s="1"/>
  <c r="BL133" i="3"/>
  <c r="BL154" i="3"/>
  <c r="BA157" i="3"/>
  <c r="BL158" i="3"/>
  <c r="BA160" i="3"/>
  <c r="AZ160" i="3" s="1"/>
  <c r="BL177" i="3"/>
  <c r="G179" i="3"/>
  <c r="BA189" i="3"/>
  <c r="BL205" i="3"/>
  <c r="G206" i="3"/>
  <c r="BA207" i="3"/>
  <c r="BL24" i="3"/>
  <c r="G29" i="3"/>
  <c r="BL29" i="3"/>
  <c r="BL34" i="3"/>
  <c r="BA37" i="3"/>
  <c r="G39" i="3"/>
  <c r="BL39" i="3"/>
  <c r="BA47" i="3"/>
  <c r="BA50" i="3"/>
  <c r="AZ50" i="3" s="1"/>
  <c r="BA55" i="3"/>
  <c r="G78" i="3"/>
  <c r="BA98" i="3"/>
  <c r="BL100" i="3"/>
  <c r="G106" i="3"/>
  <c r="BA106" i="3"/>
  <c r="BL108" i="3"/>
  <c r="C5" i="68"/>
  <c r="O67" i="71"/>
  <c r="D76" i="71"/>
  <c r="C71" i="71"/>
  <c r="C59" i="71"/>
  <c r="D59" i="71" s="1"/>
  <c r="AA35" i="71"/>
  <c r="X38" i="71"/>
  <c r="AA38" i="71"/>
  <c r="B43" i="71"/>
  <c r="B44" i="71" s="1"/>
  <c r="S44" i="71" s="1"/>
  <c r="B63" i="71"/>
  <c r="B64" i="71" s="1"/>
  <c r="S64" i="71" s="1"/>
  <c r="H17" i="33"/>
  <c r="U17" i="33" s="1"/>
  <c r="F79" i="33"/>
  <c r="G79" i="33" s="1"/>
  <c r="U39" i="33"/>
  <c r="AC25" i="33"/>
  <c r="AB46" i="33"/>
  <c r="S15" i="33"/>
  <c r="J36" i="34"/>
  <c r="W36" i="34" s="1"/>
  <c r="F36" i="34"/>
  <c r="S36" i="34" s="1"/>
  <c r="AB36" i="34"/>
  <c r="AA38" i="34"/>
  <c r="H37" i="34"/>
  <c r="U37" i="34" s="1"/>
  <c r="F37" i="34"/>
  <c r="F33" i="34"/>
  <c r="S33" i="34" s="1"/>
  <c r="J15" i="34"/>
  <c r="W15" i="34" s="1"/>
  <c r="AB33" i="34"/>
  <c r="AC40" i="34"/>
  <c r="U39" i="34"/>
  <c r="AA25" i="34"/>
  <c r="U25" i="34"/>
  <c r="AA19" i="34"/>
  <c r="W44" i="34"/>
  <c r="AB41" i="34"/>
  <c r="W41" i="34"/>
  <c r="U40" i="34"/>
  <c r="U38" i="34"/>
  <c r="AC38" i="34"/>
  <c r="AC35" i="34"/>
  <c r="AB35" i="34"/>
  <c r="AA35" i="34"/>
  <c r="W33" i="34"/>
  <c r="U28" i="34"/>
  <c r="S23" i="34"/>
  <c r="W19" i="34"/>
  <c r="U19" i="34"/>
  <c r="S17" i="34"/>
  <c r="AC17" i="34"/>
  <c r="U15" i="34"/>
  <c r="W8" i="34"/>
  <c r="AB9" i="34"/>
  <c r="AB44" i="33"/>
  <c r="W44" i="33"/>
  <c r="AA44" i="33"/>
  <c r="AA25" i="33"/>
  <c r="U25" i="33"/>
  <c r="AB23" i="33"/>
  <c r="AC21" i="33"/>
  <c r="AA19" i="33"/>
  <c r="W19" i="33"/>
  <c r="AC17" i="33"/>
  <c r="W15" i="33"/>
  <c r="U15" i="33"/>
  <c r="AC32" i="33"/>
  <c r="AB34" i="33"/>
  <c r="F38" i="33"/>
  <c r="AA38" i="33" s="1"/>
  <c r="H38" i="33"/>
  <c r="J36" i="33"/>
  <c r="W36" i="33" s="1"/>
  <c r="H111" i="33"/>
  <c r="I111" i="33" s="1"/>
  <c r="J111" i="33" s="1"/>
  <c r="K111" i="33" s="1"/>
  <c r="L111" i="33" s="1"/>
  <c r="M111" i="33" s="1"/>
  <c r="H36" i="33"/>
  <c r="U36" i="33" s="1"/>
  <c r="F36" i="33"/>
  <c r="AA36" i="33" s="1"/>
  <c r="W43" i="33"/>
  <c r="W42" i="33"/>
  <c r="S42" i="33"/>
  <c r="W39" i="33"/>
  <c r="W38" i="33"/>
  <c r="AC37" i="33"/>
  <c r="U37" i="33"/>
  <c r="W35" i="33"/>
  <c r="AC34" i="33"/>
  <c r="U32" i="33"/>
  <c r="S28" i="33"/>
  <c r="AC28" i="33"/>
  <c r="AB28" i="33"/>
  <c r="S27" i="33"/>
  <c r="AB27" i="33"/>
  <c r="W27" i="33"/>
  <c r="AC26" i="33"/>
  <c r="U26" i="33"/>
  <c r="U11" i="33"/>
  <c r="AC11" i="33"/>
  <c r="W9" i="33"/>
  <c r="U9" i="33"/>
  <c r="W8" i="33"/>
  <c r="BA15" i="3"/>
  <c r="G29" i="6"/>
  <c r="F29" i="6"/>
  <c r="G1" i="67"/>
  <c r="G1" i="69"/>
  <c r="G1" i="15"/>
  <c r="K1" i="12"/>
  <c r="G1" i="68"/>
  <c r="H5" i="3"/>
  <c r="G13" i="3"/>
  <c r="F19" i="6" s="1"/>
  <c r="E19" i="6" s="1"/>
  <c r="F48" i="9"/>
  <c r="O52" i="9" s="1"/>
  <c r="F30" i="11"/>
  <c r="C48" i="11" s="1"/>
  <c r="M18" i="67"/>
  <c r="M18" i="15"/>
  <c r="S32" i="37"/>
  <c r="AA32" i="37"/>
  <c r="AA20" i="35"/>
  <c r="S20" i="35"/>
  <c r="AZ355" i="3"/>
  <c r="AZ499" i="3"/>
  <c r="AZ527" i="3"/>
  <c r="AZ571" i="3"/>
  <c r="AZ579" i="3"/>
  <c r="AZ510" i="3"/>
  <c r="AZ552" i="3"/>
  <c r="AC35" i="40"/>
  <c r="W35" i="40"/>
  <c r="AA46" i="33"/>
  <c r="S46" i="33"/>
  <c r="S35" i="33"/>
  <c r="AA35" i="33"/>
  <c r="U20" i="35"/>
  <c r="AB20" i="35"/>
  <c r="AZ303" i="3"/>
  <c r="AB19" i="37"/>
  <c r="U19" i="37"/>
  <c r="AC32" i="37"/>
  <c r="W32" i="37"/>
  <c r="S39" i="33"/>
  <c r="AA39" i="33"/>
  <c r="U17" i="37"/>
  <c r="AB17" i="37"/>
  <c r="S25" i="21"/>
  <c r="AA25" i="21"/>
  <c r="AA17" i="21"/>
  <c r="S17" i="21"/>
  <c r="U25" i="35"/>
  <c r="AB25" i="35"/>
  <c r="AB19" i="33"/>
  <c r="AB36" i="33"/>
  <c r="W32" i="39"/>
  <c r="AZ344" i="3"/>
  <c r="S19" i="40"/>
  <c r="AA19" i="40"/>
  <c r="AZ503" i="3"/>
  <c r="S27" i="37"/>
  <c r="AA27" i="37"/>
  <c r="U13" i="40"/>
  <c r="AB13" i="40"/>
  <c r="AA33" i="40"/>
  <c r="S33" i="40"/>
  <c r="AB14" i="39"/>
  <c r="U14" i="39"/>
  <c r="AA43" i="39"/>
  <c r="S43" i="39"/>
  <c r="S14" i="34"/>
  <c r="AA14" i="34"/>
  <c r="AA17" i="33"/>
  <c r="S17" i="37"/>
  <c r="W39" i="34"/>
  <c r="AC39" i="34"/>
  <c r="S34" i="33"/>
  <c r="AA34" i="33"/>
  <c r="U35" i="37"/>
  <c r="AB35" i="37"/>
  <c r="AB32" i="40"/>
  <c r="U32" i="40"/>
  <c r="AA37" i="37"/>
  <c r="S37" i="37"/>
  <c r="AB24" i="35"/>
  <c r="U24" i="35"/>
  <c r="AZ508" i="3"/>
  <c r="AA14" i="40"/>
  <c r="S14" i="40"/>
  <c r="AA13" i="37"/>
  <c r="S13" i="37"/>
  <c r="U47" i="34"/>
  <c r="AB47" i="34"/>
  <c r="AA30" i="34"/>
  <c r="S30" i="34"/>
  <c r="S13" i="33"/>
  <c r="AA13" i="33"/>
  <c r="AZ535" i="3"/>
  <c r="AZ557" i="3"/>
  <c r="AZ513" i="3"/>
  <c r="AZ575" i="3"/>
  <c r="AZ540" i="3"/>
  <c r="AZ502" i="3"/>
  <c r="B97" i="43"/>
  <c r="B75" i="43"/>
  <c r="F28" i="34"/>
  <c r="J28" i="34"/>
  <c r="J36" i="35"/>
  <c r="AC36" i="35" s="1"/>
  <c r="H36" i="35"/>
  <c r="F44" i="39"/>
  <c r="AB14" i="21"/>
  <c r="S43" i="33"/>
  <c r="S32" i="33"/>
  <c r="AB16" i="35"/>
  <c r="AB14" i="36"/>
  <c r="AB19" i="40"/>
  <c r="AC5" i="3"/>
  <c r="AZ357" i="3"/>
  <c r="AZ322" i="3"/>
  <c r="AZ313" i="3"/>
  <c r="AZ394" i="3"/>
  <c r="AZ519" i="3"/>
  <c r="AZ531" i="3"/>
  <c r="AZ573" i="3"/>
  <c r="AZ583" i="3"/>
  <c r="AZ568" i="3"/>
  <c r="AZ576" i="3"/>
  <c r="S44" i="34"/>
  <c r="AA14" i="37"/>
  <c r="AA29" i="35"/>
  <c r="AC28" i="36"/>
  <c r="W28" i="36"/>
  <c r="J39" i="37"/>
  <c r="H39" i="37"/>
  <c r="AB9" i="40"/>
  <c r="U9" i="40"/>
  <c r="G582" i="3"/>
  <c r="BL550" i="3"/>
  <c r="AA27" i="35"/>
  <c r="S27" i="35"/>
  <c r="J12" i="36"/>
  <c r="F12" i="36"/>
  <c r="J24" i="36"/>
  <c r="H24" i="36"/>
  <c r="AB9" i="39"/>
  <c r="U9" i="39"/>
  <c r="AA40" i="39"/>
  <c r="S40" i="39"/>
  <c r="H39" i="40"/>
  <c r="AB38" i="40"/>
  <c r="U38" i="40"/>
  <c r="G552" i="3"/>
  <c r="U42" i="33"/>
  <c r="U29" i="35"/>
  <c r="AA22" i="36"/>
  <c r="S33" i="36"/>
  <c r="S19" i="39"/>
  <c r="U30" i="33"/>
  <c r="AA12" i="40"/>
  <c r="AZ387" i="3"/>
  <c r="AZ366" i="3"/>
  <c r="AZ362" i="3"/>
  <c r="AZ338" i="3"/>
  <c r="AZ390" i="3"/>
  <c r="AZ371" i="3"/>
  <c r="AZ351" i="3"/>
  <c r="AZ336" i="3"/>
  <c r="AZ305" i="3"/>
  <c r="AZ360" i="3"/>
  <c r="AB33" i="40"/>
  <c r="AC31" i="33"/>
  <c r="AZ539" i="3"/>
  <c r="AZ529" i="3"/>
  <c r="AZ537" i="3"/>
  <c r="AZ518" i="3"/>
  <c r="AZ546" i="3"/>
  <c r="AB45" i="33"/>
  <c r="S26" i="33"/>
  <c r="U23" i="34"/>
  <c r="AB35" i="33"/>
  <c r="U35" i="33"/>
  <c r="J12" i="33"/>
  <c r="H12" i="33"/>
  <c r="U12" i="33" s="1"/>
  <c r="U12" i="36"/>
  <c r="AB12" i="36"/>
  <c r="H34" i="36"/>
  <c r="J34" i="36"/>
  <c r="W34" i="36" s="1"/>
  <c r="AZ458"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A443" i="3"/>
  <c r="AZ443" i="3" s="1"/>
  <c r="BL445" i="3"/>
  <c r="BL446" i="3"/>
  <c r="BA449" i="3"/>
  <c r="BL455" i="3"/>
  <c r="BA460" i="3"/>
  <c r="BL467" i="3"/>
  <c r="BL468"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BL442" i="3"/>
  <c r="BA445" i="3"/>
  <c r="BA447" i="3"/>
  <c r="AZ447" i="3" s="1"/>
  <c r="BL451" i="3"/>
  <c r="AZ451" i="3" s="1"/>
  <c r="BA454" i="3"/>
  <c r="BL456" i="3"/>
  <c r="G464" i="3"/>
  <c r="BL464" i="3"/>
  <c r="BA470" i="3"/>
  <c r="BL587" i="3"/>
  <c r="AZ587" i="3" s="1"/>
  <c r="BL586" i="3"/>
  <c r="AZ586" i="3" s="1"/>
  <c r="G574" i="3"/>
  <c r="BA401" i="3"/>
  <c r="AZ401" i="3" s="1"/>
  <c r="BA403" i="3"/>
  <c r="BA404" i="3"/>
  <c r="BA405" i="3"/>
  <c r="AZ405" i="3" s="1"/>
  <c r="BL410" i="3"/>
  <c r="G412" i="3"/>
  <c r="G418" i="3"/>
  <c r="BA422" i="3"/>
  <c r="G429" i="3"/>
  <c r="BL431" i="3"/>
  <c r="G433" i="3"/>
  <c r="BL439" i="3"/>
  <c r="BA441" i="3"/>
  <c r="BL459" i="3"/>
  <c r="AZ459" i="3" s="1"/>
  <c r="AZ464" i="3"/>
  <c r="BA551" i="3"/>
  <c r="AZ551" i="3" s="1"/>
  <c r="BA550" i="3"/>
  <c r="BL548" i="3"/>
  <c r="AZ548" i="3" s="1"/>
  <c r="BL435" i="3"/>
  <c r="BL436" i="3"/>
  <c r="BL449" i="3"/>
  <c r="BL450" i="3"/>
  <c r="BL453" i="3"/>
  <c r="BL454" i="3"/>
  <c r="AZ462" i="3"/>
  <c r="AZ469" i="3"/>
  <c r="G442" i="3"/>
  <c r="G443" i="3"/>
  <c r="BA446" i="3"/>
  <c r="BA450" i="3"/>
  <c r="BA453" i="3"/>
  <c r="BA455" i="3"/>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G238" i="3"/>
  <c r="BA239" i="3"/>
  <c r="BL239" i="3"/>
  <c r="BA242" i="3"/>
  <c r="AZ242" i="3" s="1"/>
  <c r="BA245" i="3"/>
  <c r="AZ245" i="3" s="1"/>
  <c r="BA246" i="3"/>
  <c r="BA252" i="3"/>
  <c r="AZ252" i="3" s="1"/>
  <c r="BA254" i="3"/>
  <c r="AZ254" i="3" s="1"/>
  <c r="BL257" i="3"/>
  <c r="AZ257" i="3" s="1"/>
  <c r="BL258" i="3"/>
  <c r="G263" i="3"/>
  <c r="BL264" i="3"/>
  <c r="BA267" i="3"/>
  <c r="AZ267" i="3" s="1"/>
  <c r="BA269" i="3"/>
  <c r="AZ269" i="3" s="1"/>
  <c r="G276" i="3"/>
  <c r="BA301" i="3"/>
  <c r="AZ301" i="3" s="1"/>
  <c r="AZ483" i="3"/>
  <c r="BA384" i="3"/>
  <c r="AZ384" i="3" s="1"/>
  <c r="BA395" i="3"/>
  <c r="AZ395" i="3" s="1"/>
  <c r="BA208" i="3"/>
  <c r="AZ208" i="3" s="1"/>
  <c r="BL213" i="3"/>
  <c r="BL215" i="3"/>
  <c r="BA222" i="3"/>
  <c r="AZ222" i="3" s="1"/>
  <c r="BA226" i="3"/>
  <c r="BA238" i="3"/>
  <c r="AZ238" i="3" s="1"/>
  <c r="G243" i="3"/>
  <c r="BA244" i="3"/>
  <c r="BL244" i="3"/>
  <c r="BL248" i="3"/>
  <c r="AZ248" i="3" s="1"/>
  <c r="BL473" i="3"/>
  <c r="AZ473" i="3" s="1"/>
  <c r="BL474" i="3"/>
  <c r="BA482" i="3"/>
  <c r="BA484" i="3"/>
  <c r="AZ484" i="3" s="1"/>
  <c r="BA303" i="3"/>
  <c r="BA307" i="3"/>
  <c r="AZ307" i="3" s="1"/>
  <c r="BL314" i="3"/>
  <c r="AZ314" i="3" s="1"/>
  <c r="BA332" i="3"/>
  <c r="AZ332" i="3" s="1"/>
  <c r="BL332" i="3"/>
  <c r="BA367" i="3"/>
  <c r="AZ367" i="3" s="1"/>
  <c r="BA370" i="3"/>
  <c r="AZ370" i="3" s="1"/>
  <c r="BA236" i="3"/>
  <c r="BL261" i="3"/>
  <c r="BA271" i="3"/>
  <c r="BL271" i="3"/>
  <c r="G462" i="3"/>
  <c r="BA465" i="3"/>
  <c r="AZ465" i="3" s="1"/>
  <c r="BA467" i="3"/>
  <c r="BA468" i="3"/>
  <c r="BL471" i="3"/>
  <c r="BL475" i="3"/>
  <c r="BA477" i="3"/>
  <c r="BA478" i="3"/>
  <c r="AZ478" i="3" s="1"/>
  <c r="BA481" i="3"/>
  <c r="BA488" i="3"/>
  <c r="AZ488" i="3" s="1"/>
  <c r="BA491" i="3"/>
  <c r="AZ491" i="3" s="1"/>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L234" i="3"/>
  <c r="BA237" i="3"/>
  <c r="AZ237" i="3" s="1"/>
  <c r="BA240" i="3"/>
  <c r="AZ240" i="3" s="1"/>
  <c r="BA241" i="3"/>
  <c r="AZ241" i="3" s="1"/>
  <c r="BL241" i="3"/>
  <c r="BA255" i="3"/>
  <c r="BA256" i="3"/>
  <c r="BL256" i="3"/>
  <c r="BA259" i="3"/>
  <c r="AZ259" i="3" s="1"/>
  <c r="BA262" i="3"/>
  <c r="AZ262" i="3" s="1"/>
  <c r="BA265" i="3"/>
  <c r="AZ265" i="3" s="1"/>
  <c r="BL266" i="3"/>
  <c r="BA268" i="3"/>
  <c r="BL272" i="3"/>
  <c r="E66" i="71"/>
  <c r="P67" i="71"/>
  <c r="D34" i="71"/>
  <c r="C35" i="71"/>
  <c r="D88" i="71"/>
  <c r="C87" i="71"/>
  <c r="BA273" i="3"/>
  <c r="BA278" i="3"/>
  <c r="AZ278" i="3" s="1"/>
  <c r="BA280" i="3"/>
  <c r="AZ280" i="3" s="1"/>
  <c r="BL283" i="3"/>
  <c r="AZ283" i="3" s="1"/>
  <c r="BL284" i="3"/>
  <c r="G288" i="3"/>
  <c r="BL292" i="3"/>
  <c r="BA294" i="3"/>
  <c r="BL295" i="3"/>
  <c r="BA298" i="3"/>
  <c r="AZ298" i="3" s="1"/>
  <c r="BL301" i="3"/>
  <c r="BL302" i="3"/>
  <c r="BA114" i="3"/>
  <c r="BL123" i="3"/>
  <c r="AZ123" i="3" s="1"/>
  <c r="BA128" i="3"/>
  <c r="AZ128" i="3" s="1"/>
  <c r="BA137" i="3"/>
  <c r="BL139" i="3"/>
  <c r="AZ139" i="3" s="1"/>
  <c r="BL141" i="3"/>
  <c r="BL143" i="3"/>
  <c r="AZ143" i="3" s="1"/>
  <c r="B13" i="1"/>
  <c r="E13" i="1" s="1"/>
  <c r="K13" i="1"/>
  <c r="M13" i="1" s="1"/>
  <c r="O13" i="1" s="1"/>
  <c r="P13" i="1" s="1"/>
  <c r="AB21" i="34"/>
  <c r="U21" i="34"/>
  <c r="T28" i="71"/>
  <c r="D28" i="71"/>
  <c r="U28" i="71" s="1"/>
  <c r="C27" i="71"/>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AZ263" i="3" s="1"/>
  <c r="G264" i="3"/>
  <c r="BL270" i="3"/>
  <c r="AZ270" i="3" s="1"/>
  <c r="BA272" i="3"/>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5" i="3"/>
  <c r="G152" i="3"/>
  <c r="BA153" i="3"/>
  <c r="BL157" i="3"/>
  <c r="AZ157" i="3" s="1"/>
  <c r="BL159" i="3"/>
  <c r="AZ159" i="3" s="1"/>
  <c r="BL169" i="3"/>
  <c r="BL170" i="3"/>
  <c r="G171" i="3"/>
  <c r="BA177" i="3"/>
  <c r="AZ177" i="3" s="1"/>
  <c r="G190" i="3"/>
  <c r="BL198" i="3"/>
  <c r="G18" i="3"/>
  <c r="B38" i="71"/>
  <c r="B39" i="71" s="1"/>
  <c r="B40" i="71" s="1"/>
  <c r="S40" i="71" s="1"/>
  <c r="X35" i="71"/>
  <c r="X25" i="71"/>
  <c r="AB38" i="71"/>
  <c r="AB35" i="71"/>
  <c r="BL273" i="3"/>
  <c r="G274" i="3"/>
  <c r="BA277" i="3"/>
  <c r="BL277" i="3"/>
  <c r="BA282" i="3"/>
  <c r="BL282" i="3"/>
  <c r="BA284" i="3"/>
  <c r="BL290" i="3"/>
  <c r="BL291" i="3"/>
  <c r="AZ291" i="3" s="1"/>
  <c r="BL293" i="3"/>
  <c r="AZ293" i="3" s="1"/>
  <c r="BL294" i="3"/>
  <c r="BA297" i="3"/>
  <c r="BL297" i="3"/>
  <c r="BL300" i="3"/>
  <c r="BA302" i="3"/>
  <c r="G115" i="3"/>
  <c r="BA117" i="3"/>
  <c r="BA130" i="3"/>
  <c r="AZ130" i="3" s="1"/>
  <c r="BL130" i="3"/>
  <c r="G138" i="3"/>
  <c r="BA144" i="3"/>
  <c r="AZ144" i="3" s="1"/>
  <c r="BL149" i="3"/>
  <c r="AZ149" i="3" s="1"/>
  <c r="BL150" i="3"/>
  <c r="G151" i="3"/>
  <c r="BA152" i="3"/>
  <c r="AZ152" i="3" s="1"/>
  <c r="BA154" i="3"/>
  <c r="AZ154" i="3" s="1"/>
  <c r="BL166" i="3"/>
  <c r="BL173" i="3"/>
  <c r="G26" i="3"/>
  <c r="BL35" i="3"/>
  <c r="BA65" i="3"/>
  <c r="BA70" i="3"/>
  <c r="D46" i="7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BL71" i="3"/>
  <c r="AZ71" i="3" s="1"/>
  <c r="BL72" i="3"/>
  <c r="AZ72" i="3" s="1"/>
  <c r="G74" i="3"/>
  <c r="G75" i="3"/>
  <c r="BL75" i="3"/>
  <c r="BA80" i="3"/>
  <c r="BL84" i="3"/>
  <c r="W21" i="37"/>
  <c r="AC21" i="37"/>
  <c r="O65" i="71"/>
  <c r="D66" i="71"/>
  <c r="O66" i="71"/>
  <c r="C40" i="71"/>
  <c r="D39" i="71"/>
  <c r="C31" i="71"/>
  <c r="D30" i="71"/>
  <c r="AB32" i="71"/>
  <c r="AB27" i="71"/>
  <c r="E34" i="71"/>
  <c r="E35" i="71" s="1"/>
  <c r="E36" i="71" s="1"/>
  <c r="U36" i="71" s="1"/>
  <c r="AA30" i="71"/>
  <c r="AA3" i="71"/>
  <c r="D50" i="71"/>
  <c r="C51" i="71"/>
  <c r="BL155" i="3"/>
  <c r="AZ155" i="3" s="1"/>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BA38" i="3"/>
  <c r="BA41" i="3"/>
  <c r="BA42" i="3"/>
  <c r="BL48" i="3"/>
  <c r="BL54" i="3"/>
  <c r="BL55" i="3"/>
  <c r="AZ55" i="3" s="1"/>
  <c r="BA59" i="3"/>
  <c r="BL61" i="3"/>
  <c r="BA64" i="3"/>
  <c r="AZ64" i="3" s="1"/>
  <c r="BL68" i="3"/>
  <c r="BA69" i="3"/>
  <c r="AZ69" i="3" s="1"/>
  <c r="BL73" i="3"/>
  <c r="BA74" i="3"/>
  <c r="AZ74" i="3" s="1"/>
  <c r="BA75" i="3"/>
  <c r="AZ75" i="3" s="1"/>
  <c r="BL86" i="3"/>
  <c r="BA88" i="3"/>
  <c r="BL96" i="3"/>
  <c r="S18" i="35"/>
  <c r="AA18" i="35"/>
  <c r="C70" i="71"/>
  <c r="D70" i="71" s="1"/>
  <c r="D71" i="71"/>
  <c r="B28" i="71"/>
  <c r="X26" i="71"/>
  <c r="Y27" i="71"/>
  <c r="Z27" i="71" s="1"/>
  <c r="Y29" i="71"/>
  <c r="Z29" i="71" s="1"/>
  <c r="X28" i="71"/>
  <c r="X31" i="71"/>
  <c r="X32" i="71"/>
  <c r="AB34" i="71"/>
  <c r="D42" i="71"/>
  <c r="C43" i="71"/>
  <c r="F66" i="71"/>
  <c r="Q66" i="71" s="1"/>
  <c r="Q67" i="71"/>
  <c r="P68" i="71"/>
  <c r="U68" i="71"/>
  <c r="V72" i="71"/>
  <c r="F71" i="71"/>
  <c r="F70" i="71" s="1"/>
  <c r="F79" i="71"/>
  <c r="F78" i="71" s="1"/>
  <c r="V80" i="71"/>
  <c r="BA173" i="3"/>
  <c r="AZ173" i="3" s="1"/>
  <c r="BA174" i="3"/>
  <c r="BL179" i="3"/>
  <c r="AZ179" i="3" s="1"/>
  <c r="G180" i="3"/>
  <c r="BA181" i="3"/>
  <c r="AZ181" i="3" s="1"/>
  <c r="BA182" i="3"/>
  <c r="BL185" i="3"/>
  <c r="G186" i="3"/>
  <c r="G187" i="3"/>
  <c r="BL193" i="3"/>
  <c r="G194" i="3"/>
  <c r="BL194" i="3"/>
  <c r="AZ194" i="3" s="1"/>
  <c r="BA198" i="3"/>
  <c r="G204" i="3"/>
  <c r="BL206" i="3"/>
  <c r="BA19" i="3"/>
  <c r="G22" i="3"/>
  <c r="G24" i="3"/>
  <c r="G25" i="3"/>
  <c r="BA27" i="3"/>
  <c r="G30" i="3"/>
  <c r="BL30" i="3"/>
  <c r="AZ30" i="3" s="1"/>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AZ68" i="3" s="1"/>
  <c r="BA73" i="3"/>
  <c r="AZ73" i="3" s="1"/>
  <c r="BL79" i="3"/>
  <c r="BA92" i="3"/>
  <c r="G95" i="3"/>
  <c r="AC18" i="35"/>
  <c r="W18" i="35"/>
  <c r="AC18" i="36"/>
  <c r="W18" i="36"/>
  <c r="AB25" i="40"/>
  <c r="U25" i="40"/>
  <c r="B100" i="43"/>
  <c r="B57" i="43"/>
  <c r="B68" i="43"/>
  <c r="B77" i="43"/>
  <c r="C60" i="71"/>
  <c r="C82" i="71"/>
  <c r="D82" i="71" s="1"/>
  <c r="AB26" i="71"/>
  <c r="D75" i="71"/>
  <c r="C74" i="71"/>
  <c r="D74" i="71" s="1"/>
  <c r="Y28" i="71"/>
  <c r="Z28" i="71" s="1"/>
  <c r="Y26" i="71"/>
  <c r="Z26" i="71" s="1"/>
  <c r="X34" i="71"/>
  <c r="X36" i="71"/>
  <c r="C55" i="71"/>
  <c r="D54" i="71"/>
  <c r="C63" i="71"/>
  <c r="D62" i="71"/>
  <c r="B71" i="71"/>
  <c r="B70" i="71" s="1"/>
  <c r="S72" i="71"/>
  <c r="V24" i="71"/>
  <c r="E23" i="71"/>
  <c r="E22" i="71" s="1"/>
  <c r="E21" i="71" s="1"/>
  <c r="E20" i="71" s="1"/>
  <c r="E19" i="71" s="1"/>
  <c r="E18" i="71" s="1"/>
  <c r="E17" i="71" s="1"/>
  <c r="E16" i="71" s="1"/>
  <c r="BL85" i="3"/>
  <c r="BA86" i="3"/>
  <c r="AZ86" i="3" s="1"/>
  <c r="BA87" i="3"/>
  <c r="BA91" i="3"/>
  <c r="AZ91" i="3" s="1"/>
  <c r="G96" i="3"/>
  <c r="BL97" i="3"/>
  <c r="AZ97" i="3" s="1"/>
  <c r="BL101" i="3"/>
  <c r="BL102" i="3"/>
  <c r="G104" i="3"/>
  <c r="G105" i="3"/>
  <c r="BL106" i="3"/>
  <c r="BA108" i="3"/>
  <c r="AZ108" i="3" s="1"/>
  <c r="BA110" i="3"/>
  <c r="AZ110" i="3" s="1"/>
  <c r="F3" i="35"/>
  <c r="S21" i="37"/>
  <c r="AA28" i="71"/>
  <c r="AB25" i="71"/>
  <c r="Y25" i="71"/>
  <c r="Z25" i="71" s="1"/>
  <c r="X33" i="71"/>
  <c r="AB37" i="71"/>
  <c r="BL77" i="3"/>
  <c r="AZ77" i="3" s="1"/>
  <c r="BA79" i="3"/>
  <c r="AZ79" i="3" s="1"/>
  <c r="G82" i="3"/>
  <c r="G83" i="3"/>
  <c r="BA84" i="3"/>
  <c r="AZ84" i="3" s="1"/>
  <c r="BL88" i="3"/>
  <c r="G90" i="3"/>
  <c r="BL90" i="3"/>
  <c r="BL92" i="3"/>
  <c r="G101" i="3"/>
  <c r="BA101" i="3"/>
  <c r="AZ101" i="3" s="1"/>
  <c r="G108" i="3"/>
  <c r="G109" i="3"/>
  <c r="BL112" i="3"/>
  <c r="AB21" i="33"/>
  <c r="S21" i="34"/>
  <c r="B88" i="43"/>
  <c r="AA34" i="71"/>
  <c r="B51" i="71"/>
  <c r="B52" i="71" s="1"/>
  <c r="S52" i="71" s="1"/>
  <c r="BL81" i="3"/>
  <c r="BA82" i="3"/>
  <c r="AZ82" i="3" s="1"/>
  <c r="BL83" i="3"/>
  <c r="G86" i="3"/>
  <c r="G87" i="3"/>
  <c r="BA90" i="3"/>
  <c r="BL94" i="3"/>
  <c r="AZ94" i="3" s="1"/>
  <c r="BA100" i="3"/>
  <c r="AZ100" i="3" s="1"/>
  <c r="BA102" i="3"/>
  <c r="AZ102" i="3" s="1"/>
  <c r="BL105" i="3"/>
  <c r="AZ105" i="3" s="1"/>
  <c r="BL107" i="3"/>
  <c r="BA111" i="3"/>
  <c r="AZ111" i="3" s="1"/>
  <c r="AB28" i="7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48" i="3"/>
  <c r="AZ106" i="3"/>
  <c r="G200" i="3"/>
  <c r="G207" i="3"/>
  <c r="BA23" i="3"/>
  <c r="AZ23" i="3" s="1"/>
  <c r="BA24" i="3"/>
  <c r="AZ24" i="3" s="1"/>
  <c r="BL26" i="3"/>
  <c r="BL32" i="3"/>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D9" i="68"/>
  <c r="M22" i="67"/>
  <c r="F40" i="15"/>
  <c r="D5" i="73"/>
  <c r="M29" i="15"/>
  <c r="F26" i="67"/>
  <c r="F6" i="67"/>
  <c r="M23" i="67"/>
  <c r="D3" i="73"/>
  <c r="F36" i="15"/>
  <c r="F7" i="67"/>
  <c r="L48" i="67"/>
  <c r="F13" i="15"/>
  <c r="L47" i="67"/>
  <c r="M6" i="15"/>
  <c r="F26" i="15"/>
  <c r="F7" i="15"/>
  <c r="D7" i="73"/>
  <c r="M8" i="67"/>
  <c r="M24" i="67"/>
  <c r="C76" i="67"/>
  <c r="F9" i="15"/>
  <c r="F37" i="67"/>
  <c r="F8" i="15"/>
  <c r="J15" i="15"/>
  <c r="F37" i="15"/>
  <c r="M23" i="15"/>
  <c r="F16" i="15"/>
  <c r="F16" i="67"/>
  <c r="M28" i="15"/>
  <c r="F42" i="15"/>
  <c r="F13" i="67"/>
  <c r="M8" i="15"/>
  <c r="F6" i="15"/>
  <c r="F8" i="67"/>
  <c r="F42" i="67"/>
  <c r="L48" i="15"/>
  <c r="L47" i="15"/>
  <c r="F38" i="67"/>
  <c r="M26" i="15"/>
  <c r="F43" i="67"/>
  <c r="C76" i="15"/>
  <c r="F43" i="15"/>
  <c r="F40" i="67"/>
  <c r="M26" i="67"/>
  <c r="M28" i="67"/>
  <c r="M9" i="67"/>
  <c r="M29" i="67"/>
  <c r="M24" i="15"/>
  <c r="F9" i="67"/>
  <c r="F36" i="67"/>
  <c r="D4" i="73"/>
  <c r="M6" i="67"/>
  <c r="M22" i="15"/>
  <c r="M9" i="15"/>
  <c r="J15" i="67"/>
  <c r="F38" i="15"/>
  <c r="AB27" i="34" l="1"/>
  <c r="G88" i="34"/>
  <c r="H88" i="34" s="1"/>
  <c r="I88" i="34" s="1"/>
  <c r="J88" i="34" s="1"/>
  <c r="K88" i="34" s="1"/>
  <c r="L88" i="34" s="1"/>
  <c r="M88" i="34" s="1"/>
  <c r="J25" i="34"/>
  <c r="AB37" i="34"/>
  <c r="S43" i="34"/>
  <c r="W27" i="34"/>
  <c r="U43" i="34"/>
  <c r="S15" i="34"/>
  <c r="AB17" i="34"/>
  <c r="AB17" i="33"/>
  <c r="C22" i="71"/>
  <c r="D23" i="71"/>
  <c r="F34" i="34"/>
  <c r="J34" i="34"/>
  <c r="H34" i="34"/>
  <c r="AZ400" i="3"/>
  <c r="N65" i="71"/>
  <c r="N66" i="71"/>
  <c r="AC23" i="36"/>
  <c r="W23" i="36"/>
  <c r="AC27" i="37"/>
  <c r="W27" i="37"/>
  <c r="AC13" i="35"/>
  <c r="W13" i="35"/>
  <c r="AC29" i="21"/>
  <c r="W29" i="21"/>
  <c r="AZ300" i="3"/>
  <c r="AZ92" i="3"/>
  <c r="AZ198" i="3"/>
  <c r="AZ166" i="3"/>
  <c r="AZ272" i="3"/>
  <c r="AZ251" i="3"/>
  <c r="AZ247" i="3"/>
  <c r="AZ294" i="3"/>
  <c r="AZ271" i="3"/>
  <c r="AZ244" i="3"/>
  <c r="AZ550" i="3"/>
  <c r="AZ403" i="3"/>
  <c r="S38" i="33"/>
  <c r="C33" i="33"/>
  <c r="K6" i="1"/>
  <c r="Q16" i="1" s="1"/>
  <c r="F27" i="69" s="1"/>
  <c r="F45" i="69" s="1"/>
  <c r="AZ448" i="3"/>
  <c r="K7" i="1"/>
  <c r="M7" i="1" s="1"/>
  <c r="O7" i="1" s="1"/>
  <c r="P7" i="1" s="1"/>
  <c r="B24" i="31"/>
  <c r="B22" i="31" s="1"/>
  <c r="B14" i="74" s="1"/>
  <c r="AZ286" i="3"/>
  <c r="S12" i="39"/>
  <c r="AA12" i="39"/>
  <c r="AB23" i="36"/>
  <c r="U23" i="36"/>
  <c r="S29" i="34"/>
  <c r="AA29" i="34"/>
  <c r="AC30" i="21"/>
  <c r="W30" i="21"/>
  <c r="AZ96" i="3"/>
  <c r="AZ26" i="3"/>
  <c r="AZ174" i="3"/>
  <c r="AZ299" i="3"/>
  <c r="AZ285" i="3"/>
  <c r="AZ297" i="3"/>
  <c r="AZ239" i="3"/>
  <c r="AZ353" i="3"/>
  <c r="AZ455" i="3"/>
  <c r="AZ454" i="3"/>
  <c r="U23" i="35"/>
  <c r="AB23" i="35"/>
  <c r="W29" i="34"/>
  <c r="AC29" i="34"/>
  <c r="S30" i="21"/>
  <c r="AA30" i="21"/>
  <c r="AZ38" i="3"/>
  <c r="AZ65" i="3"/>
  <c r="AZ284" i="3"/>
  <c r="AZ460" i="3"/>
  <c r="AZ186" i="3"/>
  <c r="B19" i="71"/>
  <c r="B18" i="71" s="1"/>
  <c r="B17" i="71" s="1"/>
  <c r="B16" i="71" s="1"/>
  <c r="S20" i="71"/>
  <c r="AZ201" i="3"/>
  <c r="C25" i="31"/>
  <c r="W13" i="40"/>
  <c r="AC13" i="40"/>
  <c r="U13" i="35"/>
  <c r="AB13" i="35"/>
  <c r="AA30" i="33"/>
  <c r="S30" i="33"/>
  <c r="C26" i="31"/>
  <c r="U29" i="21"/>
  <c r="AB29" i="21"/>
  <c r="AC36" i="34"/>
  <c r="AA36" i="34"/>
  <c r="AA37" i="34"/>
  <c r="S37" i="34"/>
  <c r="AA33" i="34"/>
  <c r="AC15" i="34"/>
  <c r="AB38" i="33"/>
  <c r="U38" i="33"/>
  <c r="S36" i="33"/>
  <c r="E26" i="43"/>
  <c r="L56" i="67"/>
  <c r="I54" i="67"/>
  <c r="J53" i="67"/>
  <c r="Q52" i="67" s="1"/>
  <c r="J57" i="67"/>
  <c r="J55" i="67" s="1"/>
  <c r="J58" i="67" s="1"/>
  <c r="Q50" i="67" s="1"/>
  <c r="M59" i="67"/>
  <c r="N59" i="67"/>
  <c r="L59" i="67"/>
  <c r="Q74" i="67" s="1"/>
  <c r="L58" i="67"/>
  <c r="Q60" i="67" s="1"/>
  <c r="C27" i="67"/>
  <c r="F51" i="67"/>
  <c r="F71" i="67"/>
  <c r="F65" i="67"/>
  <c r="F66" i="67"/>
  <c r="M7" i="67"/>
  <c r="J6" i="67" s="1"/>
  <c r="J18" i="67" s="1"/>
  <c r="F50" i="67"/>
  <c r="C6" i="67"/>
  <c r="C32" i="67" s="1"/>
  <c r="F68" i="67"/>
  <c r="Q71" i="67"/>
  <c r="F64" i="67"/>
  <c r="N94" i="46"/>
  <c r="N370" i="46"/>
  <c r="F64" i="15"/>
  <c r="F71" i="15"/>
  <c r="L59" i="15"/>
  <c r="Q74" i="15" s="1"/>
  <c r="N59" i="15"/>
  <c r="L58" i="15"/>
  <c r="Q60" i="15" s="1"/>
  <c r="M59" i="15"/>
  <c r="M7" i="15"/>
  <c r="J6" i="15" s="1"/>
  <c r="J18" i="15" s="1"/>
  <c r="F50" i="15"/>
  <c r="F51" i="15"/>
  <c r="J57" i="15"/>
  <c r="J55" i="15" s="1"/>
  <c r="J58" i="15" s="1"/>
  <c r="Q50" i="15" s="1"/>
  <c r="I54" i="15"/>
  <c r="J53" i="15"/>
  <c r="L56" i="15" s="1"/>
  <c r="F65" i="15"/>
  <c r="F68" i="15"/>
  <c r="Q71" i="15"/>
  <c r="C27" i="15"/>
  <c r="F66" i="15"/>
  <c r="C6" i="15"/>
  <c r="C32" i="15" s="1"/>
  <c r="J26" i="43"/>
  <c r="H26" i="43"/>
  <c r="P6" i="1"/>
  <c r="C13" i="12" s="1"/>
  <c r="G26" i="43"/>
  <c r="E28" i="6"/>
  <c r="K14" i="1" s="1"/>
  <c r="K16" i="1" s="1"/>
  <c r="E59" i="40"/>
  <c r="J7" i="36"/>
  <c r="AC7" i="36" s="1"/>
  <c r="V36" i="36" s="1"/>
  <c r="I36" i="36" s="1"/>
  <c r="D60" i="71"/>
  <c r="T60" i="71"/>
  <c r="AZ88" i="3"/>
  <c r="AZ25" i="3"/>
  <c r="C26" i="71"/>
  <c r="D26" i="71" s="1"/>
  <c r="D27" i="71"/>
  <c r="C36" i="71"/>
  <c r="D35" i="71"/>
  <c r="AC24" i="36"/>
  <c r="W24" i="36"/>
  <c r="W28" i="34"/>
  <c r="AC28" i="34"/>
  <c r="AZ83" i="3"/>
  <c r="C64" i="71"/>
  <c r="D63" i="71"/>
  <c r="AZ19" i="3"/>
  <c r="D43" i="71"/>
  <c r="C44" i="71"/>
  <c r="AZ59" i="3"/>
  <c r="AZ31" i="3"/>
  <c r="AZ20" i="3"/>
  <c r="T40" i="71"/>
  <c r="D40" i="71"/>
  <c r="AZ70" i="3"/>
  <c r="AZ282" i="3"/>
  <c r="AZ118" i="3"/>
  <c r="AZ273" i="3"/>
  <c r="AZ256" i="3"/>
  <c r="AZ210" i="3"/>
  <c r="AZ453" i="3"/>
  <c r="AZ441" i="3"/>
  <c r="AA12" i="36"/>
  <c r="S12" i="36"/>
  <c r="AB39" i="37"/>
  <c r="U39" i="37"/>
  <c r="AA44" i="39"/>
  <c r="S44" i="39"/>
  <c r="AA28" i="34"/>
  <c r="S28" i="34"/>
  <c r="B27" i="71"/>
  <c r="B26" i="71" s="1"/>
  <c r="S28" i="71"/>
  <c r="AZ41" i="3"/>
  <c r="AZ137" i="3"/>
  <c r="C86" i="71"/>
  <c r="D86" i="71" s="1"/>
  <c r="D87" i="71"/>
  <c r="AZ471" i="3"/>
  <c r="AZ422" i="3"/>
  <c r="AZ435" i="3"/>
  <c r="U34" i="36"/>
  <c r="AB34" i="36"/>
  <c r="W12" i="33"/>
  <c r="AC12" i="33"/>
  <c r="U39" i="40"/>
  <c r="AB39" i="40"/>
  <c r="AC12" i="36"/>
  <c r="W12" i="36"/>
  <c r="AC39" i="37"/>
  <c r="W39" i="37"/>
  <c r="AB36" i="35"/>
  <c r="U36" i="35"/>
  <c r="AZ112" i="3"/>
  <c r="G5" i="3"/>
  <c r="B3" i="3" s="1"/>
  <c r="E160" i="3" s="1"/>
  <c r="AZ32" i="3"/>
  <c r="AZ253" i="3"/>
  <c r="C56" i="71"/>
  <c r="D55" i="71"/>
  <c r="AZ182" i="3"/>
  <c r="AZ27" i="3"/>
  <c r="AZ178" i="3"/>
  <c r="AZ169" i="3"/>
  <c r="C52" i="71"/>
  <c r="D51" i="71"/>
  <c r="D31" i="71"/>
  <c r="C32" i="71"/>
  <c r="AZ302" i="3"/>
  <c r="AZ277" i="3"/>
  <c r="P65" i="71"/>
  <c r="P66" i="71"/>
  <c r="AZ397" i="3"/>
  <c r="AZ404" i="3"/>
  <c r="AB24" i="36"/>
  <c r="U24" i="36"/>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AA7" i="36"/>
  <c r="R36" i="36" s="1"/>
  <c r="AC7" i="37"/>
  <c r="W7" i="37"/>
  <c r="U7" i="36"/>
  <c r="F7" i="33"/>
  <c r="E58" i="21"/>
  <c r="W7" i="36"/>
  <c r="F7" i="37"/>
  <c r="M17" i="67"/>
  <c r="M17" i="15"/>
  <c r="F59" i="15"/>
  <c r="P28" i="43"/>
  <c r="B66" i="40" s="1"/>
  <c r="P25" i="43"/>
  <c r="P29" i="43"/>
  <c r="P27" i="43"/>
  <c r="B70" i="39" s="1"/>
  <c r="C32" i="9"/>
  <c r="M11" i="67"/>
  <c r="J10" i="67" s="1"/>
  <c r="F11" i="15"/>
  <c r="M11" i="15"/>
  <c r="J10" i="15" s="1"/>
  <c r="F11" i="67"/>
  <c r="AE11" i="1"/>
  <c r="AE6" i="1"/>
  <c r="AE9" i="1"/>
  <c r="AE7" i="1"/>
  <c r="AE8" i="1"/>
  <c r="AE12" i="1"/>
  <c r="AE10" i="1"/>
  <c r="C16" i="67"/>
  <c r="C16" i="15"/>
  <c r="F41" i="67"/>
  <c r="G1" i="73"/>
  <c r="D26" i="43" l="1"/>
  <c r="C25" i="43" s="1"/>
  <c r="H16" i="1"/>
  <c r="G16" i="1"/>
  <c r="F10" i="39" s="1"/>
  <c r="AA10" i="39" s="1"/>
  <c r="AC25" i="34"/>
  <c r="W25" i="34"/>
  <c r="AP6" i="1"/>
  <c r="C36" i="69" s="1"/>
  <c r="M6" i="1"/>
  <c r="O6" i="1" s="1"/>
  <c r="AC34" i="34"/>
  <c r="W34" i="34"/>
  <c r="J33" i="33"/>
  <c r="H33" i="33"/>
  <c r="F33" i="33"/>
  <c r="AA34" i="34"/>
  <c r="S34" i="34"/>
  <c r="F67" i="39"/>
  <c r="G67" i="39" s="1"/>
  <c r="AB34" i="34"/>
  <c r="T49" i="34" s="1"/>
  <c r="G49" i="34" s="1"/>
  <c r="U34" i="34"/>
  <c r="C21" i="71"/>
  <c r="D22" i="71"/>
  <c r="J5" i="67"/>
  <c r="J24" i="67" s="1"/>
  <c r="Q73" i="15"/>
  <c r="F1" i="67"/>
  <c r="Q61" i="67"/>
  <c r="C49" i="67"/>
  <c r="F1" i="15"/>
  <c r="C29" i="69"/>
  <c r="D27" i="69" s="1"/>
  <c r="C47" i="69"/>
  <c r="D45" i="69" s="1"/>
  <c r="E369" i="3"/>
  <c r="E89" i="3"/>
  <c r="E139" i="3"/>
  <c r="E94" i="3"/>
  <c r="E219" i="3"/>
  <c r="E423" i="3"/>
  <c r="E472" i="3"/>
  <c r="M6" i="3"/>
  <c r="E350" i="3"/>
  <c r="E377" i="3"/>
  <c r="F27" i="68"/>
  <c r="F45" i="68" s="1"/>
  <c r="Q61" i="15"/>
  <c r="Q73" i="67"/>
  <c r="C49" i="15"/>
  <c r="J5" i="15"/>
  <c r="J24" i="15" s="1"/>
  <c r="F27" i="11"/>
  <c r="C29" i="11" s="1"/>
  <c r="D27" i="11" s="1"/>
  <c r="Q52" i="15"/>
  <c r="F10" i="40"/>
  <c r="S10" i="40" s="1"/>
  <c r="F28" i="12"/>
  <c r="C29" i="12" s="1"/>
  <c r="D28" i="12" s="1"/>
  <c r="M14" i="1"/>
  <c r="O14" i="1" s="1"/>
  <c r="O16" i="1" s="1"/>
  <c r="E119" i="3"/>
  <c r="E563" i="3"/>
  <c r="E509" i="3"/>
  <c r="E557" i="3"/>
  <c r="E146" i="3"/>
  <c r="E181" i="3"/>
  <c r="E528" i="3"/>
  <c r="E388" i="3"/>
  <c r="AS6" i="3"/>
  <c r="E150" i="3"/>
  <c r="E314" i="3"/>
  <c r="E395" i="3"/>
  <c r="E516" i="3"/>
  <c r="E444" i="3"/>
  <c r="E256" i="3"/>
  <c r="E128" i="3"/>
  <c r="E565" i="3"/>
  <c r="O6" i="3"/>
  <c r="E403" i="3"/>
  <c r="E459" i="3"/>
  <c r="AQ6" i="3"/>
  <c r="E142" i="3"/>
  <c r="AY6" i="3"/>
  <c r="E378" i="3"/>
  <c r="E248" i="3"/>
  <c r="E131" i="3"/>
  <c r="X6" i="3"/>
  <c r="E215" i="3"/>
  <c r="E526" i="3"/>
  <c r="AO6" i="3"/>
  <c r="E577" i="3"/>
  <c r="E399" i="3"/>
  <c r="E231" i="3"/>
  <c r="E530" i="3"/>
  <c r="E478" i="3"/>
  <c r="E450" i="3"/>
  <c r="E583" i="3"/>
  <c r="E230" i="3"/>
  <c r="E553" i="3"/>
  <c r="P6" i="3"/>
  <c r="E496" i="3"/>
  <c r="AA6" i="3"/>
  <c r="E298" i="3"/>
  <c r="E501" i="3"/>
  <c r="E548" i="3"/>
  <c r="E375" i="3"/>
  <c r="J6" i="3"/>
  <c r="E561" i="3"/>
  <c r="E384" i="3"/>
  <c r="E271" i="3"/>
  <c r="E527" i="3"/>
  <c r="E578" i="3"/>
  <c r="V6" i="3"/>
  <c r="E30" i="3"/>
  <c r="E164" i="3"/>
  <c r="E424" i="3"/>
  <c r="E402" i="3"/>
  <c r="E506" i="3"/>
  <c r="AM6" i="3"/>
  <c r="E208" i="3"/>
  <c r="E520" i="3"/>
  <c r="E115" i="3"/>
  <c r="E118" i="3"/>
  <c r="E240" i="3"/>
  <c r="E242" i="3"/>
  <c r="E161" i="3"/>
  <c r="E201" i="3"/>
  <c r="E70" i="3"/>
  <c r="E362" i="3"/>
  <c r="E277" i="3"/>
  <c r="E180" i="3"/>
  <c r="E143" i="3"/>
  <c r="E162" i="3"/>
  <c r="E31" i="3"/>
  <c r="E193" i="3"/>
  <c r="E290" i="3"/>
  <c r="E151" i="3"/>
  <c r="E166" i="3"/>
  <c r="E32" i="3"/>
  <c r="E330" i="3"/>
  <c r="E221" i="3"/>
  <c r="E97" i="3"/>
  <c r="E126" i="3"/>
  <c r="E352" i="3"/>
  <c r="E90" i="3"/>
  <c r="E510" i="3"/>
  <c r="E309" i="3"/>
  <c r="E35" i="3"/>
  <c r="E178" i="3"/>
  <c r="E364" i="3"/>
  <c r="E521" i="3"/>
  <c r="E138" i="3"/>
  <c r="E341" i="3"/>
  <c r="E154" i="3"/>
  <c r="E313" i="3"/>
  <c r="E93"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06" i="3"/>
  <c r="E188" i="3"/>
  <c r="E60" i="3"/>
  <c r="E265" i="3"/>
  <c r="E250" i="3"/>
  <c r="E284" i="3"/>
  <c r="E39" i="3"/>
  <c r="E504" i="3"/>
  <c r="E438" i="3"/>
  <c r="E145"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449" i="3"/>
  <c r="E512" i="3"/>
  <c r="E427" i="3"/>
  <c r="E170" i="3"/>
  <c r="E552" i="3"/>
  <c r="E312" i="3"/>
  <c r="E464" i="3"/>
  <c r="E66" i="3"/>
  <c r="E82" i="3"/>
  <c r="E471"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07" i="3"/>
  <c r="E14" i="3"/>
  <c r="E168" i="3"/>
  <c r="E537" i="3"/>
  <c r="E474" i="3"/>
  <c r="E224" i="3"/>
  <c r="E136" i="3"/>
  <c r="E127" i="3"/>
  <c r="E187" i="3"/>
  <c r="E87" i="3"/>
  <c r="AD6" i="3"/>
  <c r="E163" i="3"/>
  <c r="E374" i="3"/>
  <c r="E584" i="3"/>
  <c r="E297" i="3"/>
  <c r="E149" i="3"/>
  <c r="E48" i="3"/>
  <c r="E446" i="3"/>
  <c r="E500" i="3"/>
  <c r="E244" i="3"/>
  <c r="E24" i="3"/>
  <c r="E58" i="3"/>
  <c r="E460" i="3"/>
  <c r="E165" i="3"/>
  <c r="E218" i="3"/>
  <c r="E289" i="3"/>
  <c r="E325" i="3"/>
  <c r="E79" i="3"/>
  <c r="E372" i="3"/>
  <c r="E25" i="3"/>
  <c r="E376" i="3"/>
  <c r="E564" i="3"/>
  <c r="E329" i="3"/>
  <c r="E220" i="3"/>
  <c r="E26" i="3"/>
  <c r="T6" i="3"/>
  <c r="E235" i="3"/>
  <c r="E68" i="3"/>
  <c r="E409" i="3"/>
  <c r="E575" i="3"/>
  <c r="U6" i="3"/>
  <c r="E196" i="3"/>
  <c r="E357" i="3"/>
  <c r="E54" i="3"/>
  <c r="W6" i="3"/>
  <c r="E529" i="3"/>
  <c r="E157" i="3"/>
  <c r="E461" i="3"/>
  <c r="E307" i="3"/>
  <c r="E413" i="3"/>
  <c r="E195" i="3"/>
  <c r="E179" i="3"/>
  <c r="E462" i="3"/>
  <c r="E542" i="3"/>
  <c r="E266" i="3"/>
  <c r="E436" i="3"/>
  <c r="E323" i="3"/>
  <c r="E354" i="3"/>
  <c r="E110" i="3"/>
  <c r="E416" i="3"/>
  <c r="E222" i="3"/>
  <c r="E386" i="3"/>
  <c r="E348" i="3"/>
  <c r="E566" i="3"/>
  <c r="E101" i="3"/>
  <c r="E176" i="3"/>
  <c r="E123" i="3"/>
  <c r="E299" i="3"/>
  <c r="E15" i="3"/>
  <c r="E346" i="3"/>
  <c r="E463" i="3"/>
  <c r="E440" i="3"/>
  <c r="E393" i="3"/>
  <c r="E158" i="3"/>
  <c r="E412" i="3"/>
  <c r="E470" i="3"/>
  <c r="E197" i="3"/>
  <c r="E482" i="3"/>
  <c r="E33" i="3"/>
  <c r="E241" i="3"/>
  <c r="E379" i="3"/>
  <c r="E397" i="3"/>
  <c r="E257" i="3"/>
  <c r="E475" i="3"/>
  <c r="E288" i="3"/>
  <c r="E532" i="3"/>
  <c r="E306" i="3"/>
  <c r="E122" i="3"/>
  <c r="E98" i="3"/>
  <c r="E167" i="3"/>
  <c r="E488" i="3"/>
  <c r="Y6" i="3"/>
  <c r="E259" i="3"/>
  <c r="E373" i="3"/>
  <c r="E47" i="3"/>
  <c r="E582" i="3"/>
  <c r="E19" i="3"/>
  <c r="E209" i="3"/>
  <c r="E57" i="3"/>
  <c r="E421" i="3"/>
  <c r="E51" i="3"/>
  <c r="E65" i="3"/>
  <c r="E155" i="3"/>
  <c r="E398" i="3"/>
  <c r="E524" i="3"/>
  <c r="E20" i="3"/>
  <c r="E36" i="3"/>
  <c r="E194" i="3"/>
  <c r="E540" i="3"/>
  <c r="E226" i="3"/>
  <c r="E419" i="3"/>
  <c r="E507" i="3"/>
  <c r="E116" i="3"/>
  <c r="E232" i="3"/>
  <c r="E356" i="3"/>
  <c r="E556" i="3"/>
  <c r="E308" i="3"/>
  <c r="E281" i="3"/>
  <c r="E310" i="3"/>
  <c r="E417" i="3"/>
  <c r="E50" i="3"/>
  <c r="E147" i="3"/>
  <c r="E52" i="3"/>
  <c r="E339" i="3"/>
  <c r="E137" i="3"/>
  <c r="E455" i="3"/>
  <c r="E43" i="3"/>
  <c r="E333" i="3"/>
  <c r="E202" i="3"/>
  <c r="E40" i="3"/>
  <c r="E498" i="3"/>
  <c r="E490" i="3"/>
  <c r="E486" i="3"/>
  <c r="E493" i="3"/>
  <c r="E223" i="3"/>
  <c r="E326" i="3"/>
  <c r="E49" i="3"/>
  <c r="E190" i="3"/>
  <c r="E225" i="3"/>
  <c r="E420" i="3"/>
  <c r="E451" i="3"/>
  <c r="E525" i="3"/>
  <c r="E102" i="3"/>
  <c r="E96" i="3"/>
  <c r="E494" i="3"/>
  <c r="E233" i="3"/>
  <c r="E249" i="3"/>
  <c r="E389" i="3"/>
  <c r="E554" i="3"/>
  <c r="E536" i="3"/>
  <c r="E141" i="3"/>
  <c r="E365" i="3"/>
  <c r="E62" i="3"/>
  <c r="E340" i="3"/>
  <c r="E112" i="3"/>
  <c r="E392" i="3"/>
  <c r="E234" i="3"/>
  <c r="E38" i="3"/>
  <c r="E473" i="3"/>
  <c r="L6" i="3"/>
  <c r="E276" i="3"/>
  <c r="E108" i="3"/>
  <c r="E401" i="3"/>
  <c r="AH6" i="3"/>
  <c r="E422" i="3"/>
  <c r="E543" i="3"/>
  <c r="E105" i="3"/>
  <c r="E16" i="3"/>
  <c r="E80" i="3"/>
  <c r="E324" i="3"/>
  <c r="E428" i="3"/>
  <c r="E41" i="3"/>
  <c r="E13" i="3"/>
  <c r="E456" i="3"/>
  <c r="E205" i="3"/>
  <c r="E86" i="3"/>
  <c r="AL6" i="3"/>
  <c r="E81" i="3"/>
  <c r="E84" i="3"/>
  <c r="E64" i="3"/>
  <c r="E95" i="3"/>
  <c r="E442" i="3"/>
  <c r="E3" i="6"/>
  <c r="E83" i="3"/>
  <c r="E370" i="3"/>
  <c r="E342" i="3"/>
  <c r="E78" i="3"/>
  <c r="E243" i="3"/>
  <c r="E104" i="3"/>
  <c r="E452" i="3"/>
  <c r="E360" i="3"/>
  <c r="E469" i="3"/>
  <c r="E534" i="3"/>
  <c r="E140" i="3"/>
  <c r="E113" i="3"/>
  <c r="E34" i="3"/>
  <c r="E174" i="3"/>
  <c r="E42" i="3"/>
  <c r="E198" i="3"/>
  <c r="E283" i="3"/>
  <c r="E355" i="3"/>
  <c r="E67" i="3"/>
  <c r="E371" i="3"/>
  <c r="E46" i="3"/>
  <c r="E59" i="3"/>
  <c r="E258" i="3"/>
  <c r="E491" i="3"/>
  <c r="E430" i="3"/>
  <c r="E286" i="3"/>
  <c r="E497" i="3"/>
  <c r="E408" i="3"/>
  <c r="E405" i="3"/>
  <c r="E173" i="3"/>
  <c r="E22" i="3"/>
  <c r="AF6" i="3"/>
  <c r="E383" i="3"/>
  <c r="E18" i="3"/>
  <c r="E391" i="3"/>
  <c r="E513" i="3"/>
  <c r="E63" i="3"/>
  <c r="E184" i="3"/>
  <c r="E492" i="3"/>
  <c r="E267" i="3"/>
  <c r="E467" i="3"/>
  <c r="E349" i="3"/>
  <c r="E37" i="3"/>
  <c r="AP6" i="3"/>
  <c r="E502" i="3"/>
  <c r="E539" i="3"/>
  <c r="E484" i="3"/>
  <c r="E544" i="3"/>
  <c r="E292" i="3"/>
  <c r="E152" i="3"/>
  <c r="E479" i="3"/>
  <c r="E517" i="3"/>
  <c r="E255" i="3"/>
  <c r="E466" i="3"/>
  <c r="E499" i="3"/>
  <c r="E212" i="3"/>
  <c r="T52" i="71"/>
  <c r="D52" i="71"/>
  <c r="D36" i="71"/>
  <c r="T36" i="71"/>
  <c r="T32" i="71"/>
  <c r="D32" i="71"/>
  <c r="D44" i="71"/>
  <c r="T44" i="71"/>
  <c r="T64" i="71"/>
  <c r="D64" i="71"/>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38" i="67" s="1"/>
  <c r="C53" i="15"/>
  <c r="C10" i="15"/>
  <c r="C5" i="15" s="1"/>
  <c r="C38" i="15" s="1"/>
  <c r="C35" i="9"/>
  <c r="M27" i="67"/>
  <c r="M27" i="15"/>
  <c r="F41" i="15"/>
  <c r="H10" i="39" l="1"/>
  <c r="J10" i="40"/>
  <c r="H10" i="40"/>
  <c r="AB10" i="40" s="1"/>
  <c r="S10" i="39"/>
  <c r="J10" i="39"/>
  <c r="W10" i="39" s="1"/>
  <c r="R50" i="34"/>
  <c r="G53" i="34"/>
  <c r="H53" i="34" s="1"/>
  <c r="G54" i="34"/>
  <c r="H54" i="34" s="1"/>
  <c r="AA33" i="33"/>
  <c r="S33" i="33"/>
  <c r="AB33" i="33"/>
  <c r="T48" i="33" s="1"/>
  <c r="U33" i="33"/>
  <c r="R48" i="33"/>
  <c r="D21" i="71"/>
  <c r="C20" i="71"/>
  <c r="AC33" i="33"/>
  <c r="V48" i="33" s="1"/>
  <c r="I48" i="33" s="1"/>
  <c r="I52" i="33" s="1"/>
  <c r="J52" i="33" s="1"/>
  <c r="W33" i="33"/>
  <c r="C49" i="34"/>
  <c r="R24" i="31" s="1"/>
  <c r="C48" i="67"/>
  <c r="C66" i="67" s="1"/>
  <c r="C29" i="68"/>
  <c r="D27" i="68" s="1"/>
  <c r="U10" i="40"/>
  <c r="AC10" i="39"/>
  <c r="C47" i="68"/>
  <c r="D45" i="68" s="1"/>
  <c r="C48" i="15"/>
  <c r="C66" i="15" s="1"/>
  <c r="AA10" i="40"/>
  <c r="M16" i="1"/>
  <c r="N16" i="1" s="1"/>
  <c r="F22" i="69"/>
  <c r="F41" i="69" s="1"/>
  <c r="F25" i="12"/>
  <c r="C26" i="12" s="1"/>
  <c r="D25" i="12" s="1"/>
  <c r="S8" i="1"/>
  <c r="E8" i="70" s="1"/>
  <c r="H6" i="3"/>
  <c r="D116" i="43"/>
  <c r="AC6" i="3"/>
  <c r="F24" i="15"/>
  <c r="C24" i="15" s="1"/>
  <c r="F24" i="67"/>
  <c r="C24" i="67" s="1"/>
  <c r="F22" i="68"/>
  <c r="F41" i="68" s="1"/>
  <c r="F22" i="1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48" i="33"/>
  <c r="E40" i="36"/>
  <c r="F40" i="36" s="1"/>
  <c r="E41" i="36"/>
  <c r="F41" i="36" s="1"/>
  <c r="H48" i="35"/>
  <c r="I41" i="36"/>
  <c r="J41" i="36" s="1"/>
  <c r="R43" i="37"/>
  <c r="E42" i="37"/>
  <c r="G63" i="40"/>
  <c r="F65" i="40"/>
  <c r="C37" i="36"/>
  <c r="C36" i="36"/>
  <c r="G58" i="21"/>
  <c r="C34" i="9"/>
  <c r="D10" i="69"/>
  <c r="C34" i="69"/>
  <c r="D10" i="68"/>
  <c r="C17" i="67"/>
  <c r="C14" i="67"/>
  <c r="C17" i="15"/>
  <c r="R25" i="31" l="1"/>
  <c r="R26" i="31"/>
  <c r="AC10" i="40"/>
  <c r="W10" i="40"/>
  <c r="U10" i="39"/>
  <c r="AB10" i="39"/>
  <c r="H21" i="6"/>
  <c r="C50" i="34"/>
  <c r="G48" i="33"/>
  <c r="R49" i="33"/>
  <c r="C49" i="33" s="1"/>
  <c r="E6" i="3"/>
  <c r="I53" i="33"/>
  <c r="J53" i="33" s="1"/>
  <c r="C19" i="71"/>
  <c r="T20" i="71"/>
  <c r="D20" i="71"/>
  <c r="U20" i="71" s="1"/>
  <c r="S26" i="31"/>
  <c r="S25" i="31"/>
  <c r="S24" i="31"/>
  <c r="C26" i="69"/>
  <c r="D22" i="69" s="1"/>
  <c r="I54" i="34"/>
  <c r="J54" i="34" s="1"/>
  <c r="E54" i="34"/>
  <c r="F54" i="34" s="1"/>
  <c r="C60" i="67"/>
  <c r="C44" i="69"/>
  <c r="D41" i="69" s="1"/>
  <c r="C26" i="68"/>
  <c r="D22" i="68" s="1"/>
  <c r="C23" i="68"/>
  <c r="C60" i="15"/>
  <c r="H25" i="6"/>
  <c r="L16" i="1"/>
  <c r="D30" i="6"/>
  <c r="H22" i="6"/>
  <c r="R22" i="6" s="1"/>
  <c r="AR8" i="1"/>
  <c r="T8" i="1"/>
  <c r="AQ8" i="1"/>
  <c r="C44" i="68"/>
  <c r="D41" i="68" s="1"/>
  <c r="C25" i="11"/>
  <c r="C26" i="11"/>
  <c r="D22" i="11" s="1"/>
  <c r="C24" i="11"/>
  <c r="C23" i="11"/>
  <c r="C44" i="11"/>
  <c r="D41" i="11"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H58" i="21"/>
  <c r="E47" i="37"/>
  <c r="F47" i="37" s="1"/>
  <c r="E46" i="37"/>
  <c r="F46" i="37" s="1"/>
  <c r="I47" i="37"/>
  <c r="J47" i="37" s="1"/>
  <c r="E53" i="33"/>
  <c r="F53" i="33" s="1"/>
  <c r="E52" i="33"/>
  <c r="F52" i="33" s="1"/>
  <c r="C33" i="15"/>
  <c r="C33" i="67"/>
  <c r="J19" i="67"/>
  <c r="C34" i="68"/>
  <c r="C14" i="15"/>
  <c r="B6" i="76"/>
  <c r="E6" i="76"/>
  <c r="D31" i="6" l="1"/>
  <c r="C18" i="71"/>
  <c r="D19" i="71"/>
  <c r="G53" i="33"/>
  <c r="H53" i="33" s="1"/>
  <c r="G52" i="33"/>
  <c r="H52" i="33" s="1"/>
  <c r="R22" i="31"/>
  <c r="E10" i="74" s="1"/>
  <c r="B10" i="74" s="1"/>
  <c r="S22" i="3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B20" i="31"/>
  <c r="B21" i="3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R8" i="1"/>
  <c r="R9" i="1"/>
  <c r="R7" i="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9" i="1"/>
  <c r="AO7" i="1"/>
  <c r="AO8" i="1"/>
  <c r="AO10"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52" i="72"/>
  <c r="G4" i="52"/>
  <c r="B53" i="72"/>
  <c r="F5" i="52"/>
  <c r="F119" i="9"/>
  <c r="B31" i="72"/>
  <c r="D15" i="53"/>
  <c r="B49" i="72"/>
  <c r="D5" i="52"/>
  <c r="D119" i="9"/>
  <c r="B47" i="72"/>
  <c r="D118" i="9"/>
  <c r="D4" i="52"/>
  <c r="M55" i="9"/>
  <c r="D59" i="9"/>
  <c r="C73" i="9"/>
  <c r="C78" i="9"/>
  <c r="C86" i="9"/>
  <c r="C93" i="9"/>
  <c r="H5" i="52"/>
  <c r="H119" i="9"/>
  <c r="B30" i="72"/>
  <c r="C81" i="9"/>
  <c r="M48" i="9"/>
  <c r="N61" i="9"/>
  <c r="N59" i="9"/>
  <c r="N60" i="9"/>
  <c r="B48" i="72"/>
  <c r="E118" i="9"/>
  <c r="E4" i="52"/>
  <c r="B22" i="72"/>
  <c r="D6" i="53"/>
  <c r="B51" i="72"/>
  <c r="G118" i="9"/>
  <c r="F118" i="9"/>
  <c r="F4" i="52"/>
  <c r="C5" i="74"/>
  <c r="D13" i="53"/>
  <c r="D14" i="53"/>
  <c r="B32" i="72"/>
  <c r="D8" i="52"/>
  <c r="C105" i="9"/>
  <c r="I4" i="52"/>
  <c r="C64" i="9"/>
  <c r="C63" i="9"/>
  <c r="C67" i="9"/>
  <c r="C68" i="9"/>
  <c r="D54" i="9"/>
  <c r="C96" i="9"/>
  <c r="E96" i="9"/>
  <c r="E97" i="9"/>
  <c r="D53" i="9"/>
  <c r="D52" i="9"/>
  <c r="C104" i="9"/>
  <c r="H4" i="52"/>
  <c r="P57" i="9"/>
  <c r="D55" i="9"/>
  <c r="M53" i="9"/>
  <c r="N57" i="9"/>
  <c r="N58" i="9"/>
  <c r="C72" i="9"/>
  <c r="C79" i="9"/>
  <c r="C80" i="9"/>
  <c r="E80" i="9"/>
  <c r="E81" i="9"/>
  <c r="D45" i="9"/>
  <c r="C85" i="9"/>
  <c r="C95" i="9"/>
  <c r="C97" i="9"/>
  <c r="D58" i="9"/>
  <c r="D56" i="9"/>
  <c r="M54" i="9"/>
  <c r="D5" i="53"/>
  <c r="B20" i="72"/>
  <c r="H102" i="9"/>
  <c r="D7" i="53"/>
  <c r="B21" i="72"/>
  <c r="D122" i="9"/>
  <c r="D123" i="9"/>
  <c r="D9" i="5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<sst xmlns="http://schemas.openxmlformats.org/spreadsheetml/2006/main" count="8220" uniqueCount="3617">
  <si>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</si>
  <si>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</si>
  <si>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</si>
  <si>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</si>
  <si>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</si>
  <si>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</si>
  <si>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</si>
  <si>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</si>
  <si>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</si>
  <si>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</si>
  <si>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</si>
  <si>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</si>
  <si>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</si>
  <si>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</si>
  <si>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</si>
  <si>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</si>
  <si>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</si>
  <si>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</si>
  <si>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</si>
  <si>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</si>
  <si>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</si>
  <si>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</si>
  <si>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</si>
  <si>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</si>
  <si>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</si>
  <si>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</si>
  <si>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</si>
  <si>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</si>
  <si>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</si>
  <si>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</si>
  <si>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</si>
  <si>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</si>
  <si>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</si>
  <si>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</si>
  <si>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</si>
  <si>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</si>
  <si>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</si>
  <si>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</si>
  <si>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</si>
  <si>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</si>
  <si>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</si>
  <si>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</si>
  <si>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</si>
  <si>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</si>
  <si>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</si>
  <si>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</si>
  <si>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</si>
  <si>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</si>
  <si>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</si>
  <si>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</si>
  <si>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</si>
  <si>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</si>
  <si>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</si>
  <si>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</si>
  <si>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</si>
  <si>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</si>
  <si>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</si>
  <si>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</si>
  <si>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</si>
  <si>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</si>
  <si>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</si>
  <si>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</si>
  <si>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</si>
  <si>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</si>
  <si>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</si>
  <si>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</si>
  <si>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</si>
  <si>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</si>
  <si>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</si>
  <si>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</si>
  <si>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</si>
  <si>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</si>
  <si>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</si>
  <si>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</si>
  <si>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</si>
  <si>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</si>
  <si>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</si>
  <si>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</si>
  <si>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</si>
  <si>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</si>
  <si>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</si>
  <si>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</si>
  <si>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</si>
  <si>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</si>
  <si>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</si>
  <si>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</si>
  <si>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</si>
  <si>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</si>
  <si>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</si>
  <si>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</si>
  <si>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</si>
  <si>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</si>
  <si>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</si>
  <si>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</si>
  <si>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</si>
  <si>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</si>
  <si>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</si>
  <si>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</si>
  <si>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</si>
  <si>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</si>
  <si>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</si>
  <si>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</si>
  <si>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</si>
  <si>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</si>
  <si>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</si>
  <si>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</si>
  <si>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</si>
  <si>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</si>
  <si>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</si>
  <si>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</si>
  <si>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</si>
  <si>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</si>
  <si>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</si>
  <si>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</si>
  <si>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</si>
  <si>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</si>
  <si>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</si>
  <si>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</si>
  <si>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</si>
  <si>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</si>
  <si>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</si>
  <si>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</si>
  <si>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</si>
  <si>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</si>
  <si>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</si>
  <si>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</si>
  <si>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</si>
  <si>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</si>
  <si>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</si>
  <si>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</si>
  <si>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</si>
  <si>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</si>
  <si>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</si>
  <si>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</si>
  <si>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</si>
  <si>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</si>
  <si>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</si>
  <si>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</si>
  <si>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</si>
  <si>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</si>
  <si>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</si>
  <si>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</si>
  <si>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</si>
  <si>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</si>
  <si>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</si>
  <si>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</si>
  <si>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</si>
  <si>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</si>
  <si>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</si>
  <si>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</si>
  <si>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</si>
  <si>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</si>
  <si>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</si>
  <si>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</si>
  <si>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</si>
  <si>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</si>
  <si>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</si>
  <si>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</si>
  <si>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</si>
  <si>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</si>
  <si>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</si>
  <si>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</si>
  <si>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</si>
  <si>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</si>
  <si>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</si>
  <si>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</si>
  <si>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</si>
  <si>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</si>
  <si>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</si>
  <si>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</si>
  <si>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</si>
  <si>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</si>
  <si>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</si>
  <si>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</si>
  <si>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</si>
  <si>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</si>
  <si>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</si>
  <si>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</si>
  <si>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</si>
  <si>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</si>
  <si>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</si>
  <si>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</si>
  <si>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</si>
  <si>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</si>
  <si>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</si>
  <si>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</si>
  <si>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</si>
  <si>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</si>
  <si>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</si>
  <si>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</si>
  <si>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</si>
  <si>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</si>
  <si>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</si>
  <si>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</si>
  <si>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</si>
  <si>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</si>
  <si>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</si>
  <si>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</si>
  <si>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</si>
  <si>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</si>
  <si>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</si>
  <si>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</si>
  <si>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</si>
  <si>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</si>
  <si>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</si>
  <si>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</si>
  <si>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</si>
  <si>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</si>
  <si>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</si>
  <si>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</si>
  <si>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</si>
  <si>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</si>
  <si>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</si>
  <si>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</si>
  <si>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</si>
  <si>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</si>
  <si>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</si>
  <si>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</si>
  <si>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</si>
  <si>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</si>
  <si>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</si>
  <si>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</si>
  <si>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</si>
  <si>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</si>
  <si>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</si>
  <si>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</si>
  <si>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</si>
  <si>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</si>
  <si>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</si>
  <si>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</si>
  <si>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</si>
  <si>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</si>
  <si>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</si>
  <si>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</si>
  <si>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</si>
  <si>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</si>
  <si>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</si>
  <si>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</si>
  <si>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</si>
  <si>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</si>
  <si>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</si>
  <si>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</si>
  <si>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</si>
  <si>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</si>
  <si>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</si>
  <si>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</si>
  <si>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</si>
  <si>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</si>
  <si>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</si>
  <si>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</si>
  <si>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</si>
  <si>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</si>
  <si>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</si>
  <si>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</si>
  <si>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</si>
  <si>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</si>
  <si>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</si>
  <si>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</si>
  <si>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</si>
  <si>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</si>
  <si>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</si>
  <si>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</si>
  <si>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</si>
  <si>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</si>
  <si>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</si>
  <si>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</si>
  <si>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</si>
  <si>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</si>
  <si>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</si>
  <si>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</si>
  <si>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</si>
  <si>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</si>
  <si>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</si>
  <si>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</si>
  <si>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</si>
  <si>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</si>
  <si>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</si>
  <si>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</si>
  <si>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</si>
  <si>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</si>
  <si>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</si>
  <si>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</si>
  <si>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</si>
  <si>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</si>
  <si>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</si>
  <si>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</si>
  <si>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</si>
  <si>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</si>
  <si>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</si>
  <si>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</si>
  <si>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</si>
  <si>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</si>
  <si>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</si>
  <si>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</si>
  <si>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</si>
  <si>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</si>
  <si>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</si>
  <si>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</si>
  <si>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</si>
  <si>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</si>
  <si>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</si>
  <si>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</si>
  <si>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</si>
  <si>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</si>
  <si>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</si>
  <si>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</si>
  <si>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</si>
  <si>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</si>
  <si>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</si>
  <si>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</si>
  <si>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</si>
  <si>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</si>
  <si>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</si>
  <si>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</si>
  <si>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</si>
  <si>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</si>
  <si>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</si>
  <si>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</si>
  <si>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</si>
  <si>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</si>
  <si>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</si>
  <si>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</si>
  <si>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</si>
  <si>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</si>
  <si>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</si>
  <si>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</si>
  <si>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</si>
  <si>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</si>
  <si>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</si>
  <si>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</si>
  <si>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</si>
  <si>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</si>
  <si>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</si>
  <si>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</si>
  <si>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</si>
  <si>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</si>
  <si>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</si>
  <si>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</si>
  <si>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</si>
  <si>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</si>
  <si>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</si>
  <si>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</si>
  <si>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</si>
  <si>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</si>
  <si>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</si>
  <si>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</si>
  <si>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</si>
  <si>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</si>
  <si>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</si>
  <si>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</si>
  <si>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</si>
  <si>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</si>
  <si>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</si>
  <si>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</si>
  <si>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</si>
  <si>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</si>
  <si>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</si>
  <si>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</si>
  <si>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</si>
  <si>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</si>
  <si>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</si>
  <si>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</si>
  <si>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</si>
  <si>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</si>
  <si>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</si>
  <si>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</si>
  <si>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</si>
  <si>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</si>
  <si>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</si>
  <si>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</si>
  <si>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</si>
  <si>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</si>
  <si>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</si>
  <si>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</si>
  <si>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</si>
  <si>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</si>
  <si>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</si>
  <si>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</si>
  <si>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</si>
  <si>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</si>
  <si>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</si>
  <si>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</si>
  <si>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</si>
  <si>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</si>
  <si>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</si>
  <si>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</si>
  <si>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</si>
  <si>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</si>
  <si>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</si>
  <si>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</si>
  <si>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</si>
  <si>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</si>
  <si>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</si>
  <si>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</si>
  <si>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</si>
  <si>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</si>
  <si>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</si>
  <si>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</si>
  <si>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</si>
  <si>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</si>
  <si>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</si>
  <si>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</si>
  <si>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</si>
  <si>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</si>
  <si>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</si>
  <si>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</si>
  <si>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</si>
  <si>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</si>
  <si>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</si>
  <si>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</si>
  <si>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</si>
  <si>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</si>
  <si>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</si>
  <si>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</si>
  <si>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</si>
  <si>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</si>
  <si>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</si>
  <si>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</si>
  <si>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</si>
  <si>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</si>
  <si>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</si>
  <si>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</si>
  <si>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</si>
  <si>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</si>
  <si>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</si>
  <si>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</si>
  <si>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</si>
  <si>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</si>
  <si>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</si>
  <si>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</si>
  <si>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</si>
  <si>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</si>
  <si>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</si>
  <si>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</si>
  <si>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</si>
  <si>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</si>
  <si>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</si>
  <si>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</si>
  <si>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</si>
  <si>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</si>
  <si>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</si>
  <si>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</si>
  <si>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</si>
  <si>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</si>
  <si>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</si>
  <si>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</si>
  <si>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</si>
  <si>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</si>
  <si>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</si>
  <si>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</si>
  <si>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</si>
  <si>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</si>
  <si>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</si>
  <si>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</si>
  <si>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</si>
  <si>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</si>
  <si>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</si>
  <si>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</si>
  <si>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</si>
  <si>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</si>
  <si>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</si>
  <si>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</si>
  <si>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</si>
  <si>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</si>
  <si>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</si>
  <si>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</si>
  <si>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</si>
  <si>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</si>
  <si>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</si>
  <si>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</si>
  <si>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</si>
  <si>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</si>
  <si>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</si>
  <si>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</si>
  <si>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</si>
  <si>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</si>
  <si>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</si>
  <si>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</si>
  <si>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</si>
  <si>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</si>
  <si>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</si>
  <si>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</si>
  <si>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</si>
  <si>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</si>
  <si>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</si>
  <si>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</si>
  <si>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</si>
  <si>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</si>
  <si>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</si>
  <si>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</si>
  <si>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</si>
  <si>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</si>
  <si>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</si>
  <si>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</si>
  <si>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</si>
  <si>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</si>
  <si>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</si>
  <si>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</si>
  <si>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</si>
  <si>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</si>
  <si>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</si>
  <si>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</si>
  <si>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</si>
  <si>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</si>
  <si>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</si>
  <si>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</si>
  <si>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</si>
  <si>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</si>
  <si>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</si>
  <si>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</si>
  <si>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</si>
  <si>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</si>
  <si>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</si>
  <si>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</si>
  <si>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</si>
  <si>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</si>
  <si>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</si>
  <si>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</si>
  <si>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</si>
  <si>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</si>
  <si>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</si>
  <si>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</si>
  <si>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</si>
  <si>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</si>
  <si>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</si>
  <si>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</si>
  <si>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</si>
  <si>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</si>
  <si>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</si>
  <si>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</si>
  <si>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</si>
  <si>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</si>
  <si>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</si>
  <si>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</si>
  <si>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</si>
  <si>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</si>
  <si>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</si>
  <si>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</si>
  <si>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</si>
  <si>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</si>
  <si>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</si>
  <si>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</si>
  <si>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</si>
  <si>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</si>
  <si>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</si>
  <si>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</si>
  <si>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</si>
  <si>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</si>
  <si>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</si>
  <si>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</si>
  <si>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</si>
  <si>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</si>
  <si>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</si>
  <si>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</si>
  <si>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</si>
  <si>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</si>
  <si>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</si>
  <si>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</si>
  <si>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</si>
  <si>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</si>
  <si>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</si>
  <si>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</si>
  <si>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</si>
  <si>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</si>
  <si>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</si>
  <si>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</si>
  <si>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</si>
  <si>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</si>
  <si>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</si>
  <si>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</si>
  <si>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</si>
  <si>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</si>
  <si>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</si>
  <si>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</si>
  <si>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</si>
  <si>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</si>
  <si>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</si>
  <si>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</si>
  <si>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</si>
  <si>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</si>
  <si>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</si>
  <si>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</si>
  <si>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</si>
  <si>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</si>
  <si>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</si>
  <si>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</si>
  <si>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</si>
  <si>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</si>
  <si>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</si>
  <si>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</si>
  <si>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</si>
  <si>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</si>
  <si>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</si>
  <si>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</si>
  <si>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</si>
  <si>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</si>
  <si>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</si>
  <si>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</si>
  <si>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</si>
  <si>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</si>
  <si>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</si>
  <si>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</si>
  <si>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</si>
  <si>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</si>
  <si>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</si>
  <si>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</si>
  <si>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</si>
  <si>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</si>
  <si>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</si>
  <si>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</si>
  <si>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</si>
  <si>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</si>
  <si>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</si>
  <si>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</si>
  <si>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</si>
  <si>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</si>
  <si>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</si>
  <si>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</si>
  <si>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</si>
  <si>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</si>
  <si>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</si>
  <si>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</si>
  <si>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</si>
  <si>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</si>
  <si>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</si>
  <si>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</si>
  <si>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</si>
  <si>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</si>
  <si>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</si>
  <si>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</si>
  <si>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</si>
  <si>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</si>
  <si>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</si>
  <si>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</si>
  <si>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</si>
  <si>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</si>
  <si>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</si>
  <si>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</si>
  <si>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</si>
  <si>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</si>
  <si>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</si>
  <si>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</si>
  <si>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</si>
  <si>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</si>
  <si>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</si>
  <si>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</si>
  <si>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</si>
  <si>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</si>
  <si>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</si>
  <si>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</si>
  <si>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</si>
  <si>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</si>
  <si>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</si>
  <si>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</si>
  <si>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</si>
  <si>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</si>
  <si>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</si>
  <si>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</si>
  <si>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</si>
  <si>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</si>
  <si>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</si>
  <si>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</si>
  <si>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</si>
  <si>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</si>
  <si>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</si>
  <si>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</si>
  <si>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</si>
  <si>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</si>
  <si>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</si>
  <si>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</si>
  <si>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</si>
  <si>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</si>
  <si>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</si>
  <si>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</si>
  <si>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</si>
  <si>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</si>
  <si>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</si>
  <si>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</si>
  <si>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</si>
  <si>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</si>
  <si>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</si>
  <si>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</si>
  <si>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</si>
  <si>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</si>
  <si>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</si>
  <si>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</si>
  <si>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</si>
  <si>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</si>
  <si>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</si>
  <si>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</si>
  <si>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</si>
  <si>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</si>
  <si>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</si>
  <si>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</si>
  <si>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</si>
  <si>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</si>
  <si>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</si>
  <si>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</si>
  <si>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</si>
  <si>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</si>
  <si>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</si>
  <si>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</si>
  <si>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</si>
  <si>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</si>
  <si>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</si>
  <si>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</si>
  <si>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</si>
  <si>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</si>
  <si>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</si>
  <si>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</si>
  <si>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</si>
  <si>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</si>
  <si>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</si>
  <si>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</si>
  <si>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</si>
  <si>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</si>
  <si>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</si>
  <si>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</si>
  <si>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</si>
  <si>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</si>
  <si>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</si>
  <si>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</si>
  <si>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</si>
  <si>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</si>
  <si>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</si>
  <si>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</si>
  <si>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</si>
  <si>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</si>
  <si>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</si>
  <si>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</si>
  <si>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</si>
  <si>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</si>
  <si>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</si>
  <si>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</si>
  <si>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</si>
  <si>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</si>
  <si>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</si>
  <si>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</si>
  <si>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</si>
  <si>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</si>
  <si>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</si>
  <si>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</si>
  <si>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</si>
  <si>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</si>
  <si>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</si>
  <si>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</si>
  <si>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</si>
  <si>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</si>
  <si>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</si>
  <si>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</si>
  <si>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</si>
  <si>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</si>
  <si>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</si>
  <si>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</si>
  <si>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</si>
  <si>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</si>
  <si>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</si>
  <si>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</si>
  <si>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</si>
  <si>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</si>
  <si>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</si>
  <si>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</si>
  <si>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</si>
  <si>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</si>
  <si>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</si>
  <si>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</si>
  <si>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</si>
  <si>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</si>
  <si>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</si>
  <si>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</si>
  <si>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</si>
  <si>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</si>
  <si>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</si>
  <si>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</si>
  <si>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</si>
  <si>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</si>
  <si>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</si>
  <si>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</si>
  <si>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</si>
  <si>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</si>
  <si>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</si>
  <si>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</si>
  <si>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</si>
  <si>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</si>
  <si>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</si>
  <si>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</si>
  <si>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</si>
  <si>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</si>
  <si>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</si>
  <si>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</si>
  <si>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</si>
  <si>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</si>
  <si>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</si>
  <si>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</si>
  <si>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</si>
  <si>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</si>
  <si>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</si>
  <si>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</si>
  <si>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</si>
  <si>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</si>
  <si>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</si>
  <si>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</si>
  <si>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</si>
  <si>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</si>
  <si>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</si>
  <si>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</si>
  <si>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</si>
  <si>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</si>
  <si>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</si>
  <si>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</si>
  <si>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</si>
  <si>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</si>
  <si>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</si>
  <si>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</si>
  <si>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</si>
  <si>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</si>
  <si>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</si>
  <si>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</si>
  <si>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</si>
  <si>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</si>
  <si>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</si>
  <si>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</si>
  <si>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</si>
  <si>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</si>
  <si>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</si>
  <si>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</si>
  <si>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</si>
  <si>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</si>
  <si>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</si>
  <si>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</si>
  <si>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</si>
  <si>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</si>
  <si>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</si>
  <si>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</si>
  <si>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</si>
  <si>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</si>
  <si>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</si>
  <si>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</si>
  <si>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</si>
  <si>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</si>
  <si>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</si>
  <si>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</si>
  <si>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</si>
  <si>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</si>
  <si>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</si>
  <si>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</si>
  <si>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</si>
  <si>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</si>
  <si>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</si>
  <si>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</si>
  <si>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</si>
  <si>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</si>
  <si>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</si>
  <si>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</si>
  <si>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</si>
  <si>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</si>
  <si>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</si>
  <si>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</si>
  <si>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</si>
  <si>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</si>
  <si>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</si>
  <si>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</si>
  <si>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</si>
  <si>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</si>
  <si>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</si>
  <si>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</si>
  <si>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</si>
  <si>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</si>
  <si>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</si>
  <si>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</si>
  <si>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</si>
  <si>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</si>
  <si>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</si>
  <si>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</si>
  <si>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</si>
  <si>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</si>
  <si>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</si>
  <si>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</si>
  <si>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</si>
  <si>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</si>
  <si>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</si>
  <si>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</si>
  <si>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</si>
  <si>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</si>
  <si>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</si>
  <si>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</si>
  <si>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</si>
  <si>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</si>
  <si>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</si>
  <si>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</si>
  <si>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</si>
  <si>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</si>
  <si>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</si>
  <si>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</si>
  <si>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</si>
  <si>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</si>
  <si>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</si>
  <si>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</si>
  <si>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</si>
  <si>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</si>
  <si>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</si>
  <si>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</si>
  <si>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</si>
  <si>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</si>
  <si>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</si>
  <si>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</si>
  <si>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</si>
  <si>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</si>
  <si>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</si>
  <si>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</si>
  <si>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</si>
  <si>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</si>
  <si>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</si>
  <si>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</si>
  <si>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</si>
  <si>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</si>
  <si>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</si>
  <si>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</si>
  <si>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</si>
  <si>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</si>
  <si>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</si>
  <si>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</si>
  <si>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</si>
  <si>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</si>
  <si>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</si>
  <si>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</si>
  <si>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</si>
  <si>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</si>
  <si>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</si>
  <si>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</si>
  <si>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</si>
  <si>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</si>
  <si>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</si>
  <si>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</si>
  <si>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</si>
  <si>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</si>
  <si>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</si>
  <si>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</si>
  <si>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</si>
  <si>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</si>
  <si>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</si>
  <si>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</si>
  <si>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</si>
  <si>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</si>
  <si>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</si>
  <si>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</si>
  <si>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</si>
  <si>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</si>
  <si>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</si>
  <si>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</si>
  <si>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</si>
  <si>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</si>
  <si>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</si>
  <si>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</si>
  <si>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</si>
  <si>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</si>
  <si>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</si>
  <si>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</si>
  <si>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</si>
  <si>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</si>
  <si>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</si>
  <si>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</si>
  <si>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</si>
  <si>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</si>
  <si>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</si>
  <si>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</si>
  <si>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</si>
  <si>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</si>
  <si>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</si>
  <si>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</si>
  <si>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</si>
  <si>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</si>
  <si>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</si>
  <si>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</si>
  <si>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</si>
  <si>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</si>
  <si>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</si>
  <si>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</si>
  <si>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</si>
  <si>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</si>
  <si>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</si>
  <si>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</si>
  <si>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</si>
  <si>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</si>
  <si>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</si>
  <si>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</si>
  <si>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</si>
  <si>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</si>
  <si>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</si>
  <si>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</si>
  <si>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</si>
  <si>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</si>
  <si>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</si>
  <si>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</si>
  <si>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</si>
  <si>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</si>
  <si>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</si>
  <si>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</si>
  <si>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</si>
  <si>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</si>
  <si>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</si>
  <si>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</si>
  <si>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</si>
  <si>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</si>
  <si>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</si>
  <si>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</si>
  <si>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</si>
  <si>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</si>
  <si>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</si>
  <si>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</si>
  <si>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</si>
  <si>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</si>
  <si>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</si>
  <si>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</si>
  <si>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</si>
  <si>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</si>
  <si>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</si>
  <si>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</si>
  <si>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</si>
  <si>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</si>
  <si>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</si>
  <si>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</si>
  <si>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</si>
  <si>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</si>
  <si>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</si>
  <si>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</si>
  <si>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</si>
  <si>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</si>
  <si>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</si>
  <si>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</si>
  <si>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</si>
  <si>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</si>
  <si>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</si>
  <si>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</si>
  <si>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</si>
  <si>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</si>
  <si>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</si>
  <si>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</si>
  <si>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</si>
  <si>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</si>
  <si>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</si>
  <si>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</si>
  <si>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</si>
  <si>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</si>
  <si>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</si>
  <si>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</si>
  <si>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</si>
  <si>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</si>
  <si>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</si>
  <si>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</si>
  <si>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</si>
  <si>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</si>
  <si>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</si>
  <si>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</si>
  <si>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</si>
  <si>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</si>
  <si>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</si>
  <si>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</si>
  <si>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</si>
  <si>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</si>
  <si>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</si>
  <si>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</si>
  <si>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</si>
  <si>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</si>
  <si>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</si>
  <si>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</si>
  <si>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</si>
  <si>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</si>
  <si>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</si>
  <si>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</si>
  <si>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</si>
  <si>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</si>
  <si>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</si>
  <si>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</si>
  <si>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</si>
  <si>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</si>
  <si>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</si>
  <si>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</si>
  <si>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</si>
  <si>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</si>
  <si>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</si>
  <si>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</si>
  <si>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</si>
  <si>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</si>
  <si>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</si>
  <si>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</si>
  <si>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</si>
  <si>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</si>
  <si>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</si>
  <si>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</si>
  <si>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</si>
  <si>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</si>
  <si>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</si>
  <si>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</si>
  <si>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</si>
  <si>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</si>
  <si>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</si>
  <si>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</si>
  <si>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</si>
  <si>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</si>
  <si>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</si>
  <si>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</si>
  <si>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</si>
  <si>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</si>
  <si>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</si>
  <si>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</si>
  <si>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</si>
  <si>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</si>
  <si>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</si>
  <si>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</si>
  <si>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</si>
  <si>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</si>
  <si>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</si>
  <si>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</si>
  <si>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</si>
  <si>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</si>
  <si>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</si>
  <si>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</si>
  <si>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</si>
  <si>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</si>
  <si>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</si>
  <si>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</si>
  <si>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</si>
  <si>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</si>
  <si>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</si>
  <si>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</si>
  <si>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</si>
  <si>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</si>
  <si>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</si>
  <si>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</si>
  <si>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</si>
  <si>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</si>
  <si>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</si>
  <si>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</si>
  <si>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</si>
  <si>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</si>
  <si>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</si>
  <si>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</si>
  <si>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</si>
  <si>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</si>
  <si>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</si>
  <si>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</si>
  <si>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</si>
  <si>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</si>
  <si>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</si>
  <si>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</si>
  <si>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</si>
  <si>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</si>
  <si>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</si>
  <si>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</si>
  <si>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</si>
  <si>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</si>
  <si>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</si>
  <si>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</si>
  <si>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</si>
  <si>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</si>
  <si>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</si>
  <si>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</si>
  <si>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</si>
  <si>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</si>
  <si>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</si>
  <si>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</si>
  <si>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</si>
  <si>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</si>
  <si>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</si>
  <si>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</si>
  <si>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</si>
  <si>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</si>
  <si>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</si>
  <si>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</si>
  <si>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</si>
  <si>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</si>
  <si>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</si>
  <si>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</si>
  <si>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</si>
  <si>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</si>
  <si>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</si>
  <si>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</si>
  <si>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</si>
  <si>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</si>
  <si>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</si>
  <si>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</si>
  <si>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</si>
  <si>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</si>
  <si>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</si>
  <si>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</si>
  <si>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</si>
  <si>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</si>
  <si>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</si>
  <si>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</si>
  <si>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</si>
  <si>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</si>
  <si>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</si>
  <si>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</si>
  <si>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</si>
  <si>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</si>
  <si>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</si>
  <si>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</si>
  <si>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</si>
  <si>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</si>
  <si>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</si>
  <si>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</si>
  <si>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</si>
  <si>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</si>
  <si>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</si>
  <si>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</si>
  <si>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</si>
  <si>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</si>
  <si>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</si>
  <si>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</si>
  <si>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</si>
  <si>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</si>
  <si>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</si>
  <si>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</si>
  <si>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</si>
  <si>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</si>
  <si>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</si>
  <si>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</si>
  <si>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</si>
  <si>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</si>
  <si>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</si>
  <si>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</si>
  <si>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</si>
  <si>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</si>
  <si>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</si>
  <si>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</si>
  <si>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</si>
  <si>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</si>
  <si>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</si>
  <si>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</si>
  <si>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</si>
  <si>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</si>
  <si>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</si>
  <si>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</si>
  <si>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</si>
  <si>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</si>
  <si>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</si>
  <si>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</si>
  <si>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</si>
  <si>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</si>
  <si>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</si>
  <si>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</si>
  <si>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</si>
  <si>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</si>
  <si>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</si>
  <si>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</si>
  <si>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</si>
  <si>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</si>
  <si>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</si>
  <si>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</si>
  <si>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</si>
  <si>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</si>
  <si>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</si>
  <si>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</si>
  <si>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</si>
  <si>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</si>
  <si>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</si>
  <si>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</si>
  <si>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</si>
  <si>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</si>
  <si>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</si>
  <si>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</si>
  <si>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</si>
  <si>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</si>
  <si>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</si>
  <si>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</si>
  <si>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</si>
  <si>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</si>
  <si>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</si>
  <si>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</si>
  <si>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</si>
  <si>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</si>
  <si>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</si>
  <si>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</si>
  <si>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</si>
  <si>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</si>
  <si>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</si>
  <si>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</si>
  <si>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</si>
  <si>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</si>
  <si>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</si>
  <si>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</si>
  <si>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</si>
  <si>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</si>
  <si>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</si>
  <si>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</si>
  <si>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</si>
  <si>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</si>
  <si>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</si>
  <si>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</si>
  <si>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</si>
  <si>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</si>
  <si>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</si>
  <si>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</si>
  <si>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</si>
  <si>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</si>
  <si>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</si>
  <si>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</si>
  <si>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</si>
  <si>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</si>
  <si>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</si>
  <si>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</si>
  <si>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</si>
  <si>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</si>
  <si>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</si>
  <si>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</si>
  <si>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</si>
  <si>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</si>
  <si>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</si>
  <si>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</si>
  <si>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</si>
  <si>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</si>
  <si>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</si>
  <si>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</si>
  <si>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</si>
  <si>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</si>
  <si>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</si>
  <si>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</si>
  <si>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</si>
  <si>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</si>
  <si>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</si>
  <si>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</si>
  <si>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</si>
  <si>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</si>
  <si>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</si>
  <si>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</si>
  <si>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</si>
  <si>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</si>
  <si>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</si>
  <si>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</si>
  <si>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</si>
  <si>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</si>
  <si>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</si>
  <si>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</si>
  <si>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</si>
  <si>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</si>
  <si>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</si>
  <si>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</si>
  <si>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</si>
  <si>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</si>
  <si>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</si>
  <si>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</si>
  <si>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</si>
  <si>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</si>
  <si>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</si>
  <si>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</si>
  <si>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</si>
  <si>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</si>
  <si>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</si>
  <si>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</si>
  <si>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</si>
  <si>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</si>
  <si>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</si>
  <si>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</si>
  <si>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</si>
  <si>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</si>
  <si>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</si>
  <si>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</si>
  <si>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</si>
  <si>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</si>
  <si>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</si>
  <si>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</si>
  <si>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</si>
  <si>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</si>
  <si>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</si>
  <si>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</si>
  <si>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</si>
  <si>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</si>
  <si>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</si>
  <si>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</si>
  <si>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</si>
  <si>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</si>
  <si>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</si>
  <si>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</si>
  <si>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</si>
  <si>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</si>
  <si>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</si>
  <si>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</si>
  <si>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</si>
  <si>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</si>
  <si>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</si>
  <si>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</si>
  <si>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</si>
  <si>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</si>
  <si>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</si>
  <si>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</si>
  <si>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</si>
  <si>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</si>
  <si>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</si>
  <si>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</si>
  <si>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</si>
  <si>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</si>
  <si>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</si>
  <si>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</si>
  <si>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</si>
  <si>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</si>
  <si>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</si>
  <si>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</si>
  <si>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</si>
  <si>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</si>
  <si>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</si>
  <si>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</si>
  <si>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</si>
  <si>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</si>
  <si>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</si>
  <si>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</si>
  <si>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</si>
  <si>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</si>
  <si>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</si>
  <si>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</si>
  <si>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</si>
  <si>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</si>
  <si>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</si>
  <si>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</si>
  <si>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</si>
  <si>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</si>
  <si>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</si>
  <si>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</si>
  <si>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</si>
  <si>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</si>
  <si>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</si>
  <si>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</si>
  <si>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</si>
  <si>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</si>
  <si>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</si>
  <si>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</si>
  <si>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</si>
  <si>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</si>
  <si>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</si>
  <si>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</si>
  <si>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</si>
  <si>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</si>
  <si>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</si>
  <si>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</si>
  <si>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</si>
  <si>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</si>
  <si>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</si>
  <si>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</si>
  <si>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</si>
  <si>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</si>
  <si>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</si>
  <si>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</si>
  <si>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</si>
  <si>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</si>
  <si>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</si>
  <si>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</si>
  <si>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</si>
  <si>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</si>
  <si>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</si>
  <si>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</si>
  <si>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</si>
  <si>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</si>
  <si>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</si>
  <si>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</si>
  <si>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</si>
  <si>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</si>
  <si>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</si>
  <si>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</si>
  <si>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</si>
  <si>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</si>
  <si>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</si>
  <si>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</si>
  <si>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</si>
  <si>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</si>
  <si>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</si>
  <si>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</si>
  <si>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</si>
  <si>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</si>
  <si>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</si>
  <si>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</si>
  <si>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</si>
  <si>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</si>
  <si>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</si>
  <si>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</si>
  <si>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</si>
  <si>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</si>
  <si>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</si>
  <si>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</si>
  <si>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</si>
  <si>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</si>
  <si>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</si>
  <si>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</si>
  <si>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</si>
  <si>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</si>
  <si>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</si>
  <si>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</si>
  <si>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</si>
  <si>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</si>
  <si>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</si>
  <si>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</si>
  <si>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</si>
  <si>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</si>
  <si>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</si>
  <si>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</si>
  <si>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</si>
  <si>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</si>
  <si>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</si>
  <si>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</si>
  <si>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</si>
  <si>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</si>
  <si>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</si>
  <si>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</si>
  <si>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</si>
  <si>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</si>
  <si>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</si>
  <si>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</si>
  <si>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</si>
  <si>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</si>
  <si>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</si>
  <si>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</si>
  <si>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</si>
  <si>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</si>
  <si>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</si>
  <si>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</si>
  <si>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</si>
  <si>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</si>
  <si>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</si>
  <si>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</si>
  <si>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</si>
  <si>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</si>
  <si>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</si>
  <si>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</si>
  <si>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</si>
  <si>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</si>
  <si>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</si>
  <si>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</si>
  <si>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</si>
  <si>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</si>
  <si>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</si>
  <si>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</si>
  <si>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</si>
  <si>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</si>
  <si>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</si>
  <si>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</si>
  <si>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</si>
  <si>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</si>
  <si>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</si>
  <si>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</si>
  <si>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</si>
  <si>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</si>
  <si>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</si>
  <si>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</si>
  <si>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</si>
  <si>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</si>
  <si>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</si>
  <si>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</si>
  <si>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</si>
  <si>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</si>
  <si>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</si>
  <si>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</si>
  <si>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</si>
  <si>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</si>
  <si>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</si>
  <si>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</si>
  <si>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</si>
  <si>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</si>
  <si>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</si>
  <si>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</si>
  <si>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</si>
  <si>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</si>
  <si>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</si>
  <si>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</si>
  <si>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</si>
  <si>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</si>
  <si>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</si>
  <si>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</si>
  <si>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</si>
  <si>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</si>
  <si>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</si>
  <si>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</si>
  <si>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</si>
  <si>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</si>
  <si>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</si>
  <si>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</si>
  <si>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</si>
  <si>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</si>
  <si>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</si>
  <si>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</si>
  <si>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</si>
  <si>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</si>
  <si>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</si>
  <si>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</si>
  <si>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</si>
  <si>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</si>
  <si>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</si>
  <si>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</si>
  <si>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</si>
  <si>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</si>
  <si>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</si>
  <si>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</si>
  <si>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</si>
  <si>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</si>
  <si>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</si>
  <si>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</si>
  <si>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</si>
  <si>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</si>
  <si>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</si>
  <si>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</si>
  <si>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</si>
  <si>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</si>
  <si>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</si>
  <si>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</si>
  <si>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</si>
  <si>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</si>
  <si>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</si>
  <si>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</si>
  <si>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</si>
  <si>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</si>
  <si>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</si>
  <si>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</si>
  <si>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</si>
  <si>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</si>
  <si>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</si>
  <si>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</si>
  <si>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</si>
  <si>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</si>
  <si>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</si>
  <si>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</si>
  <si>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</si>
  <si>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</si>
  <si>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</si>
  <si>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</si>
  <si>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</si>
  <si>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</si>
  <si>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</si>
  <si>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</si>
  <si>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</si>
  <si>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</si>
  <si>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</si>
  <si>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</si>
  <si>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</si>
  <si>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</si>
  <si>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</si>
  <si>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</si>
  <si>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</si>
  <si>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</si>
  <si>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</si>
  <si>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</si>
  <si>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</si>
  <si>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</si>
  <si>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</si>
  <si>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</si>
  <si>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</si>
  <si>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</si>
  <si>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</si>
  <si>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</si>
  <si>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</si>
  <si>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</si>
  <si>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</si>
  <si>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</si>
  <si>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</si>
  <si>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</si>
  <si>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</si>
  <si>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</si>
  <si>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</si>
  <si>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</si>
  <si>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</si>
  <si>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</si>
  <si>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</si>
  <si>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</si>
  <si>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</si>
  <si>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</si>
  <si>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</si>
  <si>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</si>
  <si>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</si>
  <si>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</si>
  <si>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</si>
  <si>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</si>
  <si>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</si>
  <si>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</si>
  <si>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</si>
  <si>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</si>
  <si>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</si>
  <si>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</si>
  <si>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</si>
  <si>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</si>
  <si>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</si>
  <si>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</si>
  <si>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</si>
  <si>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</si>
  <si>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</si>
  <si>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</si>
  <si>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</si>
  <si>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</si>
  <si>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</si>
  <si>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</si>
  <si>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</si>
  <si>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</si>
  <si>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</si>
  <si>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</si>
  <si>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</si>
  <si>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</si>
  <si>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</si>
  <si>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</si>
  <si>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</si>
  <si>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</si>
  <si>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</si>
  <si>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</si>
  <si>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</si>
  <si>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</si>
  <si>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</si>
  <si>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</si>
  <si>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</si>
  <si>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</si>
  <si>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</si>
  <si>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</si>
  <si>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</si>
  <si>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</si>
  <si>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</si>
  <si>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</si>
  <si>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</si>
  <si>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</si>
  <si>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</si>
  <si>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</si>
  <si>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</si>
  <si>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</si>
  <si>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</si>
  <si>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</si>
  <si>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</si>
  <si>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</si>
  <si>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</si>
  <si>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</si>
  <si>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</si>
  <si>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</si>
  <si>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</si>
  <si>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</si>
  <si>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</si>
  <si>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</si>
  <si>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</si>
  <si>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</si>
  <si>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</si>
  <si>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</si>
  <si>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</si>
  <si>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</si>
  <si>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</si>
  <si>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</si>
  <si>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</si>
  <si>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</si>
  <si>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</si>
  <si>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</si>
  <si>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</si>
  <si>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</si>
  <si>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</si>
  <si>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</si>
  <si>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</si>
  <si>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</si>
  <si>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</si>
  <si>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</si>
  <si>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</si>
  <si>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</si>
  <si>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</si>
  <si>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</si>
  <si>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</si>
  <si>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</si>
  <si>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</si>
  <si>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</si>
  <si>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</si>
  <si>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</si>
  <si>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</si>
  <si>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</si>
  <si>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</si>
  <si>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</si>
  <si>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</si>
  <si>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</si>
  <si>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</si>
  <si>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</si>
  <si>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</si>
  <si>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</si>
  <si>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</si>
  <si>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</si>
  <si>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</si>
  <si>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</si>
  <si>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</si>
  <si>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</si>
  <si>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</si>
  <si>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</si>
  <si>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</si>
  <si>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</si>
  <si>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</si>
  <si>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</si>
  <si>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</si>
  <si>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</si>
  <si>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</si>
  <si>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</si>
  <si>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</si>
  <si>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</si>
  <si>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</si>
  <si>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</si>
  <si>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</si>
  <si>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</si>
  <si>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</si>
  <si>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</si>
  <si>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</si>
  <si>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</si>
  <si>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</si>
  <si>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</si>
  <si>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</si>
  <si>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</si>
  <si>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</si>
  <si>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</si>
  <si>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</si>
  <si>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</si>
  <si>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</si>
  <si>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</si>
  <si>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</si>
  <si>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</si>
  <si>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</si>
  <si>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</si>
  <si>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</si>
  <si>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</si>
  <si>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</si>
  <si>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</si>
  <si>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</si>
  <si>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</si>
  <si>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</si>
  <si>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</si>
  <si>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</si>
  <si>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</si>
  <si>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</si>
  <si>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</si>
  <si>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</si>
  <si>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</si>
  <si>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</si>
  <si>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</si>
  <si>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</si>
  <si>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</si>
  <si>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</si>
  <si>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</si>
  <si>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</si>
  <si>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</si>
  <si>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</si>
  <si>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</si>
  <si>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</si>
  <si>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</si>
  <si>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</si>
  <si>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</si>
  <si>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</si>
  <si>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</si>
  <si>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</si>
  <si>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</si>
  <si>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</si>
  <si>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</si>
  <si>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</si>
  <si>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</si>
  <si>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</si>
  <si>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</si>
  <si>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</si>
  <si>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</si>
  <si>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</si>
  <si>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</si>
  <si>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</si>
  <si>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</si>
  <si>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</si>
  <si>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</si>
  <si>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</si>
  <si>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</si>
  <si>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</si>
  <si>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</si>
  <si>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</si>
  <si>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</si>
  <si>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</si>
  <si>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</si>
  <si>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</si>
  <si>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</si>
  <si>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</si>
  <si>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</si>
  <si>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</si>
  <si>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</si>
  <si>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</si>
  <si>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</si>
  <si>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</si>
  <si>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</si>
  <si>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</si>
  <si>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</si>
  <si>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</si>
  <si>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</si>
  <si>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</si>
  <si>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</si>
  <si>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</si>
  <si>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</si>
  <si>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</si>
  <si>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</si>
  <si>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</si>
  <si>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</si>
  <si>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</si>
  <si>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</si>
  <si>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</si>
  <si>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</si>
  <si>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</si>
  <si>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</si>
  <si>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</si>
  <si>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</si>
  <si>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</si>
  <si>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</si>
  <si>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</si>
  <si>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</si>
  <si>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</si>
  <si>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</si>
  <si>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</si>
  <si>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</si>
  <si>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</si>
  <si>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</si>
  <si>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</si>
  <si>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</si>
  <si>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</si>
  <si>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</si>
  <si>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</si>
  <si>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</si>
  <si>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</si>
  <si>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</si>
  <si>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</si>
  <si>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</si>
  <si>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</si>
  <si>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</si>
  <si>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</si>
  <si>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</si>
  <si>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</si>
  <si>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</si>
  <si>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</si>
  <si>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</si>
  <si>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</si>
  <si>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</si>
  <si>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</si>
  <si>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</si>
  <si>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</si>
  <si>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</si>
  <si>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</si>
  <si>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</si>
  <si>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</si>
  <si>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</si>
  <si>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</si>
  <si>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</si>
  <si>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</si>
  <si>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</si>
  <si>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</si>
  <si>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</si>
  <si>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</si>
  <si>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</si>
  <si>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</si>
  <si>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</si>
  <si>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</si>
  <si>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</si>
  <si>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</si>
  <si>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</si>
  <si>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</si>
  <si>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</si>
  <si>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</si>
  <si>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</si>
  <si>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</si>
  <si>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</si>
  <si>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</si>
  <si>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</si>
  <si>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</si>
  <si>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</si>
  <si>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</si>
  <si>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</si>
  <si>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</si>
  <si>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</si>
  <si>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</si>
  <si>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</si>
  <si>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</si>
  <si>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</si>
  <si>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</si>
  <si>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</si>
  <si>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</si>
  <si>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</si>
  <si>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</si>
  <si>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</si>
  <si>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</si>
  <si>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</si>
  <si>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</si>
  <si>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</si>
  <si>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</si>
  <si>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</si>
  <si>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</si>
  <si>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</si>
  <si>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</si>
  <si>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</si>
  <si>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</si>
  <si>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</si>
  <si>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</si>
  <si>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</si>
  <si>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</si>
  <si>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</si>
  <si>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</si>
  <si>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</si>
  <si>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</si>
  <si>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</si>
  <si>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</si>
  <si>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</si>
  <si>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</si>
  <si>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</si>
  <si>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</si>
  <si>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</si>
  <si>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</si>
  <si>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</si>
  <si>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</si>
  <si>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</si>
  <si>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</si>
  <si>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</si>
  <si>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</si>
  <si>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</si>
  <si>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</si>
  <si>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</si>
  <si>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</si>
  <si>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</si>
  <si>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</si>
  <si>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</si>
  <si>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</si>
  <si>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</si>
  <si>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</si>
  <si>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</si>
  <si>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</si>
  <si>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</si>
  <si>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</si>
  <si>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</si>
  <si>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</si>
  <si>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</si>
  <si>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</si>
  <si>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</si>
  <si>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</si>
  <si>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</si>
  <si>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</si>
  <si>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</si>
  <si>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</si>
  <si>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</si>
  <si>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</si>
  <si>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</si>
  <si>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</si>
  <si>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</si>
  <si>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</si>
  <si>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</si>
  <si>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</si>
  <si>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</si>
  <si>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</si>
  <si>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</si>
  <si>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</si>
  <si>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</si>
  <si>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</si>
  <si>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</si>
  <si>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</si>
  <si>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</si>
  <si>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</si>
  <si>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</si>
  <si>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</si>
  <si>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</si>
  <si>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</si>
  <si>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</si>
  <si>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</si>
  <si>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</si>
  <si>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</si>
  <si>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</si>
  <si>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</si>
  <si>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</si>
  <si>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</si>
  <si>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</si>
  <si>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</si>
  <si>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</si>
  <si>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</si>
  <si>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</si>
  <si>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</si>
  <si>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</si>
  <si>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</si>
  <si>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</si>
  <si>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</si>
  <si>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</si>
  <si>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</si>
  <si>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</si>
  <si>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</si>
  <si>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</si>
  <si>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</si>
  <si>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</si>
  <si>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</si>
  <si>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</si>
  <si>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</si>
  <si>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</si>
  <si>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</si>
  <si>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</si>
  <si>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</si>
  <si>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</si>
  <si>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</si>
  <si>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</si>
  <si>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</si>
  <si>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</si>
  <si>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</si>
  <si>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</si>
  <si>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</si>
  <si>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</si>
  <si>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</si>
  <si>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</si>
  <si>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</si>
  <si>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</si>
  <si>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</si>
  <si>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</si>
  <si>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</si>
  <si>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</si>
  <si>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</si>
  <si>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</si>
  <si>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</si>
  <si>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</si>
  <si>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</si>
  <si>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</si>
  <si>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</si>
  <si>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</si>
  <si>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</si>
  <si>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</si>
  <si>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</si>
  <si>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</si>
  <si>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</si>
  <si>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</si>
  <si>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</si>
  <si>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</si>
  <si>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</si>
  <si>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</si>
  <si>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</si>
  <si>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</si>
  <si>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</si>
  <si>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</si>
  <si>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</si>
  <si>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</si>
  <si>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</si>
  <si>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</si>
  <si>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</si>
  <si>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</si>
  <si>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</si>
  <si>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</si>
  <si>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</si>
  <si>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</si>
  <si>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</si>
  <si>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</si>
  <si>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</si>
  <si>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</si>
  <si>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</si>
  <si>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</si>
  <si>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</si>
  <si>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</si>
  <si>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</si>
  <si>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</si>
  <si>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</si>
  <si>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</si>
  <si>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</si>
  <si>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</si>
  <si>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</si>
  <si>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</si>
  <si>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</si>
  <si>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</si>
  <si>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</si>
  <si>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</si>
  <si>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</si>
  <si>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</si>
  <si>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</si>
  <si>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</si>
  <si>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</si>
  <si>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</si>
  <si>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</si>
  <si>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</si>
  <si>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</si>
  <si>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</si>
  <si>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</si>
  <si>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</si>
  <si>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</si>
  <si>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</si>
  <si>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</si>
  <si>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</si>
  <si>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</si>
  <si>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</si>
  <si>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</si>
  <si>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</si>
  <si>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</si>
  <si>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</si>
  <si>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</si>
  <si>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</si>
  <si>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</si>
  <si>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</si>
  <si>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</si>
  <si>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</si>
  <si>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</si>
  <si>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</si>
  <si>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</si>
  <si>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</si>
  <si>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</si>
  <si>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</si>
  <si>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</si>
  <si>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</si>
  <si>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</si>
  <si>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</si>
  <si>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</si>
  <si>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</si>
  <si>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</si>
  <si>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</si>
  <si>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</si>
  <si>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</si>
  <si>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</si>
  <si>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</si>
  <si>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</si>
  <si>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</si>
  <si>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</si>
  <si>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</si>
  <si>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</si>
  <si>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</si>
  <si>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</si>
  <si>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</si>
  <si>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</si>
  <si>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</si>
  <si>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</si>
  <si>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</si>
  <si>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</si>
  <si>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</si>
  <si>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</si>
  <si>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</si>
  <si>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</si>
  <si>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</si>
  <si>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</si>
  <si>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</si>
  <si>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</si>
  <si>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</si>
  <si>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</si>
  <si>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</si>
  <si>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</si>
  <si>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</si>
  <si>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</si>
  <si>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</si>
  <si>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</si>
  <si>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</si>
  <si>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</si>
  <si>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</si>
  <si>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</si>
  <si>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</si>
  <si>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</si>
  <si>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</si>
  <si>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</si>
  <si>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</si>
  <si>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</si>
  <si>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</si>
  <si>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</si>
  <si>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</si>
  <si>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</si>
  <si>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</si>
  <si>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</si>
  <si>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</si>
  <si>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</si>
  <si>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</si>
  <si>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</si>
  <si>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</si>
  <si>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</si>
  <si>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</si>
  <si>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</si>
  <si>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</si>
  <si>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</si>
  <si>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</si>
  <si>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</si>
  <si>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</si>
  <si>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</si>
  <si>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</si>
  <si>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</si>
  <si>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</si>
  <si>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</si>
  <si>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</si>
  <si>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</si>
  <si>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</si>
  <si>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</si>
  <si>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</si>
  <si>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</si>
  <si>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</si>
  <si>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</si>
  <si>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</si>
  <si>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</si>
  <si>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</si>
  <si>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</si>
  <si>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</si>
  <si>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</si>
  <si>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</si>
  <si>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</si>
  <si>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</si>
  <si>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</si>
  <si>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</si>
  <si>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</si>
  <si>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</si>
  <si>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</si>
  <si>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</si>
  <si>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</si>
  <si>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</si>
  <si>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</si>
  <si>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</si>
  <si>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</si>
  <si>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</si>
  <si>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</si>
  <si>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</si>
  <si>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</si>
  <si>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</si>
  <si>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</si>
  <si>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</si>
  <si>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</si>
  <si>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</si>
  <si>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</si>
  <si>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</si>
  <si>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</si>
  <si>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</si>
  <si>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</si>
  <si>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</si>
  <si>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</si>
  <si>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</si>
  <si>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</si>
  <si>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</si>
  <si>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</si>
  <si>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</si>
  <si>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</si>
  <si>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</si>
  <si>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</si>
  <si>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</si>
  <si>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</si>
  <si>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</si>
  <si>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</si>
  <si>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</si>
  <si>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</si>
  <si>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</si>
  <si>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</si>
  <si>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</si>
  <si>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</si>
  <si>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</si>
  <si>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</si>
  <si>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</si>
  <si>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</si>
  <si>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</si>
  <si>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</si>
  <si>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</si>
  <si>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</si>
  <si>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</si>
  <si>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</si>
  <si>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</si>
  <si>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</si>
  <si>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</si>
  <si>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</si>
  <si>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</si>
  <si>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</si>
  <si>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</si>
  <si>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</si>
  <si>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</si>
  <si>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</si>
  <si>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</si>
  <si>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</si>
  <si>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</si>
  <si>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</si>
  <si>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</si>
  <si>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</si>
  <si>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</si>
  <si>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</si>
  <si>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</si>
  <si>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</si>
  <si>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</si>
  <si>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</si>
  <si>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</si>
  <si>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</si>
  <si>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</si>
  <si>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</si>
  <si>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</si>
  <si>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</si>
  <si>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</si>
  <si>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</si>
  <si>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</si>
  <si>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</si>
  <si>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</si>
  <si>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</si>
  <si>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</si>
  <si>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</si>
  <si>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</si>
  <si>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</si>
  <si>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</si>
  <si>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</si>
  <si>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</si>
  <si>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</si>
  <si>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</si>
  <si>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</si>
  <si>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</si>
  <si>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</si>
  <si>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</si>
  <si>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</si>
  <si>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</si>
  <si>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</si>
  <si>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</si>
  <si>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</si>
  <si>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</si>
  <si>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</si>
  <si>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</si>
  <si>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</si>
  <si>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</si>
  <si>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</si>
  <si>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</si>
  <si>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</si>
  <si>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</si>
  <si>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</si>
  <si>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</si>
  <si>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</si>
  <si>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</si>
  <si>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</si>
  <si>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</si>
  <si>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</si>
  <si>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</si>
  <si>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</si>
  <si>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</si>
  <si>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</si>
  <si>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</si>
  <si>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</si>
  <si>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</si>
  <si>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</si>
  <si>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</si>
  <si>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</si>
  <si>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</si>
  <si>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</si>
  <si>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</si>
  <si>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</si>
  <si>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</si>
  <si>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</si>
  <si>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</si>
  <si>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</si>
  <si>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</si>
  <si>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</si>
  <si>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</si>
  <si>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</si>
  <si>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</si>
  <si>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</si>
  <si>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</si>
  <si>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</si>
  <si>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</si>
  <si>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</si>
  <si>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</si>
  <si>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</si>
  <si>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</si>
  <si>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</si>
  <si>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</si>
  <si>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</si>
  <si>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</si>
  <si>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</si>
  <si>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</si>
  <si>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</si>
  <si>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</si>
  <si>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</si>
  <si>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</si>
  <si>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</si>
  <si>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</si>
  <si>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</si>
  <si>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</si>
  <si>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</si>
  <si>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</si>
  <si>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</si>
  <si>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</si>
  <si>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</si>
  <si>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</si>
  <si>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</si>
  <si>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</si>
  <si>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</si>
  <si>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</si>
  <si>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</si>
  <si>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</si>
  <si>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</si>
  <si>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</si>
  <si>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</si>
  <si>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</si>
  <si>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</si>
  <si>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</si>
  <si>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</si>
  <si>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</si>
  <si>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</si>
  <si>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</si>
  <si>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</si>
  <si>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</si>
  <si>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</si>
  <si>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</si>
  <si>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</si>
  <si>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</si>
  <si>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</si>
  <si>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</si>
  <si>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</si>
  <si>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</si>
  <si>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</si>
  <si>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</si>
  <si>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</si>
  <si>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</si>
  <si>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</si>
  <si>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</si>
  <si>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</si>
  <si>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</si>
  <si>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</si>
  <si>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</si>
  <si>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</si>
  <si>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</si>
  <si>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</si>
  <si>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</si>
  <si>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</si>
  <si>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</si>
  <si>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</si>
  <si>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</si>
  <si>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</si>
  <si>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</si>
  <si>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</si>
  <si>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</si>
  <si>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</si>
  <si>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</si>
  <si>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</si>
  <si>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</si>
  <si>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</si>
  <si>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</si>
  <si>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</si>
  <si>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</si>
  <si>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</si>
  <si>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</si>
  <si>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</si>
  <si>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</si>
  <si>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</si>
  <si>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</si>
  <si>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</si>
  <si>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</si>
  <si>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</si>
  <si>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</si>
  <si>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</si>
  <si>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</si>
  <si>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</si>
  <si>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</si>
  <si>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</si>
  <si>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</si>
  <si>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</si>
  <si>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</si>
  <si>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</si>
  <si>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</si>
  <si>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</si>
  <si>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</si>
  <si>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</si>
  <si>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</si>
  <si>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</si>
  <si>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</si>
  <si>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</si>
  <si>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</si>
  <si>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</si>
  <si>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</si>
  <si>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</si>
  <si>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</si>
  <si>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</si>
  <si>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</si>
  <si>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</si>
  <si>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</si>
  <si>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</si>
  <si>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</si>
  <si>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</si>
  <si>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</si>
  <si>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</si>
  <si>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</si>
  <si>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</si>
  <si>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</si>
  <si>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</si>
  <si>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</si>
  <si>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</si>
  <si>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</si>
  <si>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</si>
  <si>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</si>
  <si>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</si>
  <si>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</si>
  <si>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</si>
  <si>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</si>
  <si>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</si>
  <si>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</si>
  <si>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</si>
  <si>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</si>
  <si>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</si>
  <si>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</si>
  <si>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</si>
  <si>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</si>
  <si>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</si>
  <si>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</si>
  <si>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</si>
  <si>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</si>
  <si>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</si>
  <si>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</si>
  <si>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</si>
  <si>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</si>
  <si>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</si>
  <si>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</si>
  <si>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</si>
  <si>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</si>
  <si>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</si>
  <si>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</si>
  <si>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</si>
  <si>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</si>
  <si>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</si>
  <si>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</si>
  <si>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</si>
  <si>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</si>
  <si>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</si>
  <si>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</si>
  <si>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</si>
  <si>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</si>
  <si>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</si>
  <si>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</si>
  <si>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</si>
  <si>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</si>
  <si>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</si>
  <si>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</si>
  <si>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</si>
  <si>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</si>
  <si>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</si>
  <si>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</si>
  <si>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</si>
  <si>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</si>
  <si>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</si>
  <si>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</si>
  <si>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</si>
  <si>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</si>
  <si>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</si>
  <si>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</si>
  <si>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</si>
  <si>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</si>
  <si>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</si>
  <si>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</si>
  <si>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</si>
  <si>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</si>
  <si>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</si>
  <si>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</si>
  <si>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</si>
  <si>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</si>
  <si>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</si>
  <si>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</si>
  <si>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</si>
  <si>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</si>
  <si>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</si>
  <si>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</si>
  <si>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</si>
  <si>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</si>
  <si>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</si>
  <si>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</si>
  <si>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</si>
  <si>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</si>
  <si>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</si>
  <si>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</si>
  <si>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</si>
  <si>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</si>
  <si>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</si>
  <si>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</si>
  <si>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</si>
  <si>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</si>
  <si>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</si>
  <si>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</si>
  <si>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</si>
  <si>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</si>
  <si>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</si>
  <si>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</si>
  <si>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</si>
  <si>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</si>
  <si>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</si>
  <si>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</si>
  <si>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</si>
  <si>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</si>
  <si>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</si>
  <si>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</si>
  <si>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</si>
  <si>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</si>
  <si>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</si>
  <si>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</si>
  <si>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</si>
  <si>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</si>
  <si>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</si>
  <si>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</si>
  <si>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</si>
  <si>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</si>
  <si>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</si>
  <si>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</si>
  <si>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</si>
  <si>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</si>
  <si>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</si>
  <si>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</si>
  <si>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</si>
  <si>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</si>
  <si>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</si>
  <si>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</si>
  <si>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</si>
  <si>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</si>
  <si>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</si>
  <si>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</si>
  <si>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</si>
  <si>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</si>
  <si>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</si>
  <si>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</si>
  <si>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</si>
  <si>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</si>
  <si>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</si>
  <si>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</si>
  <si>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</si>
  <si>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</si>
  <si>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</si>
  <si>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</si>
  <si>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</si>
  <si>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</si>
  <si>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</si>
  <si>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</si>
  <si>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</si>
  <si>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</si>
  <si>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</si>
  <si>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</si>
  <si>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</si>
  <si>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</si>
  <si>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</si>
  <si>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</si>
  <si>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</si>
  <si>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</si>
  <si>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</si>
  <si>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</si>
  <si>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</si>
  <si>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</si>
  <si>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</si>
  <si>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</si>
  <si>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</si>
  <si>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</si>
  <si>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</si>
  <si>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</si>
  <si>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</si>
  <si>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</si>
  <si>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</si>
  <si>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</si>
  <si>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</si>
  <si>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</si>
  <si>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</si>
  <si>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</si>
  <si>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</si>
  <si>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</si>
  <si>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</si>
  <si>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</si>
  <si>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</si>
  <si>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</si>
  <si>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</si>
  <si>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</si>
  <si>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</si>
  <si>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</si>
  <si>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</si>
  <si>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</si>
  <si>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</si>
  <si>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</si>
  <si>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</si>
  <si>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</si>
  <si>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</si>
  <si>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</si>
  <si>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</si>
  <si>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</si>
  <si>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</si>
  <si>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</si>
  <si>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</si>
  <si>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</si>
  <si>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</si>
  <si>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</si>
  <si>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</si>
  <si>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</si>
  <si>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</si>
  <si>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</si>
  <si>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</si>
  <si>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</si>
  <si>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</si>
  <si>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</si>
  <si>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</si>
  <si>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</si>
  <si>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</si>
  <si>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</si>
  <si>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</si>
  <si>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</si>
  <si>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</si>
  <si>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</si>
  <si>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</si>
  <si>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</si>
  <si>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</si>
  <si>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</si>
  <si>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</si>
  <si>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</si>
  <si>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</si>
  <si>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</si>
  <si>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</si>
  <si>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</si>
  <si>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</si>
  <si>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</si>
  <si>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</si>
  <si>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</si>
  <si>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</si>
  <si>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</si>
  <si>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</si>
  <si>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</si>
  <si>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</si>
  <si>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</si>
  <si>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</si>
  <si>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</si>
  <si>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</si>
  <si>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</si>
  <si>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</si>
  <si>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</si>
  <si>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</si>
  <si>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</si>
  <si>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</si>
  <si>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</si>
  <si>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</si>
  <si>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</si>
  <si>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</si>
  <si>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</si>
  <si>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</si>
  <si>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</si>
  <si>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</si>
  <si>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</si>
  <si>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</si>
  <si>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</si>
  <si>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</si>
  <si>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</si>
  <si>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</si>
  <si>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</si>
  <si>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</si>
  <si>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</si>
  <si>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</si>
  <si>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</si>
  <si>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</si>
  <si>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</si>
  <si>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</si>
  <si>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</si>
  <si>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</si>
  <si>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</si>
  <si>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</si>
  <si>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</si>
  <si>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</si>
  <si>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</si>
  <si>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</si>
  <si>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</si>
  <si>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</si>
  <si>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</si>
  <si>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</si>
  <si>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</si>
  <si>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</si>
  <si>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</si>
  <si>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</si>
  <si>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</si>
  <si>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</si>
  <si>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</si>
  <si>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</si>
  <si>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</si>
  <si>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</si>
  <si>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</si>
  <si>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</si>
  <si>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</si>
  <si>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</si>
  <si>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</si>
  <si>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</si>
  <si>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</si>
  <si>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</si>
  <si>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</si>
  <si>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</si>
  <si>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</si>
  <si>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</si>
  <si>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</si>
  <si>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</si>
  <si>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</si>
  <si>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</si>
  <si>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</si>
  <si>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</si>
  <si>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</si>
  <si>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</si>
  <si>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</si>
  <si>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</si>
  <si>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</si>
  <si>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</si>
  <si>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</si>
  <si>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</si>
  <si>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</si>
  <si>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</si>
  <si>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</si>
  <si>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</si>
  <si>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</si>
  <si>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</si>
  <si>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</si>
  <si>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</si>
  <si>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</si>
  <si>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</si>
  <si>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</si>
  <si>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</si>
  <si>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</si>
  <si>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</si>
  <si>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</si>
  <si>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</si>
  <si>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</si>
  <si>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</si>
  <si>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</si>
  <si>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</si>
  <si>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</si>
  <si>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</si>
  <si>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</si>
  <si>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</si>
  <si>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</si>
  <si>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</si>
  <si>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</si>
  <si>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</si>
  <si>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</si>
  <si>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</si>
  <si>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</si>
  <si>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</si>
  <si>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</si>
  <si>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</si>
  <si>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</si>
  <si>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</si>
  <si>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</si>
  <si>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</si>
  <si>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</si>
  <si>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</si>
  <si>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</si>
  <si>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</si>
  <si>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</si>
  <si>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</si>
  <si>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</si>
  <si>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</si>
  <si>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</si>
  <si>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</si>
  <si>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</si>
  <si>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</si>
  <si>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</si>
  <si>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</si>
  <si>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</si>
  <si>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</si>
  <si>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</si>
  <si>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</si>
  <si>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</si>
  <si>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</si>
  <si>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</si>
  <si>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</si>
  <si>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</si>
  <si>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</si>
  <si>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</si>
  <si>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</si>
  <si>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</si>
  <si>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</si>
  <si>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</si>
  <si>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</si>
  <si>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</si>
  <si>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</si>
  <si>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</si>
  <si>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</si>
  <si>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</si>
  <si>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</si>
  <si>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</si>
  <si>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</si>
  <si>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</si>
  <si>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</si>
  <si>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</si>
  <si>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</si>
  <si>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</si>
  <si>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</si>
  <si>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</si>
  <si>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</si>
  <si>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</si>
  <si>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</si>
  <si>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</si>
  <si>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</si>
  <si>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</si>
  <si>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</si>
  <si>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</si>
  <si>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</si>
  <si>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</si>
  <si>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</si>
  <si>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</si>
  <si>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</si>
  <si>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</si>
  <si>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</si>
  <si>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</si>
  <si>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</si>
  <si>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</si>
  <si>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</si>
  <si>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</si>
  <si>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</si>
  <si>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</si>
  <si>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</si>
  <si>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</si>
  <si>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</si>
  <si>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</si>
  <si>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</si>
  <si>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</si>
  <si>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</si>
  <si>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</si>
  <si>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</si>
  <si>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</si>
  <si>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</si>
  <si>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</si>
  <si>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</si>
  <si>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</si>
  <si>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</si>
  <si>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</si>
  <si>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</si>
  <si>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</si>
  <si>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</si>
  <si>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</si>
  <si>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</si>
  <si>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</si>
  <si>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</si>
  <si>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</si>
  <si>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</si>
  <si>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</si>
  <si>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</si>
  <si>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</si>
  <si>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</si>
  <si>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</si>
  <si>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</si>
  <si>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</si>
  <si>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</si>
  <si>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</si>
  <si>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</si>
  <si>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</si>
  <si>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</si>
  <si>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</si>
  <si>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</si>
  <si>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</si>
  <si>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</si>
  <si>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</si>
  <si>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</si>
  <si>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</si>
  <si>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</si>
  <si>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</si>
  <si>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</si>
  <si>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</si>
  <si>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</si>
  <si>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</si>
  <si>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</si>
  <si>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</si>
  <si>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</si>
  <si>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</si>
  <si>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</si>
  <si>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</si>
  <si>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</si>
  <si>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</si>
  <si>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</si>
  <si>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</si>
  <si>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</si>
  <si>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</si>
  <si>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</si>
  <si>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</si>
  <si>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</si>
  <si>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</si>
  <si>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</si>
  <si>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</si>
  <si>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</si>
  <si>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</si>
  <si>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</si>
  <si>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</si>
  <si>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</si>
  <si>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</si>
  <si>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</si>
  <si>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</si>
  <si>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</si>
  <si>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</si>
  <si>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</si>
  <si>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</si>
  <si>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</si>
  <si>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</si>
  <si>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</si>
  <si>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</si>
  <si>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</si>
  <si>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</si>
  <si>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</si>
  <si>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</si>
  <si>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</si>
  <si>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</si>
  <si>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</si>
  <si>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</si>
  <si>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</si>
  <si>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</si>
  <si>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</si>
  <si>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</si>
  <si>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</si>
  <si>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</si>
  <si>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</si>
  <si>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</si>
  <si>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</si>
  <si>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</si>
  <si>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</si>
  <si>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</si>
  <si>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</si>
  <si>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</si>
  <si>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</si>
  <si>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</si>
  <si>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</si>
  <si>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</si>
  <si>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</si>
  <si>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</si>
  <si>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</si>
  <si>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</si>
  <si>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</si>
  <si>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</si>
  <si>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</si>
  <si>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</si>
  <si>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</si>
  <si>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</si>
  <si>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</si>
  <si>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</si>
  <si>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</si>
  <si>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</si>
  <si>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</si>
  <si>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</si>
  <si>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</si>
  <si>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</si>
  <si>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</si>
  <si>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</si>
  <si>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</si>
  <si>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</si>
  <si>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</si>
  <si>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</si>
  <si>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</si>
  <si>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</si>
  <si>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</si>
  <si>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</si>
  <si>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</si>
  <si>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</si>
  <si>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</si>
  <si>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</si>
  <si>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</si>
  <si>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</si>
  <si>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</si>
  <si>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</si>
  <si>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</si>
  <si>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</si>
  <si>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</si>
  <si>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</si>
  <si>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</si>
  <si>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</si>
  <si>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</si>
  <si>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</si>
  <si>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</si>
  <si>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</si>
  <si>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</si>
  <si>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</si>
  <si>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</si>
  <si>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</si>
  <si>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</si>
  <si>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</si>
  <si>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</si>
  <si>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</si>
  <si>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</si>
  <si>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</si>
  <si>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</si>
  <si>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</si>
  <si>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</si>
  <si>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</si>
  <si>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</si>
  <si>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</si>
  <si>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</si>
  <si>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</si>
  <si>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</si>
  <si>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</si>
  <si>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</si>
  <si>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</si>
  <si>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</si>
  <si>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</si>
  <si>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</si>
  <si>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</si>
  <si>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</si>
  <si>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</si>
  <si>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</si>
  <si>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</si>
  <si>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</si>
  <si>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</si>
  <si>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</si>
  <si>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</si>
  <si>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</si>
  <si>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</si>
  <si>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</si>
  <si>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</si>
  <si>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</si>
  <si>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</si>
  <si>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</si>
  <si>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</si>
  <si>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</si>
  <si>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</si>
  <si>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</si>
  <si>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</si>
  <si>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</si>
  <si>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</si>
  <si>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</si>
  <si>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</si>
  <si>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</si>
  <si>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</si>
  <si>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</si>
  <si>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</si>
  <si>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</si>
  <si>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</si>
  <si>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</si>
  <si>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</si>
  <si>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</si>
  <si>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</si>
  <si>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</si>
  <si>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</si>
  <si>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</si>
  <si>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</si>
  <si>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</si>
  <si>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</si>
  <si>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</si>
  <si>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</si>
  <si>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</si>
  <si>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</si>
  <si>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</si>
  <si>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</si>
  <si>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</si>
  <si>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</si>
  <si>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</si>
  <si>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</si>
  <si>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</si>
  <si>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</si>
  <si>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</si>
  <si>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</si>
  <si>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</si>
  <si>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</si>
  <si>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</si>
  <si>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</si>
  <si>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</si>
  <si>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</si>
  <si>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</si>
  <si>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</si>
  <si>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</si>
  <si>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</si>
  <si>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</si>
  <si>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</si>
  <si>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</si>
  <si>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</si>
  <si>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</si>
  <si>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</si>
  <si>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</si>
  <si>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</si>
  <si>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</si>
  <si>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</si>
  <si>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</si>
  <si>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</si>
  <si>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</si>
  <si>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</si>
  <si>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</si>
  <si>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</si>
  <si>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</si>
  <si>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</si>
  <si>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</si>
  <si>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</si>
  <si>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</si>
  <si>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</si>
  <si>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</si>
  <si>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</si>
  <si>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</si>
  <si>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</si>
  <si>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</si>
  <si>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</si>
  <si>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</si>
  <si>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</si>
  <si>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</si>
  <si>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</si>
  <si>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</si>
  <si>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</si>
  <si>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</si>
  <si>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</si>
  <si>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</si>
  <si>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</si>
  <si>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</si>
  <si>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</si>
  <si>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</si>
  <si>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</si>
  <si>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</si>
  <si>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</si>
  <si>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</si>
  <si>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</si>
  <si>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</si>
  <si>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</si>
  <si>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</si>
  <si>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</si>
  <si>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</si>
  <si>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</si>
  <si>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</si>
  <si>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</si>
  <si>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</si>
  <si>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</si>
  <si>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</si>
  <si>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</si>
  <si>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</si>
  <si>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</si>
  <si>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</si>
  <si>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</si>
  <si>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</si>
  <si>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</si>
  <si>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</si>
  <si>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</si>
  <si>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</si>
  <si>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</si>
  <si>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</si>
  <si>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</si>
  <si>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</si>
  <si>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</si>
  <si>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</si>
  <si>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</si>
  <si>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</si>
  <si>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</si>
  <si>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</si>
  <si>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</si>
  <si>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</si>
  <si>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</si>
  <si>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</si>
  <si>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</si>
  <si>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</si>
  <si>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</si>
  <si>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</si>
  <si>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</si>
  <si>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</si>
  <si>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</si>
  <si>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</si>
  <si>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</si>
  <si>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</si>
  <si>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</si>
  <si>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</si>
  <si>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</si>
  <si>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</si>
  <si>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</si>
  <si>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</si>
  <si>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</si>
  <si>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</si>
  <si>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</si>
  <si>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</si>
  <si>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</si>
  <si>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</si>
  <si>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</si>
  <si>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</si>
  <si>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</si>
  <si>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</si>
  <si>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</si>
  <si>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</si>
  <si>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</si>
  <si>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</si>
  <si>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</si>
  <si>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</si>
  <si>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</si>
  <si>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</si>
  <si>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</si>
  <si>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</si>
  <si>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</si>
  <si>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</si>
  <si>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</si>
  <si>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</si>
  <si>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</si>
  <si>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</si>
  <si>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</si>
  <si>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</si>
  <si>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</si>
  <si>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</si>
  <si>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</si>
  <si>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</si>
  <si>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</si>
  <si>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</si>
  <si>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</si>
  <si>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</si>
  <si>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</si>
  <si>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</si>
  <si>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</si>
  <si>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</si>
  <si>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</si>
  <si>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</si>
  <si>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</si>
  <si>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</si>
  <si>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</si>
  <si>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</si>
  <si>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</si>
  <si>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</si>
  <si>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</si>
  <si>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</si>
  <si>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</si>
  <si>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</si>
  <si>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</si>
  <si>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</si>
  <si>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</si>
  <si>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</si>
  <si>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</si>
  <si>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</si>
  <si>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</si>
  <si>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</si>
  <si>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</si>
  <si>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</si>
  <si>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</si>
  <si>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</si>
  <si>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</si>
  <si>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</si>
  <si>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</si>
  <si>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</si>
  <si>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</si>
  <si>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</si>
  <si>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</si>
  <si>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</si>
  <si>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</si>
  <si>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</si>
  <si>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</si>
  <si>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</si>
  <si>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</si>
  <si>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</si>
  <si>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</si>
  <si>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</si>
  <si>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</si>
  <si>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</si>
  <si>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</si>
  <si>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</si>
  <si>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</si>
  <si>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</si>
  <si>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</si>
  <si>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</si>
  <si>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</si>
  <si>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</si>
  <si>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</si>
  <si>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</si>
  <si>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</si>
  <si>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r>
      <t>1</t>
    </r>
    <r>
      <rPr>
        <sz val="11"/>
        <color theme="1"/>
        <rFont val="宋体"/>
        <family val="3"/>
        <charset val="134"/>
        <scheme val="minor"/>
      </rPr>
      <t>03号</t>
    </r>
    <phoneticPr fontId="134" type="noConversion"/>
  </si>
  <si>
    <r>
      <t>3</t>
    </r>
    <r>
      <rPr>
        <sz val="11"/>
        <color theme="1"/>
        <rFont val="宋体"/>
        <family val="3"/>
        <charset val="134"/>
        <scheme val="minor"/>
      </rPr>
      <t>01号</t>
    </r>
    <phoneticPr fontId="134" type="noConversion"/>
  </si>
  <si>
    <r>
      <t>4</t>
    </r>
    <r>
      <rPr>
        <sz val="11"/>
        <color theme="1"/>
        <rFont val="宋体"/>
        <family val="3"/>
        <charset val="134"/>
        <scheme val="minor"/>
      </rPr>
      <t>01号</t>
    </r>
    <phoneticPr fontId="134" type="noConversion"/>
  </si>
  <si>
    <t>501号</t>
    <phoneticPr fontId="134" type="noConversion"/>
  </si>
  <si>
    <r>
      <t>2号楼B栋</t>
    </r>
    <r>
      <rPr>
        <sz val="11"/>
        <color theme="1"/>
        <rFont val="宋体"/>
        <family val="3"/>
        <charset val="134"/>
        <scheme val="minor"/>
      </rPr>
      <t>4层</t>
    </r>
    <phoneticPr fontId="134" type="noConversion"/>
  </si>
  <si>
    <t>建筑面积</t>
    <phoneticPr fontId="134" type="noConversion"/>
  </si>
  <si>
    <t>位置</t>
    <phoneticPr fontId="134" type="noConversion"/>
  </si>
  <si>
    <t>租赁期限</t>
    <phoneticPr fontId="134" type="noConversion"/>
  </si>
  <si>
    <r>
      <t>租金含税9</t>
    </r>
    <r>
      <rPr>
        <sz val="11"/>
        <color theme="1"/>
        <rFont val="宋体"/>
        <family val="3"/>
        <charset val="134"/>
        <scheme val="minor"/>
      </rPr>
      <t>%</t>
    </r>
    <phoneticPr fontId="134" type="noConversion"/>
  </si>
  <si>
    <t>写字楼部分</t>
    <phoneticPr fontId="134" type="noConversion"/>
  </si>
  <si>
    <t>日租金</t>
    <phoneticPr fontId="134" type="noConversion"/>
  </si>
  <si>
    <t>增长率</t>
    <phoneticPr fontId="134" type="noConversion"/>
  </si>
  <si>
    <r>
      <t>每3年增长</t>
    </r>
    <r>
      <rPr>
        <sz val="11"/>
        <color theme="1"/>
        <rFont val="宋体"/>
        <family val="3"/>
        <charset val="134"/>
        <scheme val="minor"/>
      </rPr>
      <t>15%</t>
    </r>
    <phoneticPr fontId="134" type="noConversion"/>
  </si>
  <si>
    <t>租金金额含税</t>
    <phoneticPr fontId="134" type="noConversion"/>
  </si>
  <si>
    <r>
      <t>文智路1</t>
    </r>
    <r>
      <rPr>
        <sz val="11"/>
        <color theme="1"/>
        <rFont val="宋体"/>
        <family val="3"/>
        <charset val="134"/>
        <scheme val="minor"/>
      </rPr>
      <t>5号院6号楼1001</t>
    </r>
    <phoneticPr fontId="134" type="noConversion"/>
  </si>
  <si>
    <t>文化设施</t>
    <phoneticPr fontId="134" type="noConversion"/>
  </si>
  <si>
    <t>日租金标准</t>
    <phoneticPr fontId="134" type="noConversion"/>
  </si>
  <si>
    <t>日数</t>
    <phoneticPr fontId="134" type="noConversion"/>
  </si>
  <si>
    <t>租金含税</t>
    <phoneticPr fontId="134" type="noConversion"/>
  </si>
  <si>
    <r>
      <t>文智路1</t>
    </r>
    <r>
      <rPr>
        <sz val="11"/>
        <color theme="1"/>
        <rFont val="宋体"/>
        <family val="3"/>
        <charset val="134"/>
        <scheme val="minor"/>
      </rPr>
      <t>5号院7号楼101（西侧）室及2个车位</t>
    </r>
    <phoneticPr fontId="134" type="noConversion"/>
  </si>
  <si>
    <t>商业</t>
    <phoneticPr fontId="134" type="noConversion"/>
  </si>
  <si>
    <t>月租金</t>
    <phoneticPr fontId="134" type="noConversion"/>
  </si>
  <si>
    <t>文智路15号院6号楼1层101</t>
    <phoneticPr fontId="134" type="noConversion"/>
  </si>
  <si>
    <r>
      <t>每三年月租金递增6</t>
    </r>
    <r>
      <rPr>
        <sz val="11"/>
        <color theme="1"/>
        <rFont val="宋体"/>
        <family val="3"/>
        <charset val="134"/>
        <scheme val="minor"/>
      </rPr>
      <t>%</t>
    </r>
    <phoneticPr fontId="134" type="noConversion"/>
  </si>
  <si>
    <r>
      <t>2</t>
    </r>
    <r>
      <rPr>
        <sz val="11"/>
        <color theme="1"/>
        <rFont val="宋体"/>
        <family val="3"/>
        <charset val="134"/>
        <scheme val="minor"/>
      </rPr>
      <t>40-254.4</t>
    </r>
    <phoneticPr fontId="134" type="noConversion"/>
  </si>
  <si>
    <t>含税</t>
    <phoneticPr fontId="134" type="noConversion"/>
  </si>
  <si>
    <t>租赁期间</t>
    <phoneticPr fontId="134" type="noConversion"/>
  </si>
  <si>
    <t>租金标准</t>
    <phoneticPr fontId="134" type="noConversion"/>
  </si>
  <si>
    <t>月数</t>
    <phoneticPr fontId="134" type="noConversion"/>
  </si>
  <si>
    <r>
      <t>文智路1</t>
    </r>
    <r>
      <rPr>
        <sz val="11"/>
        <color theme="1"/>
        <rFont val="宋体"/>
        <family val="3"/>
        <charset val="134"/>
        <scheme val="minor"/>
      </rPr>
      <t>5号院6号楼1层102西侧</t>
    </r>
    <phoneticPr fontId="134" type="noConversion"/>
  </si>
  <si>
    <t>为装修期免收租金</t>
    <phoneticPr fontId="134" type="noConversion"/>
  </si>
  <si>
    <t>租户</t>
    <phoneticPr fontId="134" type="noConversion"/>
  </si>
  <si>
    <t>农行</t>
    <phoneticPr fontId="134" type="noConversion"/>
  </si>
  <si>
    <t>租赁期限</t>
    <phoneticPr fontId="134" type="noConversion"/>
  </si>
  <si>
    <t>日租金</t>
    <phoneticPr fontId="134" type="noConversion"/>
  </si>
  <si>
    <t>日数</t>
    <phoneticPr fontId="134" type="noConversion"/>
  </si>
  <si>
    <t>租金含税</t>
    <phoneticPr fontId="134" type="noConversion"/>
  </si>
  <si>
    <t>租金不含税</t>
    <phoneticPr fontId="134" type="noConversion"/>
  </si>
  <si>
    <r>
      <t>7</t>
    </r>
    <r>
      <rPr>
        <sz val="11"/>
        <color theme="1"/>
        <rFont val="宋体"/>
        <family val="3"/>
        <charset val="134"/>
        <scheme val="minor"/>
      </rPr>
      <t>.9-8.532</t>
    </r>
    <phoneticPr fontId="134" type="noConversion"/>
  </si>
  <si>
    <t>租赁方</t>
    <phoneticPr fontId="134" type="noConversion"/>
  </si>
  <si>
    <t>平安银行股份有限公司北京分行</t>
    <phoneticPr fontId="134" type="noConversion"/>
  </si>
  <si>
    <t>签约日期</t>
    <phoneticPr fontId="134" type="noConversion"/>
  </si>
  <si>
    <t>北京银行股份有限公司中关村支行</t>
    <phoneticPr fontId="134" type="noConversion"/>
  </si>
  <si>
    <t>免租期3个月</t>
    <phoneticPr fontId="134" type="noConversion"/>
  </si>
  <si>
    <t>中国农业银行股份有限公司北京昌平支行</t>
    <phoneticPr fontId="134" type="noConversion"/>
  </si>
  <si>
    <t>核定资产</t>
  </si>
  <si>
    <t>北京市</t>
  </si>
  <si>
    <t>企业</t>
  </si>
  <si>
    <r>
      <rPr>
        <sz val="10"/>
        <color theme="9" tint="-0.249977111117893"/>
        <rFont val="宋体"/>
        <family val="3"/>
        <charset val="134"/>
      </rPr>
      <t>昌平区文智路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103</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层</t>
    </r>
    <r>
      <rPr>
        <sz val="10"/>
        <color theme="9" tint="-0.249977111117893"/>
        <rFont val="Arial"/>
        <family val="2"/>
      </rPr>
      <t>401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phoneticPr fontId="6" type="noConversion"/>
  </si>
  <si>
    <t>北京招商局铭嘉房地产开发有限公司</t>
    <phoneticPr fontId="6" type="noConversion"/>
  </si>
  <si>
    <t>否</t>
  </si>
  <si>
    <t>现房</t>
  </si>
  <si>
    <t>Ⅷ-昌1</t>
  </si>
  <si>
    <t>地上</t>
  </si>
  <si>
    <t>是</t>
  </si>
  <si>
    <t>单套模式</t>
  </si>
  <si>
    <t>租金</t>
  </si>
  <si>
    <t>爱分类大厦</t>
    <phoneticPr fontId="3" type="noConversion"/>
  </si>
  <si>
    <t>正常</t>
  </si>
  <si>
    <t>商业</t>
    <phoneticPr fontId="30" type="noConversion"/>
  </si>
  <si>
    <r>
      <t>30-40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</si>
  <si>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</si>
  <si>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</si>
  <si>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</si>
  <si>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</si>
  <si>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40-50</t>
    </r>
    <r>
      <rPr>
        <sz val="11"/>
        <rFont val="宋体"/>
        <family val="3"/>
        <charset val="134"/>
      </rPr>
      <t>（含）</t>
    </r>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</si>
  <si>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</si>
  <si>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</si>
  <si>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</si>
  <si>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</si>
  <si>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</si>
  <si>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</si>
  <si>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</si>
  <si>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</si>
  <si>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</si>
  <si>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</si>
  <si>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</si>
  <si>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</si>
  <si>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</si>
  <si>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底层商业</t>
  </si>
  <si>
    <t>底层商业</t>
    <phoneticPr fontId="30" type="noConversion"/>
  </si>
  <si>
    <t>钢混</t>
  </si>
  <si>
    <t>钢混</t>
    <phoneticPr fontId="30" type="noConversion"/>
  </si>
  <si>
    <t>精装修</t>
    <phoneticPr fontId="30" type="noConversion"/>
  </si>
  <si>
    <t>普通装修</t>
  </si>
  <si>
    <t>普通装修</t>
    <phoneticPr fontId="30" type="noConversion"/>
  </si>
  <si>
    <t>简单装修</t>
  </si>
  <si>
    <t>简单装修</t>
    <phoneticPr fontId="30" type="noConversion"/>
  </si>
  <si>
    <t>毛坯</t>
  </si>
  <si>
    <t>毛坯</t>
    <phoneticPr fontId="30" type="noConversion"/>
  </si>
  <si>
    <t>七通</t>
    <phoneticPr fontId="30" type="noConversion"/>
  </si>
  <si>
    <t>六通</t>
  </si>
  <si>
    <t>六通</t>
    <phoneticPr fontId="30" type="noConversion"/>
  </si>
  <si>
    <t>五通</t>
    <phoneticPr fontId="30" type="noConversion"/>
  </si>
  <si>
    <t>四通</t>
    <phoneticPr fontId="30" type="noConversion"/>
  </si>
  <si>
    <t>可餐饮</t>
    <phoneticPr fontId="30" type="noConversion"/>
  </si>
  <si>
    <t>不可餐饮</t>
  </si>
  <si>
    <t>不可餐饮</t>
    <phoneticPr fontId="30" type="noConversion"/>
  </si>
  <si>
    <t>成新度</t>
  </si>
  <si>
    <t>竣工日期</t>
    <phoneticPr fontId="3" type="noConversion"/>
  </si>
  <si>
    <t>根据产权证</t>
    <phoneticPr fontId="3" type="noConversion"/>
  </si>
  <si>
    <t>直线</t>
    <phoneticPr fontId="3" type="noConversion"/>
  </si>
  <si>
    <t>1层</t>
  </si>
  <si>
    <t>有</t>
    <phoneticPr fontId="30" type="noConversion"/>
  </si>
  <si>
    <t>无</t>
    <phoneticPr fontId="30" type="noConversion"/>
  </si>
  <si>
    <t>门前有无停车位</t>
    <phoneticPr fontId="30" type="noConversion"/>
  </si>
  <si>
    <t>双面临街</t>
  </si>
  <si>
    <t>双面临街</t>
    <phoneticPr fontId="30" type="noConversion"/>
  </si>
  <si>
    <t>单面临街</t>
  </si>
  <si>
    <t>单面临街</t>
    <phoneticPr fontId="30" type="noConversion"/>
  </si>
  <si>
    <t>挂牌价</t>
  </si>
  <si>
    <t>挂牌价</t>
    <phoneticPr fontId="31" type="noConversion"/>
  </si>
  <si>
    <t>办公</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</si>
  <si>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</si>
  <si>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</si>
  <si>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</si>
  <si>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</si>
  <si>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</si>
  <si>
    <t>支路</t>
    <phoneticPr fontId="31" type="noConversion"/>
  </si>
  <si>
    <t>高楼层</t>
  </si>
  <si>
    <t>高楼层</t>
    <phoneticPr fontId="31" type="noConversion"/>
  </si>
  <si>
    <t>中楼层</t>
  </si>
  <si>
    <t>中楼层</t>
    <phoneticPr fontId="31" type="noConversion"/>
  </si>
  <si>
    <t>低楼层</t>
    <phoneticPr fontId="31" type="noConversion"/>
  </si>
  <si>
    <t>钢混</t>
    <phoneticPr fontId="31" type="noConversion"/>
  </si>
  <si>
    <t>专业</t>
  </si>
  <si>
    <t>专业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</si>
  <si>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</si>
  <si>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</si>
  <si>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</si>
  <si>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</si>
  <si>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</si>
  <si>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</si>
  <si>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</si>
  <si>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</si>
  <si>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</si>
  <si>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日租金含税</t>
    <phoneticPr fontId="134" type="noConversion"/>
  </si>
  <si>
    <t>银行给的租赁期限</t>
    <phoneticPr fontId="134" type="noConversion"/>
  </si>
  <si>
    <t>租金不含车位</t>
    <phoneticPr fontId="134" type="noConversion"/>
  </si>
  <si>
    <t>华控中心招商部張慧铭13552484459</t>
  </si>
  <si>
    <t>昌平南邵地铁站地标建筑独栋办公楼火爆招商</t>
  </si>
  <si>
    <t xml:space="preserve">🧧🧧🧧 🈴 🈴 🈴 </t>
  </si>
  <si>
    <t>【项目名称】：招商都会华控大厦</t>
  </si>
  <si>
    <t>【地理位置】：南邵地铁西侧1200米北邵洼地铁站1500米东关地铁站1800米</t>
  </si>
  <si>
    <t>10分钟开车到北六环路</t>
  </si>
  <si>
    <t xml:space="preserve">【办公空间】：两个独栋共计26900平 </t>
  </si>
  <si>
    <t>单层1400平（5-10层）</t>
  </si>
  <si>
    <t>分租111平起</t>
  </si>
  <si>
    <t>【商业底商】：6670平（1-4层）1-2单层1100平3层1500平米4层1350平</t>
  </si>
  <si>
    <t>【交 通】：地铁昌平线南邵站驾车3分钟即到</t>
  </si>
  <si>
    <t>公交昌3路昌65路昌66路C111路【景文屯北站】</t>
  </si>
  <si>
    <t>【租 金】：办公：3元/平/天（含物业发票）</t>
  </si>
  <si>
    <t>商业：1层12元/平/天 2层6元/平/天</t>
  </si>
  <si>
    <t>3层5元/平/天。</t>
  </si>
  <si>
    <t>【交付标准】精装修，支持定制装修</t>
  </si>
  <si>
    <t>【层 高】：首层4.5米，办公标准层4.2米</t>
  </si>
  <si>
    <t>【柱 距】： 8.4米</t>
  </si>
  <si>
    <t>【产品年限】：商业40年</t>
  </si>
  <si>
    <t>【电梯数量】：3部客梯1部货梯</t>
  </si>
  <si>
    <t>【空调系统】：中央空调</t>
  </si>
  <si>
    <t>商业配套:楼下农业银行，北京银行，麦当劳健身房，瑜伽馆，员工餐厅等</t>
  </si>
  <si>
    <t>路劲世界城购物中心、 悦荟万科购物中心</t>
  </si>
  <si>
    <t>医疗:昌平妇幼保健院、昌平区医院、昌平中医医院</t>
  </si>
  <si>
    <t>教育:南邵中心幼儿园、南邵中心小学、南邵中心何营小学、南邵中学、昌平第一中学、昌平第二中学、汇佳学校、北京化工大学、中国政法大学、中国石油大学等</t>
  </si>
  <si>
    <t>公园:昌平新城滨河公园、白浮泉公园</t>
  </si>
  <si>
    <t>【招商业态】：研发、科技、生物医疗、商贸商服，金融、文化传媒等不限制业态享受昌平区补贴政策</t>
  </si>
  <si>
    <t>【年 限】：10年每2年递增6%1年起租</t>
  </si>
  <si>
    <t>供暖：56元/㎡/季</t>
  </si>
  <si>
    <t>供冷：56元/㎡/季</t>
  </si>
  <si>
    <t>电费：1.5元/℃</t>
  </si>
  <si>
    <t>水费：2元/平/月</t>
  </si>
  <si>
    <t>十纪科技大厦</t>
    <phoneticPr fontId="31" type="noConversion"/>
  </si>
  <si>
    <r>
      <rPr>
        <sz val="11"/>
        <color indexed="8"/>
        <rFont val="宋体"/>
        <family val="3"/>
        <charset val="134"/>
      </rPr>
      <t>十纪科技大厦</t>
    </r>
    <r>
      <rPr>
        <sz val="11"/>
        <color indexed="8"/>
        <rFont val="Arial"/>
        <family val="2"/>
      </rPr>
      <t>0</t>
    </r>
    <phoneticPr fontId="31" type="noConversion"/>
  </si>
  <si>
    <t>只含税</t>
    <phoneticPr fontId="134" type="noConversion"/>
  </si>
  <si>
    <t>案例</t>
    <phoneticPr fontId="134" type="noConversion"/>
  </si>
  <si>
    <t>含税租金</t>
    <phoneticPr fontId="134" type="noConversion"/>
  </si>
  <si>
    <t>物业</t>
    <phoneticPr fontId="134" type="noConversion"/>
  </si>
  <si>
    <r>
      <t>4元</t>
    </r>
    <r>
      <rPr>
        <sz val="11"/>
        <color theme="1"/>
        <rFont val="宋体"/>
        <family val="3"/>
        <charset val="134"/>
        <scheme val="minor"/>
      </rPr>
      <t>/月/平方米</t>
    </r>
    <phoneticPr fontId="134" type="noConversion"/>
  </si>
  <si>
    <t>毛坯</t>
    <phoneticPr fontId="134" type="noConversion"/>
  </si>
  <si>
    <t>挂牌价</t>
    <phoneticPr fontId="30" type="noConversion"/>
  </si>
  <si>
    <t>北京银行</t>
    <phoneticPr fontId="30" type="noConversion"/>
  </si>
  <si>
    <t>中国农行</t>
    <phoneticPr fontId="30" type="noConversion"/>
  </si>
  <si>
    <t>楼层</t>
    <phoneticPr fontId="3" type="noConversion"/>
  </si>
  <si>
    <t>装修状况</t>
    <phoneticPr fontId="3" type="noConversion"/>
  </si>
  <si>
    <r>
      <t>20-30</t>
    </r>
    <r>
      <rPr>
        <sz val="11"/>
        <color indexed="8"/>
        <rFont val="宋体"/>
        <family val="3"/>
        <charset val="134"/>
      </rPr>
      <t>（含）</t>
    </r>
    <phoneticPr fontId="30" type="noConversion"/>
  </si>
  <si>
    <t>邮政银行</t>
    <phoneticPr fontId="30" type="noConversion"/>
  </si>
  <si>
    <t>七通</t>
  </si>
  <si>
    <t>面积</t>
    <phoneticPr fontId="134" type="noConversion"/>
  </si>
  <si>
    <t>租金含税</t>
    <phoneticPr fontId="134" type="noConversion"/>
  </si>
  <si>
    <t>楼层</t>
    <phoneticPr fontId="134" type="noConversion"/>
  </si>
  <si>
    <r>
      <t>5</t>
    </r>
    <r>
      <rPr>
        <sz val="11"/>
        <color theme="1"/>
        <rFont val="宋体"/>
        <family val="3"/>
        <charset val="134"/>
        <scheme val="minor"/>
      </rPr>
      <t>-10</t>
    </r>
    <phoneticPr fontId="134" type="noConversion"/>
  </si>
  <si>
    <t>天运通大厦、同仁堂</t>
    <phoneticPr fontId="30" type="noConversion"/>
  </si>
  <si>
    <t>标准层高</t>
    <phoneticPr fontId="30" type="noConversion"/>
  </si>
  <si>
    <t>天运通大厦</t>
    <phoneticPr fontId="3" type="noConversion"/>
  </si>
  <si>
    <t>无</t>
    <phoneticPr fontId="30" type="noConversion"/>
  </si>
  <si>
    <t>有</t>
    <phoneticPr fontId="30" type="noConversion"/>
  </si>
  <si>
    <t>爱分类大厦</t>
    <phoneticPr fontId="134" type="noConversion"/>
  </si>
  <si>
    <t>2层</t>
    <phoneticPr fontId="134" type="noConversion"/>
  </si>
  <si>
    <t>面积</t>
    <phoneticPr fontId="134" type="noConversion"/>
  </si>
  <si>
    <r>
      <t>2</t>
    </r>
    <r>
      <rPr>
        <sz val="11"/>
        <color theme="1"/>
        <rFont val="宋体"/>
        <family val="3"/>
        <charset val="134"/>
        <scheme val="minor"/>
      </rPr>
      <t>.5-2.9</t>
    </r>
    <phoneticPr fontId="134" type="noConversion"/>
  </si>
  <si>
    <t>日租金</t>
    <phoneticPr fontId="134" type="noConversion"/>
  </si>
  <si>
    <t>含税、物业、中央空调供暖</t>
    <phoneticPr fontId="134" type="noConversion"/>
  </si>
  <si>
    <t>毛坯</t>
    <phoneticPr fontId="134" type="noConversion"/>
  </si>
  <si>
    <t>简单装修</t>
    <phoneticPr fontId="134" type="noConversion"/>
  </si>
  <si>
    <t>在北侧楼，与估价对象为同一栋</t>
    <phoneticPr fontId="134" type="noConversion"/>
  </si>
  <si>
    <t>华控中心</t>
    <phoneticPr fontId="31" type="noConversion"/>
  </si>
  <si>
    <t>含物业</t>
    <phoneticPr fontId="134" type="noConversion"/>
  </si>
  <si>
    <t>标准写字楼</t>
  </si>
  <si>
    <t>标准写字楼</t>
    <phoneticPr fontId="31" type="noConversion"/>
  </si>
  <si>
    <t>工业</t>
    <phoneticPr fontId="31" type="noConversion"/>
  </si>
  <si>
    <t>北控宏创科技园</t>
    <phoneticPr fontId="31" type="noConversion"/>
  </si>
  <si>
    <r>
      <t>2011</t>
    </r>
    <r>
      <rPr>
        <sz val="11"/>
        <color indexed="8"/>
        <rFont val="宋体"/>
        <family val="3"/>
        <charset val="134"/>
      </rPr>
      <t>年</t>
    </r>
    <phoneticPr fontId="31" type="noConversion"/>
  </si>
  <si>
    <t>含税</t>
    <phoneticPr fontId="31" type="noConversion"/>
  </si>
  <si>
    <t>低楼层</t>
  </si>
  <si>
    <r>
      <t>2025/2/18</t>
    </r>
    <r>
      <rPr>
        <sz val="10"/>
        <color indexed="8"/>
        <rFont val="宋体"/>
        <family val="3"/>
        <charset val="134"/>
      </rPr>
      <t>、</t>
    </r>
    <r>
      <rPr>
        <sz val="10"/>
        <color indexed="8"/>
        <rFont val="Arial"/>
        <family val="2"/>
      </rPr>
      <t>2025/6/9</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</si>
</sst>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14" fontId="0" fillId="0" borderId="0" xfId="0" applyNumberFormat="1">
      <alignment vertical="center"/>
    </xf>
    <xf numFmtId="14" fontId="95" fillId="0" borderId="0" xfId="0" applyNumberFormat="1" applyFont="1">
      <alignment vertical="center"/>
    </xf>
    <xf numFmtId="196" fontId="0" fillId="0" borderId="0" xfId="0" applyNumberFormat="1">
      <alignment vertical="center"/>
    </xf>
    <xf numFmtId="196" fontId="272" fillId="0" borderId="0" xfId="0" applyNumberFormat="1" applyFont="1">
      <alignment vertical="center"/>
    </xf>
    <xf numFmtId="17" fontId="95" fillId="0" borderId="0" xfId="0" applyNumberFormat="1" applyFont="1">
      <alignment vertical="center"/>
    </xf>
    <xf numFmtId="0" fontId="95" fillId="0" borderId="0" xfId="0" applyFont="1" applyAlignment="1">
      <alignment vertical="center" wrapText="1"/>
    </xf>
    <xf numFmtId="0" fontId="0" fillId="0" borderId="0" xfId="0" applyAlignment="1">
      <alignment vertical="center" wrapText="1"/>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4" fillId="0" borderId="78"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95" fillId="5" borderId="0" xfId="0" applyNumberFormat="1" applyFont="1" applyFill="1">
      <alignment vertical="center"/>
    </xf>
    <xf numFmtId="0" fontId="0" fillId="5" borderId="0" xfId="0" applyFill="1">
      <alignment vertical="center"/>
    </xf>
    <xf numFmtId="0" fontId="274" fillId="12" borderId="0" xfId="0" applyFont="1" applyFill="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3" fillId="0" borderId="5"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5" fillId="0" borderId="0" xfId="0" applyNumberFormat="1" applyFont="1">
      <alignment vertical="center"/>
    </xf>
    <xf numFmtId="0" fontId="128" fillId="0" borderId="5" xfId="0" applyFont="1" applyBorder="1" applyAlignment="1" applyProtection="1">
      <alignment horizontal="center" vertical="center" wrapText="1"/>
      <protection locked="0"/>
    </xf>
    <xf numFmtId="2" fontId="47" fillId="8" borderId="1" xfId="0" applyNumberFormat="1" applyFont="1" applyFill="1" applyBorder="1" applyAlignment="1">
      <alignment horizontal="center" vertical="center"/>
    </xf>
    <xf numFmtId="49" fontId="44" fillId="9" borderId="6" xfId="0" applyNumberFormat="1" applyFont="1" applyFill="1" applyBorder="1" applyAlignment="1" applyProtection="1">
      <alignment horizontal="center" vertical="center" wrapText="1"/>
      <protection locked="0"/>
    </xf>
    <xf numFmtId="0" fontId="44" fillId="9" borderId="13" xfId="0" applyFont="1" applyFill="1" applyBorder="1" applyAlignment="1" applyProtection="1">
      <alignment horizontal="center" vertical="center" wrapText="1"/>
      <protection locked="0"/>
    </xf>
    <xf numFmtId="9" fontId="44" fillId="9" borderId="37" xfId="0" applyNumberFormat="1" applyFont="1" applyFill="1" applyBorder="1" applyAlignment="1" applyProtection="1">
      <alignment horizontal="center" vertical="center" wrapText="1"/>
      <protection locked="0"/>
    </xf>
    <xf numFmtId="0" fontId="44" fillId="9" borderId="3" xfId="0" applyFont="1" applyFill="1" applyBorder="1" applyAlignment="1" applyProtection="1">
      <alignment horizontal="center" vertical="center" wrapText="1"/>
      <protection locked="0"/>
    </xf>
    <xf numFmtId="0" fontId="51" fillId="9" borderId="37" xfId="0"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45720</xdr:rowOff>
    </xdr:from>
    <xdr:to>
      <xdr:col>1</xdr:col>
      <xdr:colOff>1396045</xdr:colOff>
      <xdr:row>49</xdr:row>
      <xdr:rowOff>56829</xdr:rowOff>
    </xdr:to>
    <xdr:pic>
      <xdr:nvPicPr>
        <xdr:cNvPr id="2" name="图片 1">
          <a:extLst>
            <a:ext uri="{FF2B5EF4-FFF2-40B4-BE49-F238E27FC236}">
              <a16:creationId xmlns:a16="http://schemas.microsoft.com/office/drawing/2014/main" id="{C45C8405-38C8-3D55-E992-7FF6448E1313}"/>
            </a:ext>
          </a:extLst>
        </xdr:cNvPr>
        <xdr:cNvPicPr>
          <a:picLocks noChangeAspect="1"/>
        </xdr:cNvPicPr>
      </xdr:nvPicPr>
      <xdr:blipFill>
        <a:blip xmlns:r="http://schemas.openxmlformats.org/officeDocument/2006/relationships" r:embed="rId1"/>
        <a:stretch>
          <a:fillRect/>
        </a:stretch>
      </xdr:blipFill>
      <xdr:spPr>
        <a:xfrm>
          <a:off x="0" y="7178040"/>
          <a:ext cx="2561905" cy="2571429"/>
        </a:xfrm>
        <a:prstGeom prst="rect">
          <a:avLst/>
        </a:prstGeom>
      </xdr:spPr>
    </xdr:pic>
    <xdr:clientData/>
  </xdr:twoCellAnchor>
  <xdr:twoCellAnchor>
    <xdr:from>
      <xdr:col>0</xdr:col>
      <xdr:colOff>678180</xdr:colOff>
      <xdr:row>46</xdr:row>
      <xdr:rowOff>106680</xdr:rowOff>
    </xdr:from>
    <xdr:to>
      <xdr:col>1</xdr:col>
      <xdr:colOff>15240</xdr:colOff>
      <xdr:row>47</xdr:row>
      <xdr:rowOff>167640</xdr:rowOff>
    </xdr:to>
    <xdr:sp macro="" textlink="">
      <xdr:nvSpPr>
        <xdr:cNvPr id="4" name="矩形: 圆角 3">
          <a:extLst>
            <a:ext uri="{FF2B5EF4-FFF2-40B4-BE49-F238E27FC236}">
              <a16:creationId xmlns:a16="http://schemas.microsoft.com/office/drawing/2014/main" id="{9911A1AC-80CE-1AAA-75B3-3158E626FD3A}"/>
            </a:ext>
          </a:extLst>
        </xdr:cNvPr>
        <xdr:cNvSpPr/>
      </xdr:nvSpPr>
      <xdr:spPr>
        <a:xfrm>
          <a:off x="678180" y="9250680"/>
          <a:ext cx="502920" cy="2438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p>
      </xdr:txBody>
    </xdr:sp>
    <xdr:clientData/>
  </xdr:twoCellAnchor>
  <xdr:twoCellAnchor editAs="oneCell">
    <xdr:from>
      <xdr:col>0</xdr:col>
      <xdr:colOff>0</xdr:colOff>
      <xdr:row>51</xdr:row>
      <xdr:rowOff>137160</xdr:rowOff>
    </xdr:from>
    <xdr:to>
      <xdr:col>6</xdr:col>
      <xdr:colOff>455002</xdr:colOff>
      <xdr:row>75</xdr:row>
      <xdr:rowOff>172370</xdr:rowOff>
    </xdr:to>
    <xdr:pic>
      <xdr:nvPicPr>
        <xdr:cNvPr id="5" name="图片 4">
          <a:extLst>
            <a:ext uri="{FF2B5EF4-FFF2-40B4-BE49-F238E27FC236}">
              <a16:creationId xmlns:a16="http://schemas.microsoft.com/office/drawing/2014/main" id="{1393D7C5-ECFD-C947-7861-3DFDCB09960C}"/>
            </a:ext>
          </a:extLst>
        </xdr:cNvPr>
        <xdr:cNvPicPr>
          <a:picLocks noChangeAspect="1"/>
        </xdr:cNvPicPr>
      </xdr:nvPicPr>
      <xdr:blipFill>
        <a:blip xmlns:r="http://schemas.openxmlformats.org/officeDocument/2006/relationships" r:embed="rId2"/>
        <a:stretch>
          <a:fillRect/>
        </a:stretch>
      </xdr:blipFill>
      <xdr:spPr>
        <a:xfrm>
          <a:off x="0" y="10195560"/>
          <a:ext cx="6200482" cy="4424330"/>
        </a:xfrm>
        <a:prstGeom prst="rect">
          <a:avLst/>
        </a:prstGeom>
      </xdr:spPr>
    </xdr:pic>
    <xdr:clientData/>
  </xdr:twoCellAnchor>
  <xdr:twoCellAnchor editAs="oneCell">
    <xdr:from>
      <xdr:col>6</xdr:col>
      <xdr:colOff>708660</xdr:colOff>
      <xdr:row>52</xdr:row>
      <xdr:rowOff>129540</xdr:rowOff>
    </xdr:from>
    <xdr:to>
      <xdr:col>22</xdr:col>
      <xdr:colOff>92077</xdr:colOff>
      <xdr:row>80</xdr:row>
      <xdr:rowOff>27948</xdr:rowOff>
    </xdr:to>
    <xdr:pic>
      <xdr:nvPicPr>
        <xdr:cNvPr id="3" name="图片 2">
          <a:extLst>
            <a:ext uri="{FF2B5EF4-FFF2-40B4-BE49-F238E27FC236}">
              <a16:creationId xmlns:a16="http://schemas.microsoft.com/office/drawing/2014/main" id="{949B563A-5A5E-E1E5-208A-A97D316503C8}"/>
            </a:ext>
          </a:extLst>
        </xdr:cNvPr>
        <xdr:cNvPicPr>
          <a:picLocks noChangeAspect="1"/>
        </xdr:cNvPicPr>
      </xdr:nvPicPr>
      <xdr:blipFill>
        <a:blip xmlns:r="http://schemas.openxmlformats.org/officeDocument/2006/relationships" r:embed="rId3"/>
        <a:stretch>
          <a:fillRect/>
        </a:stretch>
      </xdr:blipFill>
      <xdr:spPr>
        <a:xfrm>
          <a:off x="6454140" y="10370820"/>
          <a:ext cx="10142857"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68581</xdr:colOff>
      <xdr:row>27</xdr:row>
      <xdr:rowOff>14595</xdr:rowOff>
    </xdr:to>
    <xdr:pic>
      <xdr:nvPicPr>
        <xdr:cNvPr id="2" name="图片 1">
          <a:extLst>
            <a:ext uri="{FF2B5EF4-FFF2-40B4-BE49-F238E27FC236}">
              <a16:creationId xmlns:a16="http://schemas.microsoft.com/office/drawing/2014/main" id="{5B33F3D2-3447-14F0-B886-2E9A352A7169}"/>
            </a:ext>
          </a:extLst>
        </xdr:cNvPr>
        <xdr:cNvPicPr>
          <a:picLocks noChangeAspect="1"/>
        </xdr:cNvPicPr>
      </xdr:nvPicPr>
      <xdr:blipFill>
        <a:blip xmlns:r="http://schemas.openxmlformats.org/officeDocument/2006/relationships" r:embed="rId1"/>
        <a:stretch>
          <a:fillRect/>
        </a:stretch>
      </xdr:blipFill>
      <xdr:spPr>
        <a:xfrm>
          <a:off x="1" y="0"/>
          <a:ext cx="4945380" cy="4952355"/>
        </a:xfrm>
        <a:prstGeom prst="rect">
          <a:avLst/>
        </a:prstGeom>
      </xdr:spPr>
    </xdr:pic>
    <xdr:clientData/>
  </xdr:twoCellAnchor>
  <xdr:twoCellAnchor editAs="oneCell">
    <xdr:from>
      <xdr:col>0</xdr:col>
      <xdr:colOff>0</xdr:colOff>
      <xdr:row>24</xdr:row>
      <xdr:rowOff>38100</xdr:rowOff>
    </xdr:from>
    <xdr:to>
      <xdr:col>9</xdr:col>
      <xdr:colOff>532648</xdr:colOff>
      <xdr:row>54</xdr:row>
      <xdr:rowOff>18367</xdr:rowOff>
    </xdr:to>
    <xdr:pic>
      <xdr:nvPicPr>
        <xdr:cNvPr id="3" name="图片 2">
          <a:extLst>
            <a:ext uri="{FF2B5EF4-FFF2-40B4-BE49-F238E27FC236}">
              <a16:creationId xmlns:a16="http://schemas.microsoft.com/office/drawing/2014/main" id="{6CE4ED3A-0E85-48C9-76A3-AE9F9CE18950}"/>
            </a:ext>
          </a:extLst>
        </xdr:cNvPr>
        <xdr:cNvPicPr>
          <a:picLocks noChangeAspect="1"/>
        </xdr:cNvPicPr>
      </xdr:nvPicPr>
      <xdr:blipFill>
        <a:blip xmlns:r="http://schemas.openxmlformats.org/officeDocument/2006/relationships" r:embed="rId2"/>
        <a:stretch>
          <a:fillRect/>
        </a:stretch>
      </xdr:blipFill>
      <xdr:spPr>
        <a:xfrm>
          <a:off x="0" y="4427220"/>
          <a:ext cx="6019048" cy="5466667"/>
        </a:xfrm>
        <a:prstGeom prst="rect">
          <a:avLst/>
        </a:prstGeom>
      </xdr:spPr>
    </xdr:pic>
    <xdr:clientData/>
  </xdr:twoCellAnchor>
  <xdr:twoCellAnchor editAs="oneCell">
    <xdr:from>
      <xdr:col>9</xdr:col>
      <xdr:colOff>502920</xdr:colOff>
      <xdr:row>8</xdr:row>
      <xdr:rowOff>76200</xdr:rowOff>
    </xdr:from>
    <xdr:to>
      <xdr:col>19</xdr:col>
      <xdr:colOff>35491</xdr:colOff>
      <xdr:row>40</xdr:row>
      <xdr:rowOff>81183</xdr:rowOff>
    </xdr:to>
    <xdr:pic>
      <xdr:nvPicPr>
        <xdr:cNvPr id="4" name="图片 3">
          <a:extLst>
            <a:ext uri="{FF2B5EF4-FFF2-40B4-BE49-F238E27FC236}">
              <a16:creationId xmlns:a16="http://schemas.microsoft.com/office/drawing/2014/main" id="{0F630948-EB39-963F-F83D-413E11E168C0}"/>
            </a:ext>
          </a:extLst>
        </xdr:cNvPr>
        <xdr:cNvPicPr>
          <a:picLocks noChangeAspect="1"/>
        </xdr:cNvPicPr>
      </xdr:nvPicPr>
      <xdr:blipFill>
        <a:blip xmlns:r="http://schemas.openxmlformats.org/officeDocument/2006/relationships" r:embed="rId3"/>
        <a:stretch>
          <a:fillRect/>
        </a:stretch>
      </xdr:blipFill>
      <xdr:spPr>
        <a:xfrm>
          <a:off x="5989320" y="1539240"/>
          <a:ext cx="5628571" cy="5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32</xdr:row>
      <xdr:rowOff>60960</xdr:rowOff>
    </xdr:from>
    <xdr:to>
      <xdr:col>10</xdr:col>
      <xdr:colOff>548640</xdr:colOff>
      <xdr:row>58</xdr:row>
      <xdr:rowOff>149182</xdr:rowOff>
    </xdr:to>
    <xdr:pic>
      <xdr:nvPicPr>
        <xdr:cNvPr id="2" name="图片 1">
          <a:extLst>
            <a:ext uri="{FF2B5EF4-FFF2-40B4-BE49-F238E27FC236}">
              <a16:creationId xmlns:a16="http://schemas.microsoft.com/office/drawing/2014/main" id="{5C69A7E3-6895-2699-A1B3-122C64574551}"/>
            </a:ext>
          </a:extLst>
        </xdr:cNvPr>
        <xdr:cNvPicPr>
          <a:picLocks noChangeAspect="1"/>
        </xdr:cNvPicPr>
      </xdr:nvPicPr>
      <xdr:blipFill>
        <a:blip xmlns:r="http://schemas.openxmlformats.org/officeDocument/2006/relationships" r:embed="rId1"/>
        <a:stretch>
          <a:fillRect/>
        </a:stretch>
      </xdr:blipFill>
      <xdr:spPr>
        <a:xfrm>
          <a:off x="68580" y="5913120"/>
          <a:ext cx="6576060" cy="4843102"/>
        </a:xfrm>
        <a:prstGeom prst="rect">
          <a:avLst/>
        </a:prstGeom>
      </xdr:spPr>
    </xdr:pic>
    <xdr:clientData/>
  </xdr:twoCellAnchor>
  <xdr:twoCellAnchor editAs="oneCell">
    <xdr:from>
      <xdr:col>17</xdr:col>
      <xdr:colOff>123341</xdr:colOff>
      <xdr:row>89</xdr:row>
      <xdr:rowOff>68581</xdr:rowOff>
    </xdr:from>
    <xdr:to>
      <xdr:col>30</xdr:col>
      <xdr:colOff>554993</xdr:colOff>
      <xdr:row>120</xdr:row>
      <xdr:rowOff>30481</xdr:rowOff>
    </xdr:to>
    <xdr:pic>
      <xdr:nvPicPr>
        <xdr:cNvPr id="3" name="图片 2">
          <a:extLst>
            <a:ext uri="{FF2B5EF4-FFF2-40B4-BE49-F238E27FC236}">
              <a16:creationId xmlns:a16="http://schemas.microsoft.com/office/drawing/2014/main" id="{319AD699-AA0F-A04C-DC97-AB9C47EBA3AB}"/>
            </a:ext>
          </a:extLst>
        </xdr:cNvPr>
        <xdr:cNvPicPr>
          <a:picLocks noChangeAspect="1"/>
        </xdr:cNvPicPr>
      </xdr:nvPicPr>
      <xdr:blipFill>
        <a:blip xmlns:r="http://schemas.openxmlformats.org/officeDocument/2006/relationships" r:embed="rId2"/>
        <a:stretch>
          <a:fillRect/>
        </a:stretch>
      </xdr:blipFill>
      <xdr:spPr>
        <a:xfrm>
          <a:off x="10486541" y="16344901"/>
          <a:ext cx="8356452" cy="5631180"/>
        </a:xfrm>
        <a:prstGeom prst="rect">
          <a:avLst/>
        </a:prstGeom>
      </xdr:spPr>
    </xdr:pic>
    <xdr:clientData/>
  </xdr:twoCellAnchor>
  <xdr:twoCellAnchor editAs="oneCell">
    <xdr:from>
      <xdr:col>0</xdr:col>
      <xdr:colOff>0</xdr:colOff>
      <xdr:row>59</xdr:row>
      <xdr:rowOff>38100</xdr:rowOff>
    </xdr:from>
    <xdr:to>
      <xdr:col>11</xdr:col>
      <xdr:colOff>255901</xdr:colOff>
      <xdr:row>89</xdr:row>
      <xdr:rowOff>120901</xdr:rowOff>
    </xdr:to>
    <xdr:pic>
      <xdr:nvPicPr>
        <xdr:cNvPr id="4" name="图片 3">
          <a:extLst>
            <a:ext uri="{FF2B5EF4-FFF2-40B4-BE49-F238E27FC236}">
              <a16:creationId xmlns:a16="http://schemas.microsoft.com/office/drawing/2014/main" id="{EF449A2C-625E-7B77-3087-633EE748FAB8}"/>
            </a:ext>
          </a:extLst>
        </xdr:cNvPr>
        <xdr:cNvPicPr>
          <a:picLocks noChangeAspect="1"/>
        </xdr:cNvPicPr>
      </xdr:nvPicPr>
      <xdr:blipFill>
        <a:blip xmlns:r="http://schemas.openxmlformats.org/officeDocument/2006/relationships" r:embed="rId3"/>
        <a:stretch>
          <a:fillRect/>
        </a:stretch>
      </xdr:blipFill>
      <xdr:spPr>
        <a:xfrm>
          <a:off x="0" y="10828020"/>
          <a:ext cx="6961501" cy="5569201"/>
        </a:xfrm>
        <a:prstGeom prst="rect">
          <a:avLst/>
        </a:prstGeom>
      </xdr:spPr>
    </xdr:pic>
    <xdr:clientData/>
  </xdr:twoCellAnchor>
  <xdr:twoCellAnchor editAs="oneCell">
    <xdr:from>
      <xdr:col>0</xdr:col>
      <xdr:colOff>106680</xdr:colOff>
      <xdr:row>120</xdr:row>
      <xdr:rowOff>38100</xdr:rowOff>
    </xdr:from>
    <xdr:to>
      <xdr:col>11</xdr:col>
      <xdr:colOff>5357</xdr:colOff>
      <xdr:row>148</xdr:row>
      <xdr:rowOff>27557</xdr:rowOff>
    </xdr:to>
    <xdr:pic>
      <xdr:nvPicPr>
        <xdr:cNvPr id="5" name="图片 4">
          <a:extLst>
            <a:ext uri="{FF2B5EF4-FFF2-40B4-BE49-F238E27FC236}">
              <a16:creationId xmlns:a16="http://schemas.microsoft.com/office/drawing/2014/main" id="{F53A31BE-7AE9-FE1F-B6D3-47BFF8B012D6}"/>
            </a:ext>
          </a:extLst>
        </xdr:cNvPr>
        <xdr:cNvPicPr>
          <a:picLocks noChangeAspect="1"/>
        </xdr:cNvPicPr>
      </xdr:nvPicPr>
      <xdr:blipFill>
        <a:blip xmlns:r="http://schemas.openxmlformats.org/officeDocument/2006/relationships" r:embed="rId4"/>
        <a:stretch>
          <a:fillRect/>
        </a:stretch>
      </xdr:blipFill>
      <xdr:spPr>
        <a:xfrm>
          <a:off x="106680" y="21983700"/>
          <a:ext cx="6604277" cy="5110097"/>
        </a:xfrm>
        <a:prstGeom prst="rect">
          <a:avLst/>
        </a:prstGeom>
      </xdr:spPr>
    </xdr:pic>
    <xdr:clientData/>
  </xdr:twoCellAnchor>
  <xdr:twoCellAnchor editAs="oneCell">
    <xdr:from>
      <xdr:col>11</xdr:col>
      <xdr:colOff>267096</xdr:colOff>
      <xdr:row>120</xdr:row>
      <xdr:rowOff>0</xdr:rowOff>
    </xdr:from>
    <xdr:to>
      <xdr:col>19</xdr:col>
      <xdr:colOff>495299</xdr:colOff>
      <xdr:row>142</xdr:row>
      <xdr:rowOff>46528</xdr:rowOff>
    </xdr:to>
    <xdr:pic>
      <xdr:nvPicPr>
        <xdr:cNvPr id="6" name="图片 5">
          <a:extLst>
            <a:ext uri="{FF2B5EF4-FFF2-40B4-BE49-F238E27FC236}">
              <a16:creationId xmlns:a16="http://schemas.microsoft.com/office/drawing/2014/main" id="{393CA39E-844C-7A46-5E26-05EE9D03359D}"/>
            </a:ext>
          </a:extLst>
        </xdr:cNvPr>
        <xdr:cNvPicPr>
          <a:picLocks noChangeAspect="1"/>
        </xdr:cNvPicPr>
      </xdr:nvPicPr>
      <xdr:blipFill>
        <a:blip xmlns:r="http://schemas.openxmlformats.org/officeDocument/2006/relationships" r:embed="rId5"/>
        <a:stretch>
          <a:fillRect/>
        </a:stretch>
      </xdr:blipFill>
      <xdr:spPr>
        <a:xfrm>
          <a:off x="6972696" y="21945600"/>
          <a:ext cx="5105003" cy="4069888"/>
        </a:xfrm>
        <a:prstGeom prst="rect">
          <a:avLst/>
        </a:prstGeom>
      </xdr:spPr>
    </xdr:pic>
    <xdr:clientData/>
  </xdr:twoCellAnchor>
  <xdr:twoCellAnchor editAs="oneCell">
    <xdr:from>
      <xdr:col>0</xdr:col>
      <xdr:colOff>182880</xdr:colOff>
      <xdr:row>89</xdr:row>
      <xdr:rowOff>129541</xdr:rowOff>
    </xdr:from>
    <xdr:to>
      <xdr:col>11</xdr:col>
      <xdr:colOff>263679</xdr:colOff>
      <xdr:row>119</xdr:row>
      <xdr:rowOff>45721</xdr:rowOff>
    </xdr:to>
    <xdr:pic>
      <xdr:nvPicPr>
        <xdr:cNvPr id="7" name="图片 6">
          <a:extLst>
            <a:ext uri="{FF2B5EF4-FFF2-40B4-BE49-F238E27FC236}">
              <a16:creationId xmlns:a16="http://schemas.microsoft.com/office/drawing/2014/main" id="{1B9832F3-28D0-E0AC-BA08-57EA8CFBD447}"/>
            </a:ext>
          </a:extLst>
        </xdr:cNvPr>
        <xdr:cNvPicPr>
          <a:picLocks noChangeAspect="1"/>
        </xdr:cNvPicPr>
      </xdr:nvPicPr>
      <xdr:blipFill>
        <a:blip xmlns:r="http://schemas.openxmlformats.org/officeDocument/2006/relationships" r:embed="rId6"/>
        <a:stretch>
          <a:fillRect/>
        </a:stretch>
      </xdr:blipFill>
      <xdr:spPr>
        <a:xfrm>
          <a:off x="182880" y="16405861"/>
          <a:ext cx="6786399" cy="5402580"/>
        </a:xfrm>
        <a:prstGeom prst="rect">
          <a:avLst/>
        </a:prstGeom>
      </xdr:spPr>
    </xdr:pic>
    <xdr:clientData/>
  </xdr:twoCellAnchor>
  <xdr:twoCellAnchor editAs="oneCell">
    <xdr:from>
      <xdr:col>13</xdr:col>
      <xdr:colOff>83820</xdr:colOff>
      <xdr:row>5</xdr:row>
      <xdr:rowOff>30480</xdr:rowOff>
    </xdr:from>
    <xdr:to>
      <xdr:col>18</xdr:col>
      <xdr:colOff>578677</xdr:colOff>
      <xdr:row>42</xdr:row>
      <xdr:rowOff>73444</xdr:rowOff>
    </xdr:to>
    <xdr:pic>
      <xdr:nvPicPr>
        <xdr:cNvPr id="8" name="图片 7">
          <a:extLst>
            <a:ext uri="{FF2B5EF4-FFF2-40B4-BE49-F238E27FC236}">
              <a16:creationId xmlns:a16="http://schemas.microsoft.com/office/drawing/2014/main" id="{0157E653-8F2C-FC24-5A14-5356735D9303}"/>
            </a:ext>
          </a:extLst>
        </xdr:cNvPr>
        <xdr:cNvPicPr>
          <a:picLocks noChangeAspect="1"/>
        </xdr:cNvPicPr>
      </xdr:nvPicPr>
      <xdr:blipFill>
        <a:blip xmlns:r="http://schemas.openxmlformats.org/officeDocument/2006/relationships" r:embed="rId7"/>
        <a:stretch>
          <a:fillRect/>
        </a:stretch>
      </xdr:blipFill>
      <xdr:spPr>
        <a:xfrm>
          <a:off x="8008620" y="944880"/>
          <a:ext cx="3542857" cy="6809524"/>
        </a:xfrm>
        <a:prstGeom prst="rect">
          <a:avLst/>
        </a:prstGeom>
      </xdr:spPr>
    </xdr:pic>
    <xdr:clientData/>
  </xdr:twoCellAnchor>
  <xdr:twoCellAnchor editAs="oneCell">
    <xdr:from>
      <xdr:col>18</xdr:col>
      <xdr:colOff>594360</xdr:colOff>
      <xdr:row>5</xdr:row>
      <xdr:rowOff>30480</xdr:rowOff>
    </xdr:from>
    <xdr:to>
      <xdr:col>24</xdr:col>
      <xdr:colOff>470093</xdr:colOff>
      <xdr:row>48</xdr:row>
      <xdr:rowOff>61878</xdr:rowOff>
    </xdr:to>
    <xdr:pic>
      <xdr:nvPicPr>
        <xdr:cNvPr id="9" name="图片 8">
          <a:extLst>
            <a:ext uri="{FF2B5EF4-FFF2-40B4-BE49-F238E27FC236}">
              <a16:creationId xmlns:a16="http://schemas.microsoft.com/office/drawing/2014/main" id="{442CC20F-BB65-AE1F-B15D-59D6D4B8E2CF}"/>
            </a:ext>
          </a:extLst>
        </xdr:cNvPr>
        <xdr:cNvPicPr>
          <a:picLocks noChangeAspect="1"/>
        </xdr:cNvPicPr>
      </xdr:nvPicPr>
      <xdr:blipFill>
        <a:blip xmlns:r="http://schemas.openxmlformats.org/officeDocument/2006/relationships" r:embed="rId8"/>
        <a:stretch>
          <a:fillRect/>
        </a:stretch>
      </xdr:blipFill>
      <xdr:spPr>
        <a:xfrm>
          <a:off x="11567160" y="944880"/>
          <a:ext cx="3533333" cy="7895238"/>
        </a:xfrm>
        <a:prstGeom prst="rect">
          <a:avLst/>
        </a:prstGeom>
      </xdr:spPr>
    </xdr:pic>
    <xdr:clientData/>
  </xdr:twoCellAnchor>
  <xdr:twoCellAnchor editAs="oneCell">
    <xdr:from>
      <xdr:col>0</xdr:col>
      <xdr:colOff>0</xdr:colOff>
      <xdr:row>150</xdr:row>
      <xdr:rowOff>30480</xdr:rowOff>
    </xdr:from>
    <xdr:to>
      <xdr:col>12</xdr:col>
      <xdr:colOff>556384</xdr:colOff>
      <xdr:row>179</xdr:row>
      <xdr:rowOff>115247</xdr:rowOff>
    </xdr:to>
    <xdr:pic>
      <xdr:nvPicPr>
        <xdr:cNvPr id="10" name="图片 9">
          <a:extLst>
            <a:ext uri="{FF2B5EF4-FFF2-40B4-BE49-F238E27FC236}">
              <a16:creationId xmlns:a16="http://schemas.microsoft.com/office/drawing/2014/main" id="{A199F707-89FF-6DD0-DD90-BFCA934694C6}"/>
            </a:ext>
          </a:extLst>
        </xdr:cNvPr>
        <xdr:cNvPicPr>
          <a:picLocks noChangeAspect="1"/>
        </xdr:cNvPicPr>
      </xdr:nvPicPr>
      <xdr:blipFill>
        <a:blip xmlns:r="http://schemas.openxmlformats.org/officeDocument/2006/relationships" r:embed="rId9"/>
        <a:stretch>
          <a:fillRect/>
        </a:stretch>
      </xdr:blipFill>
      <xdr:spPr>
        <a:xfrm>
          <a:off x="0" y="27462480"/>
          <a:ext cx="7871584" cy="5388287"/>
        </a:xfrm>
        <a:prstGeom prst="rect">
          <a:avLst/>
        </a:prstGeom>
      </xdr:spPr>
    </xdr:pic>
    <xdr:clientData/>
  </xdr:twoCellAnchor>
  <xdr:twoCellAnchor editAs="oneCell">
    <xdr:from>
      <xdr:col>6</xdr:col>
      <xdr:colOff>252591</xdr:colOff>
      <xdr:row>42</xdr:row>
      <xdr:rowOff>91440</xdr:rowOff>
    </xdr:from>
    <xdr:to>
      <xdr:col>22</xdr:col>
      <xdr:colOff>492001</xdr:colOff>
      <xdr:row>82</xdr:row>
      <xdr:rowOff>132324</xdr:rowOff>
    </xdr:to>
    <xdr:pic>
      <xdr:nvPicPr>
        <xdr:cNvPr id="11" name="图片 10">
          <a:extLst>
            <a:ext uri="{FF2B5EF4-FFF2-40B4-BE49-F238E27FC236}">
              <a16:creationId xmlns:a16="http://schemas.microsoft.com/office/drawing/2014/main" id="{42B5B5DB-5743-02FA-0343-534CDFEB831A}"/>
            </a:ext>
          </a:extLst>
        </xdr:cNvPr>
        <xdr:cNvPicPr>
          <a:picLocks noChangeAspect="1"/>
        </xdr:cNvPicPr>
      </xdr:nvPicPr>
      <xdr:blipFill>
        <a:blip xmlns:r="http://schemas.openxmlformats.org/officeDocument/2006/relationships" r:embed="rId10"/>
        <a:stretch>
          <a:fillRect/>
        </a:stretch>
      </xdr:blipFill>
      <xdr:spPr>
        <a:xfrm>
          <a:off x="3910191" y="7772400"/>
          <a:ext cx="9993010" cy="73560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北京市昌平区文智路15号院7号楼1层103、3层301、4层401、5层501预评估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受贵公司委托，我公司对北京市昌平区文智路15号院7号楼1层103、3层301、4层401、5层501进行了预评估。</v>
      </c>
    </row>
    <row r="7" spans="1:2">
      <c r="A7" s="1119" t="s">
        <v>566</v>
      </c>
      <c r="B7" s="1120" t="str">
        <f>'预评函-1'!A7</f>
        <v>估价对象为北京市昌平区文智路15号院7号楼1层103、3层301、4层401、5层501房地产，为北京招商局铭嘉房地产开发有限公司所有。根据《国有土地使用证》[]，估价对象（分摊）出让国有建设用地使用权面积为0平方米，建筑面积为3490.93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3490.93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2025年2月18日</v>
      </c>
    </row>
    <row r="13" spans="1:2">
      <c r="A13" s="1119" t="s">
        <v>529</v>
      </c>
      <c r="B13" s="1120" t="str">
        <f>'预评函-1'!A18</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北京市昌平区文智路15号院7号楼1层103、3层301、4层401、5层501房地产</v>
      </c>
    </row>
    <row r="42" spans="1:2" ht="31.2">
      <c r="A42" s="1119" t="s">
        <v>590</v>
      </c>
      <c r="B42" s="1120" t="str">
        <f>'预评函-3'!B2</f>
        <v>建筑面积</v>
      </c>
    </row>
    <row r="43" spans="1:2">
      <c r="A43" s="1119" t="s">
        <v>591</v>
      </c>
      <c r="B43" s="1120">
        <f>'预评函-3'!B4</f>
        <v>3490.9300000000003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2574</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2575</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文智路15号院7号楼1层103、3层301、4层401、5层501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7" t="s">
        <v>385</v>
      </c>
      <c r="C54" s="1445" t="s">
        <v>583</v>
      </c>
    </row>
    <row r="55" spans="1:4">
      <c r="A55" s="3229"/>
      <c r="B55" s="1447" t="s">
        <v>386</v>
      </c>
      <c r="C55" s="1445" t="s">
        <v>584</v>
      </c>
    </row>
    <row r="56" spans="1:4">
      <c r="A56" s="3229"/>
      <c r="B56" s="1447" t="s">
        <v>387</v>
      </c>
      <c r="C56" s="1445" t="s">
        <v>588</v>
      </c>
    </row>
    <row r="57" spans="1:4">
      <c r="A57" s="322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30" t="s">
        <v>2577</v>
      </c>
      <c r="J2" s="3230"/>
      <c r="K2" s="3230"/>
      <c r="L2" s="3230"/>
      <c r="M2" s="3230"/>
      <c r="N2" s="3230"/>
      <c r="O2" s="3230"/>
      <c r="P2" s="3230"/>
      <c r="Q2" s="3230"/>
      <c r="R2" s="3230"/>
    </row>
    <row r="3" spans="1:18">
      <c r="A3" s="2761" t="s">
        <v>2498</v>
      </c>
      <c r="B3" s="2762">
        <f>项目基本情况!D3</f>
        <v>45706</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11.84</v>
      </c>
      <c r="D6" s="2766">
        <f>IF(ISERROR(ROUND(POWER(1+E6,A6-C6)*(POWER(1+E6,C6)-1)/(POWER(1+E6,A6)-1),3)),0,ROUND(POWER(1+E6,A6-C6)*(POWER(1+E6,C6)-1)/(POWER(1+E6,A6)-1),4))</f>
        <v>0.43230000000000002</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5" thickBot="1">
      <c r="A18" s="2771" t="s">
        <v>2513</v>
      </c>
      <c r="B18" s="2772">
        <f>ROUND(B17*F11/F12,2)</f>
        <v>5541.87</v>
      </c>
      <c r="C18" s="2772">
        <f>ROUND(F11/F12,4)</f>
        <v>1.1521999999999999</v>
      </c>
      <c r="D18" s="2773"/>
      <c r="E18" s="2773"/>
      <c r="F18" s="2774"/>
    </row>
    <row r="19" spans="1:14" ht="15" thickBot="1"/>
    <row r="20" spans="1:14" s="2807" customFormat="1" ht="1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3.2"/>
  <cols>
    <col min="1" max="1" width="16.88671875" style="1618" customWidth="1"/>
    <col min="2" max="2" width="20.21875"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2165</v>
      </c>
      <c r="B1" s="3238" t="str">
        <f>IF(B10="北京市","北京市",C10)&amp;F10&amp;IF(结果表!G1="在建","出让国有建设用地使用权及在建建筑物",IF(结果表!G1="土地","出让国有建设用地使用权",))&amp;B9&amp;"预评估"</f>
        <v>北京市昌平区文智路15号院7号楼1层103、3层301、4层401、5层501预评估</v>
      </c>
      <c r="C1" s="3239"/>
      <c r="D1" s="3239"/>
      <c r="E1" s="3239"/>
      <c r="F1" s="3239"/>
      <c r="G1" s="3239"/>
      <c r="H1" s="3239"/>
      <c r="I1" s="324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北京市昌平区文智路15号院7号楼1层103、3层301、4层401、5层501</v>
      </c>
      <c r="T1" s="1618"/>
      <c r="U1" s="1618"/>
      <c r="V1" s="1618"/>
      <c r="W1" s="1618"/>
      <c r="X1" s="1618"/>
      <c r="Y1" s="1618"/>
      <c r="Z1" s="1618"/>
      <c r="AA1" s="1618"/>
      <c r="AB1" s="1618"/>
    </row>
    <row r="2" spans="1:30">
      <c r="A2" s="2182" t="s">
        <v>2166</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北京市昌平区文智路15号院7号楼1层103、3层301、4层401、5层501房地产</v>
      </c>
      <c r="T2" s="1618"/>
      <c r="U2" s="1618"/>
      <c r="V2" s="1618"/>
      <c r="W2" s="1618"/>
      <c r="X2" s="1618"/>
      <c r="Y2" s="1618"/>
      <c r="Z2" s="1618"/>
      <c r="AA2" s="1618"/>
      <c r="AB2" s="1618"/>
    </row>
    <row r="3" spans="1:30" ht="24.6" customHeight="1">
      <c r="A3" s="294" t="s">
        <v>2167</v>
      </c>
      <c r="B3" s="2185" t="s">
        <v>3616</v>
      </c>
      <c r="C3" s="2186" t="s">
        <v>2168</v>
      </c>
      <c r="D3" s="2185">
        <v>45706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2169</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2170</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2171</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2172</v>
      </c>
      <c r="B7" s="2198"/>
      <c r="C7" s="2196"/>
      <c r="D7" s="2197"/>
      <c r="E7" s="2440"/>
      <c r="F7" s="2441"/>
      <c r="G7" s="2441"/>
      <c r="H7" s="2441"/>
      <c r="I7" s="2441"/>
      <c r="J7" s="2244"/>
      <c r="K7" s="2401"/>
      <c r="L7" s="2398"/>
      <c r="M7" s="2398"/>
      <c r="N7" s="2244"/>
      <c r="O7" s="1670"/>
      <c r="P7" s="2244"/>
      <c r="Q7" s="2244"/>
      <c r="R7" s="2244"/>
    </row>
    <row r="8" spans="1:30">
      <c r="A8" s="2199" t="s">
        <v>2173</v>
      </c>
      <c r="B8" s="2200" t="s">
        <v>3447</v>
      </c>
      <c r="C8" s="2201"/>
      <c r="D8" s="3241" t="s">
        <v>2174</v>
      </c>
      <c r="E8" s="2202"/>
      <c r="F8" s="2203"/>
      <c r="G8" s="2441"/>
      <c r="H8" s="2441"/>
      <c r="I8" s="2441"/>
      <c r="J8" s="2244"/>
      <c r="K8" s="2399"/>
      <c r="L8" s="2398"/>
      <c r="M8" s="2398"/>
      <c r="N8" s="2244"/>
      <c r="O8" s="1670"/>
      <c r="P8" s="2244"/>
      <c r="Q8" s="2244"/>
      <c r="R8" s="2244"/>
    </row>
    <row r="9" spans="1:30" ht="13.8" thickBot="1">
      <c r="A9" s="2204" t="s">
        <v>2175</v>
      </c>
      <c r="B9" s="2205"/>
      <c r="C9" s="2206"/>
      <c r="D9" s="3242"/>
      <c r="E9" s="2205"/>
      <c r="F9" s="2207"/>
      <c r="G9" s="2442"/>
      <c r="H9" s="2442"/>
      <c r="I9" s="2442"/>
      <c r="J9" s="2244"/>
      <c r="K9" s="2401"/>
      <c r="L9" s="2398"/>
      <c r="M9" s="2398"/>
      <c r="N9" s="2244"/>
      <c r="O9" s="1670"/>
      <c r="P9" s="2244"/>
      <c r="Q9" s="2244"/>
      <c r="R9" s="2244"/>
    </row>
    <row r="10" spans="1:30" ht="13.8" thickTop="1">
      <c r="A10" s="2208" t="s">
        <v>2176</v>
      </c>
      <c r="B10" s="2209" t="s">
        <v>3448</v>
      </c>
      <c r="C10" s="2210"/>
      <c r="D10" s="2193"/>
      <c r="E10" s="2211" t="s">
        <v>2177</v>
      </c>
      <c r="F10" s="3159" t="s">
        <v>3450</v>
      </c>
      <c r="G10" s="2443"/>
      <c r="H10" s="2444"/>
      <c r="I10" s="2445"/>
      <c r="J10" s="2244"/>
      <c r="K10" s="2401"/>
      <c r="L10" s="2398"/>
      <c r="M10" s="2398"/>
      <c r="N10" s="2244"/>
      <c r="O10" s="1670"/>
      <c r="P10" s="2244"/>
      <c r="Q10" s="2244"/>
      <c r="R10" s="2244"/>
    </row>
    <row r="11" spans="1:30" ht="48">
      <c r="A11" s="2212" t="s">
        <v>2178</v>
      </c>
      <c r="B11" s="2213" t="s">
        <v>3449</v>
      </c>
      <c r="C11" s="3160" t="s">
        <v>3451</v>
      </c>
      <c r="D11" s="2214"/>
      <c r="E11" s="2182"/>
      <c r="F11" s="2182"/>
      <c r="G11" s="2182"/>
      <c r="H11" s="2182"/>
      <c r="I11" s="2182"/>
      <c r="J11" s="2800"/>
      <c r="K11" s="2398"/>
      <c r="L11" s="2398"/>
      <c r="M11" s="2398"/>
      <c r="N11" s="2244"/>
      <c r="O11" s="1670"/>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70"/>
      <c r="O12" s="2244"/>
      <c r="P12" s="2244"/>
      <c r="Q12" s="2244"/>
      <c r="AD12" s="1618"/>
    </row>
    <row r="13" spans="1:30">
      <c r="A13" s="3120" t="s">
        <v>3329</v>
      </c>
      <c r="B13" s="2217" t="s">
        <v>2187</v>
      </c>
      <c r="C13" s="803"/>
      <c r="D13" s="803">
        <v>57137</v>
      </c>
      <c r="E13" s="803">
        <v>60789</v>
      </c>
      <c r="F13" s="803"/>
      <c r="G13" s="803"/>
      <c r="H13" s="803"/>
      <c r="I13" s="803"/>
      <c r="J13" s="2801"/>
      <c r="K13" s="2398"/>
      <c r="L13" s="2398"/>
      <c r="M13" s="2244"/>
      <c r="N13" s="1670"/>
      <c r="O13" s="2244"/>
      <c r="P13" s="2244"/>
      <c r="Q13" s="2244"/>
      <c r="AD13" s="1618"/>
    </row>
    <row r="14" spans="1:30">
      <c r="A14" s="1018"/>
      <c r="B14" s="2217" t="s">
        <v>2188</v>
      </c>
      <c r="C14" s="2218"/>
      <c r="D14" s="2218">
        <v>40</v>
      </c>
      <c r="E14" s="2218">
        <v>50</v>
      </c>
      <c r="F14" s="2218"/>
      <c r="G14" s="2218"/>
      <c r="H14" s="2218"/>
      <c r="I14" s="2218"/>
      <c r="J14" s="2802"/>
      <c r="K14" s="2398"/>
      <c r="L14" s="2398"/>
      <c r="M14" s="2244"/>
      <c r="N14" s="1670"/>
      <c r="O14" s="2244"/>
      <c r="P14" s="2244"/>
      <c r="Q14" s="2244"/>
      <c r="AD14" s="1618"/>
    </row>
    <row r="15" spans="1:30">
      <c r="A15" s="312"/>
      <c r="B15" s="2219" t="s">
        <v>2189</v>
      </c>
      <c r="C15" s="2220" t="str">
        <f>IF(A13="出让",IF(C13="","",ROUNDDOWN(MIN((C13-$D$3)/365,C14),2)),C14)</f>
        <v/>
      </c>
      <c r="D15" s="2220">
        <f>IF(A13="出让",IF(D13="","",ROUNDDOWN(MIN((D13-$D$3)/365,D14),2)),D14)</f>
        <v>31.31</v>
      </c>
      <c r="E15" s="2220">
        <f>IF(A13="出让",IF(E13="","",ROUNDDOWN(MIN((E13-$D$3)/365,E14),2)),E14)</f>
        <v>41.32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2190</v>
      </c>
      <c r="B16" s="3248"/>
      <c r="C16" s="3249"/>
      <c r="D16" s="3250"/>
      <c r="E16" s="2221" t="s">
        <v>2191</v>
      </c>
      <c r="F16" s="3251"/>
      <c r="G16" s="3252"/>
      <c r="H16" s="3252"/>
      <c r="I16" s="3253"/>
      <c r="J16" s="2244"/>
      <c r="K16" s="2402"/>
      <c r="L16" s="1670"/>
      <c r="M16" s="1670"/>
      <c r="N16" s="2244"/>
      <c r="O16" s="1670"/>
      <c r="P16" s="2244"/>
      <c r="Q16" s="2244"/>
      <c r="R16" s="2244"/>
    </row>
    <row r="17" spans="1:28">
      <c r="A17" s="305" t="s">
        <v>2192</v>
      </c>
      <c r="B17" s="294" t="s">
        <v>2193</v>
      </c>
      <c r="C17" s="8">
        <f>'数据-汇总表'!E3</f>
        <v>3490.9300000000003</v>
      </c>
      <c r="D17" s="1256" t="s">
        <v>2194</v>
      </c>
      <c r="E17" s="3254" t="s">
        <v>2195</v>
      </c>
      <c r="F17" s="3255"/>
      <c r="G17" s="3255"/>
      <c r="H17" s="3255"/>
      <c r="I17" s="3256"/>
      <c r="J17" s="2244"/>
      <c r="K17" s="2403"/>
      <c r="L17" s="1670"/>
      <c r="M17" s="1670"/>
      <c r="N17" s="2244"/>
      <c r="O17" s="1670"/>
      <c r="P17" s="2244"/>
      <c r="Q17" s="2244"/>
      <c r="R17" s="2244"/>
      <c r="S17" s="2244"/>
      <c r="T17" s="2244"/>
      <c r="U17" s="2244"/>
      <c r="V17" s="2244"/>
    </row>
    <row r="18" spans="1:28" ht="24.6" thickBot="1">
      <c r="A18" s="2222" t="s">
        <v>2196</v>
      </c>
      <c r="B18" s="1027" t="s">
        <v>2197</v>
      </c>
      <c r="C18" s="2223">
        <f>'数据-汇总表'!D3</f>
        <v>0</v>
      </c>
      <c r="D18" s="1029" t="s">
        <v>2198</v>
      </c>
      <c r="E18" s="3257" t="s">
        <v>2199</v>
      </c>
      <c r="F18" s="3258"/>
      <c r="G18" s="3258"/>
      <c r="H18" s="3258"/>
      <c r="I18" s="3259"/>
      <c r="J18" s="2244"/>
      <c r="K18" s="2403"/>
      <c r="L18" s="1670"/>
      <c r="M18" s="1670"/>
      <c r="N18" s="2244"/>
      <c r="O18" s="1670"/>
      <c r="P18" s="2244"/>
      <c r="Q18" s="2244"/>
      <c r="R18" s="2244"/>
      <c r="S18" s="2244"/>
      <c r="T18" s="2244"/>
      <c r="U18" s="2244"/>
      <c r="V18" s="2244"/>
    </row>
    <row r="19" spans="1:28" ht="37.200000000000003" thickTop="1" thickBot="1">
      <c r="A19" s="319" t="s">
        <v>1055</v>
      </c>
      <c r="B19" s="299" t="s">
        <v>2200</v>
      </c>
      <c r="C19" s="1455" t="s">
        <v>3452</v>
      </c>
      <c r="D19" s="1456" t="s">
        <v>2201</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2202</v>
      </c>
      <c r="B20" s="3244" t="s">
        <v>2203</v>
      </c>
      <c r="C20" s="3245"/>
      <c r="D20" s="3246" t="s">
        <v>2204</v>
      </c>
      <c r="E20" s="3247"/>
      <c r="F20" s="2429" t="s">
        <v>1056</v>
      </c>
      <c r="G20" s="2441"/>
      <c r="H20" s="2441"/>
      <c r="I20" s="2441"/>
      <c r="J20" s="2244"/>
      <c r="K20" s="3243"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2206</v>
      </c>
      <c r="C21" s="2295" t="s">
        <v>1057</v>
      </c>
      <c r="D21" s="1460" t="s">
        <v>2207</v>
      </c>
      <c r="E21" s="2418" t="s">
        <v>1057</v>
      </c>
      <c r="F21" s="2430"/>
      <c r="G21" s="2441"/>
      <c r="H21" s="2441"/>
      <c r="I21" s="2441"/>
      <c r="J21" s="2244"/>
      <c r="K21" s="324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2208</v>
      </c>
      <c r="C22" s="2295" t="s">
        <v>1058</v>
      </c>
      <c r="D22" s="2441"/>
      <c r="E22" s="2441"/>
      <c r="F22" s="2441"/>
      <c r="G22" s="2441"/>
      <c r="H22" s="2441"/>
      <c r="I22" s="2441"/>
      <c r="J22" s="2244"/>
      <c r="K22" s="324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2209</v>
      </c>
      <c r="B23" s="2292" t="s">
        <v>2210</v>
      </c>
      <c r="C23" s="2421"/>
      <c r="D23" s="2422" t="s">
        <v>2210</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2" t="s">
        <v>2211</v>
      </c>
      <c r="B27" s="312" t="s">
        <v>2212</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2"/>
      <c r="B28" s="294" t="s">
        <v>2213</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2"/>
      <c r="B29" s="294" t="s">
        <v>2214</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3"/>
      <c r="B30" s="294" t="s">
        <v>2215</v>
      </c>
      <c r="C30" s="3234"/>
      <c r="D30" s="3235"/>
      <c r="E30" s="2441"/>
      <c r="F30" s="2441"/>
      <c r="G30" s="2441"/>
      <c r="H30" s="2441"/>
      <c r="I30" s="2441"/>
      <c r="J30" s="2244"/>
      <c r="K30" s="2401"/>
      <c r="L30" s="2398"/>
      <c r="M30" s="2398"/>
      <c r="N30" s="2244"/>
      <c r="O30" s="1670"/>
      <c r="P30" s="2244"/>
      <c r="Q30" s="2244"/>
      <c r="R30" s="2244"/>
      <c r="S30" s="2244"/>
      <c r="T30" s="2244"/>
      <c r="U30" s="2244"/>
      <c r="V30" s="2244"/>
    </row>
    <row r="31" spans="1:28">
      <c r="A31" s="3236" t="s">
        <v>2216</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2217</v>
      </c>
      <c r="B34" s="1870"/>
      <c r="C34" s="1870"/>
      <c r="D34" s="1870"/>
      <c r="E34" s="1870"/>
      <c r="F34" s="1870"/>
      <c r="G34" s="1870"/>
      <c r="H34" s="1870"/>
      <c r="I34" s="2441"/>
      <c r="J34" s="2244"/>
      <c r="K34" s="8">
        <f>COUNTIF(B34:H34,"——")</f>
        <v>0</v>
      </c>
      <c r="L34" s="315" t="s">
        <v>2218</v>
      </c>
      <c r="M34" s="315" t="s">
        <v>2219</v>
      </c>
      <c r="N34" s="315" t="s">
        <v>2220</v>
      </c>
      <c r="O34" s="315" t="s">
        <v>2221</v>
      </c>
      <c r="P34" s="315" t="s">
        <v>2222</v>
      </c>
      <c r="Q34" s="315" t="s">
        <v>2223</v>
      </c>
      <c r="R34" s="315" t="s">
        <v>2224</v>
      </c>
      <c r="S34" s="3231" t="s">
        <v>2225</v>
      </c>
      <c r="T34" s="315" t="str">
        <f>NUMBERSTRING(7-K34,1)&amp;"通"</f>
        <v>七通</v>
      </c>
      <c r="U34" s="2244"/>
      <c r="V34" s="2244"/>
    </row>
    <row r="35" spans="1:30">
      <c r="A35" s="2235"/>
      <c r="B35" s="3231" t="s">
        <v>2226</v>
      </c>
      <c r="C35" s="3231"/>
      <c r="D35" s="3231"/>
      <c r="E35" s="323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4"/>
      <c r="V35" s="2244"/>
    </row>
    <row r="36" spans="1:30">
      <c r="A36" s="2183"/>
      <c r="B36" s="8" t="s">
        <v>2182</v>
      </c>
      <c r="C36" s="8" t="s">
        <v>2183</v>
      </c>
      <c r="D36" s="8" t="s">
        <v>2181</v>
      </c>
      <c r="E36" s="8" t="s">
        <v>2186</v>
      </c>
      <c r="F36" s="2799" t="s">
        <v>2576</v>
      </c>
      <c r="G36" s="2441"/>
      <c r="H36" s="2441"/>
      <c r="I36" s="2441"/>
      <c r="J36" s="2244"/>
      <c r="K36" s="2401"/>
      <c r="L36" s="2398"/>
      <c r="M36" s="2398"/>
      <c r="N36" s="2244"/>
      <c r="O36" s="1670"/>
      <c r="P36" s="2244"/>
      <c r="Q36" s="2244"/>
      <c r="R36" s="2244"/>
      <c r="S36" s="2244"/>
      <c r="T36" s="2244"/>
      <c r="U36" s="2244"/>
      <c r="V36" s="2244"/>
    </row>
    <row r="37" spans="1:30">
      <c r="A37" s="2414" t="s">
        <v>2227</v>
      </c>
      <c r="B37" s="2236" t="s">
        <v>305</v>
      </c>
      <c r="C37" s="2236" t="s">
        <v>305</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2228</v>
      </c>
      <c r="B38" s="2237" t="s">
        <v>3454</v>
      </c>
      <c r="C38" s="2237" t="s">
        <v>3454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2230</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3490.9300000000003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3490.9300000000003</v>
      </c>
      <c r="H5" s="13">
        <f t="shared" ref="H5:AT5" si="0">SUM(H13:H656)</f>
        <v>3490.9300000000003</v>
      </c>
      <c r="I5" s="13">
        <f t="shared" si="0"/>
        <v>659.55</v>
      </c>
      <c r="J5" s="13">
        <f t="shared" si="0"/>
        <v>0</v>
      </c>
      <c r="K5" s="13">
        <f t="shared" si="0"/>
        <v>2831.38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3490.9300000000003</v>
      </c>
      <c r="BA5" s="15">
        <f t="shared" si="1"/>
        <v>3490.9300000000003</v>
      </c>
      <c r="BB5" s="15">
        <f t="shared" si="1"/>
        <v>659.55</v>
      </c>
      <c r="BC5" s="15">
        <f t="shared" si="1"/>
        <v>2831.38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3455</v>
      </c>
      <c r="J9" s="761"/>
      <c r="K9" s="1491" t="s">
        <v>3455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103</v>
      </c>
      <c r="D13" s="1513" t="s">
        <v>3456</v>
      </c>
      <c r="E13" s="13">
        <f>IF($C$3="是",ROUND($A$3*G13/$B$3,2),ROUND($A$3*(G13-AT13)/$B$3,2))</f>
        <v>0</v>
      </c>
      <c r="F13" s="29"/>
      <c r="G13" s="30">
        <f>H13+AC13+AT13</f>
        <v>659.55</v>
      </c>
      <c r="H13" s="17">
        <f>SUMIF(I$12:AB$12,"总值",I13:AB13)</f>
        <v>659.55</v>
      </c>
      <c r="I13" s="1514">
        <v>659.55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103</v>
      </c>
      <c r="AY13" s="1260">
        <f>ROUND($AY$6*AZ13/$AZ$5,2)</f>
        <v>0</v>
      </c>
      <c r="AZ13" s="13">
        <f>BA13+BL13</f>
        <v>659.55</v>
      </c>
      <c r="BA13" s="13">
        <f>SUM(BB13:BK13)</f>
        <v>659.55</v>
      </c>
      <c r="BB13" s="13">
        <f>IF($D13="是",I13-J13,0)</f>
        <v>659.55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301</v>
      </c>
      <c r="D14" s="1513" t="s">
        <v>3456</v>
      </c>
      <c r="E14" s="13">
        <f>IF($C$3="是",ROUND($A$3*G14/$B$3,2),ROUND($A$3*(G14-AT14)/$B$3,2))</f>
        <v>0</v>
      </c>
      <c r="F14" s="29"/>
      <c r="G14" s="30">
        <f>H14+AC14+AT14</f>
        <v>1209.8</v>
      </c>
      <c r="H14" s="17">
        <f>SUMIF(I$12:AB$12,"总值",I14:AB14)</f>
        <v>1209.8</v>
      </c>
      <c r="I14" s="1514"/>
      <c r="J14" s="1514"/>
      <c r="K14" s="1514">
        <v>1209.8</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301</v>
      </c>
      <c r="AY14" s="1260">
        <f>ROUND($AY$6*AZ14/$AZ$5,2)</f>
        <v>0</v>
      </c>
      <c r="AZ14" s="13">
        <f>BA14+BL14</f>
        <v>1209.8</v>
      </c>
      <c r="BA14" s="13">
        <f>SUM(BB14:BK14)</f>
        <v>1209.8</v>
      </c>
      <c r="BB14" s="13">
        <f>IF($D14="是",I14-J14,0)</f>
        <v>0</v>
      </c>
      <c r="BC14" s="13">
        <f>IF($D14="是",K14-L14,0)</f>
        <v>1209.8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v>401</v>
      </c>
      <c r="D15" s="1513" t="s">
        <v>3456</v>
      </c>
      <c r="E15" s="13">
        <f>IF($C$3="是",ROUND($A$3*G15/$B$3,2),ROUND($A$3*(G15-AT15)/$B$3,2))</f>
        <v>0</v>
      </c>
      <c r="F15" s="29"/>
      <c r="G15" s="30">
        <f>H15+AC15+AT15</f>
        <v>1188.8599999999999</v>
      </c>
      <c r="H15" s="17">
        <f>SUMIF(I$12:AB$12,"总值",I15:AB15)</f>
        <v>1188.8599999999999</v>
      </c>
      <c r="I15" s="1514"/>
      <c r="J15" s="1514"/>
      <c r="K15" s="1514">
        <v>1188.8599999999999</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401</v>
      </c>
      <c r="AY15" s="1260">
        <f>ROUND($AY$6*AZ15/$AZ$5,2)</f>
        <v>0</v>
      </c>
      <c r="AZ15" s="13">
        <f>BA15+BL15</f>
        <v>1188.8599999999999</v>
      </c>
      <c r="BA15" s="13">
        <f>SUM(BB15:BK15)</f>
        <v>1188.8599999999999</v>
      </c>
      <c r="BB15" s="13">
        <f>IF($D15="是",I15-J15,0)</f>
        <v>0</v>
      </c>
      <c r="BC15" s="13">
        <f>IF($D15="是",K15-L15,0)</f>
        <v>1188.8599999999999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v>201</v>
      </c>
      <c r="D16" s="1513" t="s">
        <v>3456</v>
      </c>
      <c r="E16" s="13">
        <f>IF($C$3="是",ROUND($A$3*G16/$B$3,2),ROUND($A$3*(G16-AT16)/$B$3,2))</f>
        <v>0</v>
      </c>
      <c r="F16" s="29"/>
      <c r="G16" s="30">
        <f>H16+AC16+AT16</f>
        <v>432.72</v>
      </c>
      <c r="H16" s="17">
        <f>SUMIF(I$12:AB$12,"总值",I16:AB16)</f>
        <v>432.72</v>
      </c>
      <c r="I16" s="1514"/>
      <c r="J16" s="1514"/>
      <c r="K16" s="1514">
        <v>432.72</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201</v>
      </c>
      <c r="AY16" s="1260">
        <f>ROUND($AY$6*AZ16/$AZ$5,2)</f>
        <v>0</v>
      </c>
      <c r="AZ16" s="13">
        <f>BA16+BL16</f>
        <v>432.72</v>
      </c>
      <c r="BA16" s="13">
        <f>SUM(BB16:BK16)</f>
        <v>432.72</v>
      </c>
      <c r="BB16" s="13">
        <f>IF($D16="是",I16-J16,0)</f>
        <v>0</v>
      </c>
      <c r="BC16" s="13">
        <f>IF($D16="是",K16-L16,0)</f>
        <v>432.72</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20" sqref="E20:E22"/>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9" t="s">
        <v>1131</v>
      </c>
      <c r="B2" s="3269"/>
      <c r="C2" s="3269"/>
      <c r="D2" s="748" t="s">
        <v>1107</v>
      </c>
      <c r="E2" s="1523" t="s">
        <v>1108</v>
      </c>
      <c r="F2" s="2438"/>
      <c r="G2" s="2431"/>
      <c r="H2" s="2432"/>
      <c r="I2" s="2146" t="s">
        <v>1132</v>
      </c>
      <c r="J2" s="2438"/>
      <c r="K2" s="2438"/>
      <c r="L2" s="2438"/>
      <c r="M2" s="2438"/>
      <c r="N2" s="2439"/>
      <c r="O2" s="2438"/>
      <c r="P2" s="2438"/>
    </row>
    <row r="3" spans="1:16" ht="15" thickBot="1">
      <c r="A3" s="3270" t="s">
        <v>1105</v>
      </c>
      <c r="B3" s="3270"/>
      <c r="C3" s="3270"/>
      <c r="D3" s="41">
        <f>'数据-基础表'!AY6</f>
        <v>0</v>
      </c>
      <c r="E3" s="41">
        <f>'数据-基础表'!AZ5</f>
        <v>3490.9300000000003</v>
      </c>
      <c r="F3" s="2438"/>
      <c r="G3" s="42"/>
      <c r="H3" s="43" t="s">
        <v>1106</v>
      </c>
      <c r="I3" s="802" t="e">
        <f>ROUND('数据-基础表'!B3/'数据-基础表'!A3,2)</f>
        <v>#DIV/0!</v>
      </c>
      <c r="J3" s="2438"/>
      <c r="K3" s="2438"/>
      <c r="L3" s="2438"/>
      <c r="M3" s="2438"/>
      <c r="N3" s="2439"/>
      <c r="O3" s="2438"/>
      <c r="P3" s="2438"/>
    </row>
    <row r="4" spans="1:16" ht="14.4">
      <c r="A4" s="3271"/>
      <c r="B4" s="3272"/>
      <c r="C4" s="327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74" t="s">
        <v>1110</v>
      </c>
      <c r="C5" s="327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74" t="s">
        <v>1111</v>
      </c>
      <c r="C6" s="3274"/>
      <c r="D6" s="43">
        <f>ROUND($D$3*E6/$E$3,2)</f>
        <v>0</v>
      </c>
      <c r="E6" s="44">
        <f>E3-E5</f>
        <v>3490.9300000000003</v>
      </c>
      <c r="F6" s="2438"/>
      <c r="G6" s="1529" t="s">
        <v>1112</v>
      </c>
      <c r="H6" s="45" t="s">
        <v>1113</v>
      </c>
      <c r="I6" s="2434" t="e">
        <f>ROUND(F31/D31,2)</f>
        <v>#DIV/0!</v>
      </c>
      <c r="J6" s="2438"/>
      <c r="K6" s="2438"/>
      <c r="L6" s="2438"/>
      <c r="M6" s="2438"/>
      <c r="N6" s="2438"/>
      <c r="O6" s="2438"/>
      <c r="P6" s="2438"/>
    </row>
    <row r="7" spans="1:16" ht="15" thickBot="1">
      <c r="A7" s="3266"/>
      <c r="B7" s="3267"/>
      <c r="C7" s="3268"/>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3490.9300000000003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3490.9300000000003</v>
      </c>
      <c r="F16" s="2438"/>
      <c r="G16" s="2438"/>
      <c r="H16" s="1531" t="s">
        <v>1135</v>
      </c>
      <c r="I16" s="1532"/>
      <c r="J16" s="1071"/>
      <c r="K16" s="3263" t="s">
        <v>1135</v>
      </c>
      <c r="L16" s="3264"/>
      <c r="M16" s="3264"/>
      <c r="N16" s="3264"/>
      <c r="O16" s="3264"/>
      <c r="P16" s="3265"/>
    </row>
    <row r="17" spans="1:19" ht="14.4">
      <c r="A17" s="1533" t="s">
        <v>1136</v>
      </c>
      <c r="B17" s="1534" t="s">
        <v>1137</v>
      </c>
      <c r="C17" s="1535" t="s">
        <v>1138</v>
      </c>
      <c r="D17" s="1536" t="s">
        <v>1126</v>
      </c>
      <c r="E17" s="1537" t="s">
        <v>1127</v>
      </c>
      <c r="F17" s="1538"/>
      <c r="G17" s="1539"/>
      <c r="H17" s="1540" t="s">
        <v>1139</v>
      </c>
      <c r="I17" s="1541" t="s">
        <v>1124</v>
      </c>
      <c r="J17" s="1071"/>
      <c r="K17" s="3260" t="s">
        <v>1140</v>
      </c>
      <c r="L17" s="3261"/>
      <c r="M17" s="3262"/>
      <c r="N17" s="3260" t="s">
        <v>1141</v>
      </c>
      <c r="O17" s="3261"/>
      <c r="P17" s="326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103</v>
      </c>
      <c r="D19" s="43">
        <f>ROUND($D$3*E19/$E$3,2)</f>
        <v>0</v>
      </c>
      <c r="E19" s="51">
        <f t="shared" ref="E19:E26" si="1">SUM(F19:G19)</f>
        <v>659.55</v>
      </c>
      <c r="F19" s="2556">
        <f>'数据-基础表'!G13</f>
        <v>659.55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659.55</v>
      </c>
    </row>
    <row r="20" spans="1:19" ht="14.4">
      <c r="A20" s="1549"/>
      <c r="B20" s="45" t="s">
        <v>1153</v>
      </c>
      <c r="C20" s="3114">
        <f>'数据-基础表'!C14</f>
        <v>301</v>
      </c>
      <c r="D20" s="43">
        <f t="shared" ref="D20:D26" si="6">ROUND($D$3*E20/$E$3,2)</f>
        <v>0</v>
      </c>
      <c r="E20" s="51">
        <f t="shared" si="1"/>
        <v>1209.8</v>
      </c>
      <c r="F20" s="2556">
        <f>'数据-基础表'!K14</f>
        <v>1209.8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1209.8</v>
      </c>
    </row>
    <row r="21" spans="1:19" ht="14.4">
      <c r="A21" s="1549"/>
      <c r="B21" s="45" t="s">
        <v>1153</v>
      </c>
      <c r="C21" s="3114">
        <f>'数据-基础表'!C15</f>
        <v>401</v>
      </c>
      <c r="D21" s="43">
        <f t="shared" si="6"/>
        <v>0</v>
      </c>
      <c r="E21" s="51">
        <f t="shared" si="1"/>
        <v>1188.8599999999999</v>
      </c>
      <c r="F21" s="2556">
        <f>'数据-基础表'!K15</f>
        <v>1188.8599999999999</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1188.8599999999999</v>
      </c>
    </row>
    <row r="22" spans="1:19" ht="14.4">
      <c r="A22" s="1549"/>
      <c r="B22" s="45" t="s">
        <v>1153</v>
      </c>
      <c r="C22" s="3114">
        <f>'数据-基础表'!C16</f>
        <v>201</v>
      </c>
      <c r="D22" s="43">
        <f t="shared" si="6"/>
        <v>0</v>
      </c>
      <c r="E22" s="51">
        <f t="shared" si="1"/>
        <v>432.72</v>
      </c>
      <c r="F22" s="2556">
        <f>'数据-基础表'!K16</f>
        <v>432.72</v>
      </c>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432.72</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3490.9300000000003</v>
      </c>
      <c r="F27" s="1072">
        <f>IF(SUM(F19:F26)=E8,SUM(F19:F26),"地上面积有误")</f>
        <v>3490.9300000000003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3490.9300000000003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3490.9300000000003</v>
      </c>
      <c r="F31" s="644">
        <f>F27+F30</f>
        <v>3490.9300000000003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B53" sqref="B5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45706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3500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103</v>
      </c>
      <c r="B6" s="1587" t="str">
        <f>IF(A6=0,"","经营性")</f>
        <v>经营性</v>
      </c>
      <c r="C6" s="1588" t="s">
        <v>673</v>
      </c>
      <c r="D6" s="805">
        <f>SUMIF(项目基本情况!C$12:I$12,C6,项目基本情况!C$14:I$14)</f>
        <v>40</v>
      </c>
      <c r="E6" s="804">
        <f>IF(B6="","",SUMIF(项目基本情况!C$12:I$12,C6,项目基本情况!C$13:I$13))</f>
        <v>57137</v>
      </c>
      <c r="F6" s="61">
        <f>SUMIF(项目基本情况!C$12:I$12,C6,项目基本情况!C$15:I$15)</f>
        <v>31.31</v>
      </c>
      <c r="G6" s="62">
        <f>IF(ISERROR(ROUND(POWER(1+H6,D6-F6)*(POWER(1+H6,F6)-1)/(POWER(1+H6,D6)-1),3)),0,ROUND(POWER(1+H6,D6-F6)*(POWER(1+H6,F6)-1)/(POWER(1+H6,D6)-1),3))</f>
        <v>0.91300000000000003</v>
      </c>
      <c r="H6" s="691">
        <v>0.05</v>
      </c>
      <c r="I6" s="691">
        <v>5.5E-2</v>
      </c>
      <c r="J6" s="63">
        <v>7.0000000000000007E-2</v>
      </c>
      <c r="K6" s="970">
        <f>SUMIF('数据-汇总表'!C$19:C$33,A6,'数据-汇总表'!E$19:E$33)</f>
        <v>659.55</v>
      </c>
      <c r="L6" s="692"/>
      <c r="M6" s="64">
        <f t="shared" ref="M6:M14" si="0">ROUND(K6*L6/10000,0)</f>
        <v>0</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301</v>
      </c>
      <c r="B7" s="1587" t="str">
        <f t="shared" ref="B7:B13" si="1">IF(A7=0,"","经营性")</f>
        <v>经营性</v>
      </c>
      <c r="C7" s="1588" t="s">
        <v>21</v>
      </c>
      <c r="D7" s="805">
        <f>SUMIF(项目基本情况!C$12:I$12,C7,项目基本情况!C$14:I$14)</f>
        <v>50</v>
      </c>
      <c r="E7" s="804">
        <f>IF(B7="","",SUMIF(项目基本情况!C$12:I$12,C7,项目基本情况!C$13:I$13))</f>
        <v>60789</v>
      </c>
      <c r="F7" s="61">
        <f>SUMIF(项目基本情况!C$12:I$12,C7,项目基本情况!C$15:I$15)</f>
        <v>41.32</v>
      </c>
      <c r="G7" s="62">
        <f t="shared" ref="G7:G11" si="2">IF(ISERROR(ROUND(POWER(1+H7,D7-F7)*(POWER(1+H7,F7)-1)/(POWER(1+H7,D7)-1),3)),0,ROUND(POWER(1+H7,D7-F7)*(POWER(1+H7,F7)-1)/(POWER(1+H7,D7)-1),3))</f>
        <v>0.95</v>
      </c>
      <c r="H7" s="691">
        <f>H6</f>
        <v>0.05</v>
      </c>
      <c r="I7" s="691">
        <f>I6</f>
        <v>5.5E-2</v>
      </c>
      <c r="J7" s="63">
        <f>J6</f>
        <v>7.0000000000000007E-2</v>
      </c>
      <c r="K7" s="970">
        <f>SUMIF('数据-汇总表'!C$19:C$33,A7,'数据-汇总表'!E$19:E$33)</f>
        <v>1209.8</v>
      </c>
      <c r="L7" s="692"/>
      <c r="M7" s="64">
        <f t="shared" si="0"/>
        <v>0</v>
      </c>
      <c r="N7" s="690">
        <f>N6</f>
        <v>0.95</v>
      </c>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401</v>
      </c>
      <c r="B8" s="1587" t="str">
        <f t="shared" si="1"/>
        <v>经营性</v>
      </c>
      <c r="C8" s="1588" t="s">
        <v>21</v>
      </c>
      <c r="D8" s="805">
        <f>SUMIF(项目基本情况!C$12:I$12,C8,项目基本情况!C$14:I$14)</f>
        <v>50</v>
      </c>
      <c r="E8" s="804">
        <f>IF(B8="","",SUMIF(项目基本情况!C$12:I$12,C8,项目基本情况!C$13:I$13))</f>
        <v>60789</v>
      </c>
      <c r="F8" s="61">
        <f>SUMIF(项目基本情况!C$12:I$12,C8,项目基本情况!C$15:I$15)</f>
        <v>41.32</v>
      </c>
      <c r="G8" s="62">
        <f t="shared" si="2"/>
        <v>0.95</v>
      </c>
      <c r="H8" s="691">
        <f>H6</f>
        <v>0.05</v>
      </c>
      <c r="I8" s="691">
        <f>I6</f>
        <v>5.5E-2</v>
      </c>
      <c r="J8" s="63">
        <f>J6</f>
        <v>7.0000000000000007E-2</v>
      </c>
      <c r="K8" s="970">
        <f>SUMIF('数据-汇总表'!C$19:C$33,A8,'数据-汇总表'!E$19:E$33)</f>
        <v>1188.8599999999999</v>
      </c>
      <c r="L8" s="692"/>
      <c r="M8" s="64">
        <f>ROUND(K8*L8/10000,0)</f>
        <v>0</v>
      </c>
      <c r="N8" s="690">
        <f>N6</f>
        <v>0.95</v>
      </c>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201</v>
      </c>
      <c r="B9" s="1587" t="str">
        <f t="shared" si="1"/>
        <v>经营性</v>
      </c>
      <c r="C9" s="1588" t="s">
        <v>21</v>
      </c>
      <c r="D9" s="805">
        <f>SUMIF(项目基本情况!C$12:I$12,C9,项目基本情况!C$14:I$14)</f>
        <v>50</v>
      </c>
      <c r="E9" s="804">
        <f>IF(B9="","",SUMIF(项目基本情况!C$12:I$12,C9,项目基本情况!C$13:I$13))</f>
        <v>60789</v>
      </c>
      <c r="F9" s="61">
        <f>SUMIF(项目基本情况!C$12:I$12,C9,项目基本情况!C$15:I$15)</f>
        <v>41.32</v>
      </c>
      <c r="G9" s="62">
        <f t="shared" si="2"/>
        <v>0.95</v>
      </c>
      <c r="H9" s="63">
        <f>H6</f>
        <v>0.05</v>
      </c>
      <c r="I9" s="63">
        <f>I6</f>
        <v>5.5E-2</v>
      </c>
      <c r="J9" s="63">
        <f>J6</f>
        <v>7.0000000000000007E-2</v>
      </c>
      <c r="K9" s="970">
        <f>SUMIF('数据-汇总表'!C$19:C$33,A9,'数据-汇总表'!E$19:E$33)</f>
        <v>432.72</v>
      </c>
      <c r="L9" s="692"/>
      <c r="M9" s="64">
        <f t="shared" si="0"/>
        <v>0</v>
      </c>
      <c r="N9" s="690">
        <f>N6</f>
        <v>0.95</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0.94299999999999995</v>
      </c>
      <c r="H16" s="84">
        <f>ROUND(SUMPRODUCT(H6:H13,K6:K13)/SUMPRODUCT((H6:H13&gt;0)*(K6:K13)),3)</f>
        <v>0.05</v>
      </c>
      <c r="I16" s="85"/>
      <c r="J16" s="85"/>
      <c r="K16" s="86">
        <f>SUM(K6:K15)</f>
        <v>3490.9300000000003</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7" t="s">
        <v>3501</v>
      </c>
      <c r="N18" s="2447">
        <v>2022</v>
      </c>
      <c r="O18" s="3167" t="s">
        <v>3502</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2299</v>
      </c>
      <c r="D19" s="2450"/>
      <c r="E19" s="2438"/>
      <c r="F19" s="2438"/>
      <c r="G19" s="2438"/>
      <c r="H19" s="2438"/>
      <c r="I19" s="2438"/>
      <c r="J19" s="2438"/>
      <c r="K19" s="2448"/>
      <c r="L19" s="2448"/>
      <c r="M19" s="3167" t="s">
        <v>3503</v>
      </c>
      <c r="N19" s="2447">
        <f>ROUND(1-(1-0)*(2025-N18)/60,2)</f>
        <v>0.95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2297</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2307</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75" t="s">
        <v>2283</v>
      </c>
      <c r="B1" s="3276"/>
      <c r="C1" s="3276"/>
      <c r="D1" s="3276"/>
      <c r="E1" s="3276"/>
      <c r="F1" s="3276"/>
      <c r="G1" s="327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2249</v>
      </c>
      <c r="C3" s="2264" t="s">
        <v>2281</v>
      </c>
      <c r="D3" s="2265"/>
      <c r="E3" s="2247" t="s">
        <v>2280</v>
      </c>
      <c r="F3" s="2266" t="s">
        <v>2250</v>
      </c>
      <c r="G3" s="2267" t="s">
        <v>2282</v>
      </c>
      <c r="H3" s="751"/>
      <c r="I3" s="751"/>
      <c r="J3" s="751"/>
      <c r="K3" s="751"/>
      <c r="L3" s="751"/>
      <c r="M3" s="751"/>
      <c r="N3" s="751"/>
      <c r="O3" s="751"/>
      <c r="P3" s="751"/>
      <c r="Q3" s="751"/>
    </row>
    <row r="4" spans="1:29" ht="37.200000000000003">
      <c r="A4" s="2247"/>
      <c r="B4" s="315" t="s">
        <v>2251</v>
      </c>
      <c r="C4" s="2268" t="s">
        <v>2252</v>
      </c>
      <c r="D4" s="2265"/>
      <c r="E4" s="2269"/>
      <c r="F4" s="1281" t="s">
        <v>2253</v>
      </c>
      <c r="G4" s="2270" t="s">
        <v>2254</v>
      </c>
      <c r="H4" s="751"/>
      <c r="I4" s="751"/>
      <c r="J4" s="751"/>
      <c r="K4" s="751"/>
      <c r="L4" s="751"/>
      <c r="M4" s="751"/>
      <c r="N4" s="751"/>
      <c r="O4" s="751"/>
      <c r="P4" s="751"/>
      <c r="Q4" s="751"/>
    </row>
    <row r="5" spans="1:29" ht="37.200000000000003">
      <c r="A5" s="2247"/>
      <c r="B5" s="315" t="s">
        <v>2255</v>
      </c>
      <c r="C5" s="2268" t="s">
        <v>2256</v>
      </c>
      <c r="D5" s="2265"/>
      <c r="E5" s="2269"/>
      <c r="F5" s="315" t="s">
        <v>2257</v>
      </c>
      <c r="G5" s="2270" t="s">
        <v>2258</v>
      </c>
      <c r="H5" s="751"/>
      <c r="I5" s="751"/>
      <c r="J5" s="751"/>
      <c r="K5" s="751"/>
      <c r="L5" s="751"/>
      <c r="M5" s="751"/>
      <c r="N5" s="751"/>
      <c r="O5" s="751"/>
      <c r="P5" s="751"/>
      <c r="Q5" s="751"/>
    </row>
    <row r="6" spans="1:29" ht="48">
      <c r="A6" s="2247"/>
      <c r="B6" s="315" t="s">
        <v>2259</v>
      </c>
      <c r="C6" s="2270" t="s">
        <v>2254</v>
      </c>
      <c r="D6" s="2265"/>
      <c r="E6" s="2269"/>
      <c r="F6" s="315" t="s">
        <v>2260</v>
      </c>
      <c r="G6" s="2270" t="s">
        <v>2261</v>
      </c>
      <c r="H6" s="751"/>
      <c r="I6" s="751"/>
      <c r="J6" s="751"/>
      <c r="K6" s="751"/>
      <c r="L6" s="751"/>
      <c r="M6" s="751"/>
      <c r="N6" s="751"/>
      <c r="O6" s="751"/>
      <c r="P6" s="751"/>
      <c r="Q6" s="751"/>
    </row>
    <row r="7" spans="1:29" ht="36.6" thickBot="1">
      <c r="A7" s="2247"/>
      <c r="B7" s="315" t="s">
        <v>2257</v>
      </c>
      <c r="C7" s="2270" t="s">
        <v>2258</v>
      </c>
      <c r="D7" s="2244"/>
      <c r="E7" s="2271"/>
      <c r="F7" s="2272" t="s">
        <v>2262</v>
      </c>
      <c r="G7" s="2273" t="s">
        <v>2263</v>
      </c>
      <c r="H7" s="751"/>
      <c r="I7" s="751"/>
      <c r="J7" s="751"/>
      <c r="K7" s="751"/>
      <c r="L7" s="751"/>
      <c r="M7" s="751"/>
      <c r="N7" s="751"/>
      <c r="O7" s="751"/>
      <c r="P7" s="751"/>
      <c r="Q7" s="751"/>
    </row>
    <row r="8" spans="1:29" ht="24">
      <c r="A8" s="2247"/>
      <c r="B8" s="315" t="s">
        <v>2260</v>
      </c>
      <c r="C8" s="2270" t="s">
        <v>2261</v>
      </c>
      <c r="D8" s="2244"/>
      <c r="E8" s="2244"/>
      <c r="F8" s="121"/>
      <c r="G8" s="121"/>
      <c r="H8" s="751"/>
      <c r="I8" s="751"/>
      <c r="J8" s="751"/>
      <c r="K8" s="751"/>
      <c r="L8" s="751"/>
      <c r="M8" s="751"/>
      <c r="N8" s="751"/>
      <c r="O8" s="751"/>
      <c r="P8" s="751"/>
      <c r="Q8" s="751"/>
    </row>
    <row r="9" spans="1:29" ht="24">
      <c r="A9" s="2247"/>
      <c r="B9" s="315" t="s">
        <v>2264</v>
      </c>
      <c r="C9" s="2268" t="s">
        <v>2265</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9.6">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9.6">
      <c r="A17" s="2251"/>
      <c r="B17" s="2290" t="s">
        <v>2255</v>
      </c>
      <c r="C17" s="2291" t="str">
        <f>C5</f>
        <v>估价对象位于XX商圈，周边办公楼项目较多，入驻率高，办公集聚程度较好</v>
      </c>
      <c r="D17" s="2244"/>
      <c r="E17" s="2252"/>
      <c r="F17" s="2292" t="s">
        <v>2272</v>
      </c>
      <c r="G17" s="2294"/>
    </row>
    <row r="18" spans="1:17" ht="52.8">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6.4">
      <c r="A19" s="2251"/>
      <c r="B19" s="2292" t="s">
        <v>2273</v>
      </c>
      <c r="C19" s="2294"/>
      <c r="D19" s="2265"/>
      <c r="E19" s="2252"/>
      <c r="F19" s="315" t="s">
        <v>2257</v>
      </c>
      <c r="G19" s="2293" t="str">
        <f>G5</f>
        <v>估价对象所在区域公共配套设施齐备情况</v>
      </c>
    </row>
    <row r="20" spans="1:17" ht="26.4">
      <c r="A20" s="2251"/>
      <c r="B20" s="2292" t="s">
        <v>2274</v>
      </c>
      <c r="C20" s="2291" t="str">
        <f>C9</f>
        <v>区域自然环境：；人文环境；综合评价环境状况一般</v>
      </c>
      <c r="D20" s="2244"/>
      <c r="E20" s="2252"/>
      <c r="F20" s="315" t="s">
        <v>2260</v>
      </c>
      <c r="G20" s="2293" t="str">
        <f>G6</f>
        <v>估价对象所在区域基础设施水平</v>
      </c>
    </row>
    <row r="21" spans="1:17" ht="26.4">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1" sqref="E11"/>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2831.38</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45706</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0</v>
      </c>
      <c r="C5" s="2299">
        <f ca="1">IF(B5=D14,结果表!H102,ROUND(B5*10000/$B$1,0))</f>
        <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4016</v>
      </c>
      <c r="C10" s="2299" t="s">
        <v>3353</v>
      </c>
      <c r="D10" s="2299" t="s">
        <v>3354</v>
      </c>
      <c r="E10" s="3135">
        <f>典型户型修正!R22</f>
        <v>2.72</v>
      </c>
      <c r="F10" s="3139" t="s">
        <v>3355</v>
      </c>
      <c r="G10" s="3136">
        <v>7.0000000000000007E-2</v>
      </c>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2831.38</v>
      </c>
      <c r="C14" s="2305"/>
      <c r="D14" s="2305"/>
      <c r="E14" s="2305">
        <f>ROUND(D14*10000/B14,0)</f>
        <v>0</v>
      </c>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1" sqref="C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1" t="str">
        <f>项目基本情况!S2</f>
        <v>北京市昌平区文智路15号院7号楼1层103、3层301、4层401、5层501房地产</v>
      </c>
      <c r="B2" s="3312"/>
      <c r="C2" s="3312"/>
      <c r="D2" s="3312"/>
      <c r="E2" s="3312"/>
      <c r="F2" s="3312"/>
      <c r="G2" s="3312"/>
      <c r="H2" s="3312"/>
      <c r="I2" s="3313"/>
    </row>
    <row r="3" spans="1:12" ht="13.2">
      <c r="A3" s="3315" t="s">
        <v>1264</v>
      </c>
      <c r="B3" s="3316"/>
      <c r="C3" s="3316"/>
      <c r="D3" s="3316"/>
      <c r="E3" s="3316"/>
      <c r="F3" s="3316"/>
      <c r="G3" s="3316"/>
      <c r="H3" s="3316"/>
      <c r="I3" s="3316"/>
    </row>
    <row r="4" spans="1:12" ht="14.4">
      <c r="A4" s="1624" t="s">
        <v>1265</v>
      </c>
      <c r="B4" s="1625" t="s">
        <v>1266</v>
      </c>
      <c r="C4" s="1626"/>
      <c r="D4" s="1626"/>
      <c r="E4" s="3317" t="s">
        <v>1267</v>
      </c>
      <c r="F4" s="3318"/>
      <c r="G4" s="3318"/>
      <c r="H4" s="3318"/>
      <c r="I4" s="331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91" t="s">
        <v>1268</v>
      </c>
      <c r="B5" s="3278">
        <v>25</v>
      </c>
      <c r="C5" s="3294"/>
      <c r="D5" s="3314"/>
      <c r="E5" s="123" t="s">
        <v>1269</v>
      </c>
      <c r="F5" s="1627"/>
      <c r="G5" s="1627"/>
      <c r="H5" s="1627"/>
      <c r="I5" s="1281"/>
    </row>
    <row r="6" spans="1:12" ht="13.2">
      <c r="A6" s="3291"/>
      <c r="B6" s="3278"/>
      <c r="C6" s="3295"/>
      <c r="D6" s="3314"/>
      <c r="E6" s="123" t="s">
        <v>1270</v>
      </c>
      <c r="F6" s="1627"/>
      <c r="G6" s="1627"/>
      <c r="H6" s="1627"/>
      <c r="I6" s="1281"/>
    </row>
    <row r="7" spans="1:12" ht="13.2">
      <c r="A7" s="3291"/>
      <c r="B7" s="3278"/>
      <c r="C7" s="3296"/>
      <c r="D7" s="3314"/>
      <c r="E7" s="123" t="s">
        <v>1271</v>
      </c>
      <c r="F7" s="1627"/>
      <c r="G7" s="1627"/>
      <c r="H7" s="1627"/>
      <c r="I7" s="1281"/>
    </row>
    <row r="8" spans="1:12" ht="13.2">
      <c r="A8" s="3291" t="s">
        <v>1272</v>
      </c>
      <c r="B8" s="3278">
        <v>15</v>
      </c>
      <c r="C8" s="3294"/>
      <c r="D8" s="3314"/>
      <c r="E8" s="123" t="s">
        <v>1273</v>
      </c>
      <c r="F8" s="1627"/>
      <c r="G8" s="1627"/>
      <c r="H8" s="1627"/>
      <c r="I8" s="1281"/>
    </row>
    <row r="9" spans="1:12" ht="13.2">
      <c r="A9" s="3291"/>
      <c r="B9" s="3278"/>
      <c r="C9" s="3296"/>
      <c r="D9" s="3314"/>
      <c r="E9" s="123" t="s">
        <v>1274</v>
      </c>
      <c r="F9" s="1627"/>
      <c r="G9" s="1627"/>
      <c r="H9" s="1627"/>
      <c r="I9" s="1281"/>
    </row>
    <row r="10" spans="1:12" ht="13.2">
      <c r="A10" s="3291" t="s">
        <v>1275</v>
      </c>
      <c r="B10" s="3278">
        <v>15</v>
      </c>
      <c r="C10" s="3294"/>
      <c r="D10" s="3314"/>
      <c r="E10" s="123" t="s">
        <v>1276</v>
      </c>
      <c r="F10" s="1627"/>
      <c r="G10" s="1627"/>
      <c r="H10" s="1627"/>
      <c r="I10" s="1281"/>
    </row>
    <row r="11" spans="1:12" ht="13.2">
      <c r="A11" s="3291"/>
      <c r="B11" s="3278"/>
      <c r="C11" s="3296"/>
      <c r="D11" s="3314"/>
      <c r="E11" s="123" t="s">
        <v>1277</v>
      </c>
      <c r="F11" s="1627"/>
      <c r="G11" s="1627"/>
      <c r="H11" s="1627"/>
      <c r="I11" s="1281"/>
    </row>
    <row r="12" spans="1:12" ht="13.2">
      <c r="A12" s="3291" t="s">
        <v>1278</v>
      </c>
      <c r="B12" s="3278">
        <v>15</v>
      </c>
      <c r="C12" s="3294"/>
      <c r="D12" s="3314"/>
      <c r="E12" s="123" t="s">
        <v>1279</v>
      </c>
      <c r="F12" s="1627"/>
      <c r="G12" s="1627"/>
      <c r="H12" s="1627"/>
      <c r="I12" s="1281"/>
    </row>
    <row r="13" spans="1:12" ht="13.2">
      <c r="A13" s="3291"/>
      <c r="B13" s="3278"/>
      <c r="C13" s="3296"/>
      <c r="D13" s="3314"/>
      <c r="E13" s="123" t="s">
        <v>1280</v>
      </c>
      <c r="F13" s="1627"/>
      <c r="G13" s="1627"/>
      <c r="H13" s="1627"/>
      <c r="I13" s="1281"/>
    </row>
    <row r="14" spans="1:12" ht="13.2">
      <c r="A14" s="3291" t="s">
        <v>1281</v>
      </c>
      <c r="B14" s="3278">
        <v>30</v>
      </c>
      <c r="C14" s="3294"/>
      <c r="D14" s="3314"/>
      <c r="E14" s="123" t="s">
        <v>1282</v>
      </c>
      <c r="F14" s="1627"/>
      <c r="G14" s="1627"/>
      <c r="H14" s="1627"/>
      <c r="I14" s="1281"/>
    </row>
    <row r="15" spans="1:12" ht="13.2">
      <c r="A15" s="3291"/>
      <c r="B15" s="3278"/>
      <c r="C15" s="3295"/>
      <c r="D15" s="3314"/>
      <c r="E15" s="123" t="s">
        <v>1283</v>
      </c>
      <c r="F15" s="1627"/>
      <c r="G15" s="1627"/>
      <c r="H15" s="1627"/>
      <c r="I15" s="1281"/>
    </row>
    <row r="16" spans="1:12" ht="13.2">
      <c r="A16" s="3291"/>
      <c r="B16" s="3278"/>
      <c r="C16" s="3296"/>
      <c r="D16" s="3314"/>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01" t="s">
        <v>2128</v>
      </c>
      <c r="F18" s="3302"/>
      <c r="G18" s="3302"/>
      <c r="H18" s="3302"/>
      <c r="I18" s="3302"/>
      <c r="K18" s="294" t="s">
        <v>1289</v>
      </c>
      <c r="L18" s="294">
        <f>IF(C1="",'数据-汇总表'!E3,SUMIF(项目类型,C1,'数据-汇总表'!E17:E26)+SUMIF(项目类型,C1,'数据-汇总表'!I17:I26))</f>
        <v>3490.9300000000003</v>
      </c>
      <c r="M18" s="294">
        <f>IF(C1="",'数据-汇总表'!E3,SUMIF(项目类型,C1,'数据-汇总表'!E17:E26))</f>
        <v>3490.9300000000003</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85" t="s">
        <v>1299</v>
      </c>
      <c r="B24" s="1631" t="s">
        <v>1291</v>
      </c>
      <c r="C24" s="128">
        <f>IF(B30=0,0,D30)</f>
        <v>0</v>
      </c>
      <c r="D24" s="1637"/>
      <c r="E24" s="121"/>
      <c r="F24" s="121"/>
      <c r="G24" s="121"/>
      <c r="H24" s="121"/>
      <c r="I24" s="121"/>
    </row>
    <row r="25" spans="1:36" ht="14.4">
      <c r="A25" s="328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2129</v>
      </c>
      <c r="F30" s="121"/>
      <c r="G30" s="121"/>
      <c r="H30" s="121"/>
      <c r="I30" s="121"/>
    </row>
    <row r="31" spans="1:36" s="2133" customFormat="1" ht="26.4" customHeight="1" thickTop="1" thickBot="1">
      <c r="A31" s="2128"/>
      <c r="B31" s="2129"/>
      <c r="C31" s="2129"/>
      <c r="D31" s="2129"/>
      <c r="E31" s="2129"/>
      <c r="F31" s="2129"/>
      <c r="G31" s="2129"/>
      <c r="H31" s="2129"/>
      <c r="I31" s="2130" t="s">
        <v>2130</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5" t="s">
        <v>1312</v>
      </c>
      <c r="B36" s="1652" t="s">
        <v>1313</v>
      </c>
      <c r="C36" s="137"/>
      <c r="D36" s="1653"/>
      <c r="E36" s="1567"/>
      <c r="F36" s="1654"/>
      <c r="G36" s="121"/>
      <c r="H36" s="121"/>
      <c r="I36" s="121"/>
    </row>
    <row r="37" spans="1:15" ht="15" thickBot="1">
      <c r="A37" s="3306"/>
      <c r="B37" s="1555" t="s">
        <v>1314</v>
      </c>
      <c r="C37" s="139"/>
      <c r="D37" s="1071"/>
      <c r="E37" s="1071"/>
      <c r="F37" s="1654"/>
      <c r="G37" s="121"/>
      <c r="H37" s="121"/>
      <c r="I37" s="121"/>
    </row>
    <row r="38" spans="1:15" ht="15" thickBot="1">
      <c r="A38" s="330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82" t="s">
        <v>1326</v>
      </c>
      <c r="B45" s="3283"/>
      <c r="C45" s="3284"/>
      <c r="D45" s="147" t="e">
        <f ca="1">ROUND(H101*F45,0)</f>
        <v>#REF!</v>
      </c>
      <c r="E45" s="148" t="s">
        <v>1327</v>
      </c>
      <c r="F45" s="149">
        <v>1</v>
      </c>
      <c r="G45" s="150" t="s">
        <v>1328</v>
      </c>
      <c r="H45" s="121"/>
      <c r="I45" s="121"/>
      <c r="J45" s="3360" t="s">
        <v>1329</v>
      </c>
      <c r="K45" s="3360"/>
      <c r="L45" s="3360"/>
      <c r="M45" s="3360"/>
      <c r="N45" s="3360"/>
      <c r="O45" s="3360"/>
    </row>
    <row r="46" spans="1:15" ht="14.25" customHeight="1">
      <c r="A46" s="3279" t="s">
        <v>1330</v>
      </c>
      <c r="B46" s="3280"/>
      <c r="C46" s="3280"/>
      <c r="D46" s="3280"/>
      <c r="E46" s="3280"/>
      <c r="F46" s="3280"/>
      <c r="G46" s="3281"/>
      <c r="H46" s="1668"/>
      <c r="I46" s="151"/>
      <c r="J46" s="2309">
        <v>1</v>
      </c>
      <c r="K46" s="3341" t="s">
        <v>1331</v>
      </c>
      <c r="L46" s="3341"/>
      <c r="M46" s="3361"/>
      <c r="N46" s="3361"/>
      <c r="O46" s="3361"/>
    </row>
    <row r="47" spans="1:15" ht="12" customHeight="1">
      <c r="A47" s="152" t="s">
        <v>1332</v>
      </c>
      <c r="B47" s="153"/>
      <c r="C47" s="154"/>
      <c r="D47" s="1024" t="s">
        <v>1333</v>
      </c>
      <c r="E47" s="294" t="s">
        <v>1334</v>
      </c>
      <c r="F47" s="155" t="s">
        <v>1335</v>
      </c>
      <c r="G47" s="2332" t="s">
        <v>1336</v>
      </c>
      <c r="H47" s="2333"/>
      <c r="I47" s="151"/>
      <c r="J47" s="2309">
        <v>2</v>
      </c>
      <c r="K47" s="3341" t="s">
        <v>1337</v>
      </c>
      <c r="L47" s="3341"/>
      <c r="M47" s="3362">
        <f>'数据-取费表'!B2</f>
        <v>45706</v>
      </c>
      <c r="N47" s="3362"/>
      <c r="O47" s="3362"/>
    </row>
    <row r="48" spans="1:15" ht="26.4">
      <c r="A48" s="3310" t="s">
        <v>1338</v>
      </c>
      <c r="B48" s="3293"/>
      <c r="C48" s="3293"/>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41" t="s">
        <v>1340</v>
      </c>
      <c r="L48" s="3341"/>
      <c r="M48" s="3363" t="e">
        <f ca="1">H101</f>
        <v>#REF!</v>
      </c>
      <c r="N48" s="3363"/>
      <c r="O48" s="3363"/>
    </row>
    <row r="49" spans="1:35" ht="25.5" customHeight="1">
      <c r="A49" s="2152" t="s">
        <v>1341</v>
      </c>
      <c r="B49" s="3277" t="s">
        <v>1342</v>
      </c>
      <c r="C49" s="3277"/>
      <c r="D49" s="1478">
        <v>0</v>
      </c>
      <c r="E49" s="316" t="s">
        <v>1343</v>
      </c>
      <c r="F49" s="2232" t="s">
        <v>28</v>
      </c>
      <c r="G49" s="3347"/>
      <c r="H49" s="2134" t="s">
        <v>2131</v>
      </c>
      <c r="I49" s="2135"/>
      <c r="J49" s="2309">
        <v>4</v>
      </c>
      <c r="K49" s="3341" t="str">
        <f>IF(项目基本情况!E8="房地产抵押价值","房地产抵押价值","抵押担保权已注销时的房地产抵押价值")</f>
        <v>抵押担保权已注销时的房地产抵押价值</v>
      </c>
      <c r="L49" s="3341"/>
      <c r="M49" s="3363" t="str">
        <f>IF(项目基本情况!E8="房地产抵押价值",H107,H109)</f>
        <v>——</v>
      </c>
      <c r="N49" s="3363"/>
      <c r="O49" s="3363"/>
    </row>
    <row r="50" spans="1:35" ht="25.5" customHeight="1">
      <c r="A50" s="2337"/>
      <c r="B50" s="3277" t="s">
        <v>1344</v>
      </c>
      <c r="C50" s="3277"/>
      <c r="D50" s="2189"/>
      <c r="E50" s="323"/>
      <c r="F50" s="2232"/>
      <c r="G50" s="3348"/>
      <c r="H50" s="2136" t="s">
        <v>2132</v>
      </c>
      <c r="I50" s="2135"/>
      <c r="J50" s="3360" t="s">
        <v>1345</v>
      </c>
      <c r="K50" s="3360"/>
      <c r="L50" s="3360"/>
      <c r="M50" s="3360"/>
      <c r="N50" s="3360"/>
      <c r="O50" s="3360"/>
    </row>
    <row r="51" spans="1:35" ht="20.399999999999999" customHeight="1">
      <c r="A51" s="2338"/>
      <c r="B51" s="3277" t="s">
        <v>1346</v>
      </c>
      <c r="C51" s="3277"/>
      <c r="D51" s="1024"/>
      <c r="E51" s="319"/>
      <c r="F51" s="2232"/>
      <c r="G51" s="3349"/>
      <c r="H51" s="2136" t="s">
        <v>2133</v>
      </c>
      <c r="I51" s="2135"/>
      <c r="J51" s="2310" t="s">
        <v>1347</v>
      </c>
      <c r="K51" s="3341" t="s">
        <v>1348</v>
      </c>
      <c r="L51" s="3341"/>
      <c r="M51" s="2310" t="s">
        <v>1349</v>
      </c>
      <c r="N51" s="2310" t="s">
        <v>1350</v>
      </c>
      <c r="O51" s="2310" t="s">
        <v>1351</v>
      </c>
    </row>
    <row r="52" spans="1:35" ht="24" customHeight="1">
      <c r="A52" s="2153" t="s">
        <v>1352</v>
      </c>
      <c r="B52" s="3277" t="s">
        <v>1353</v>
      </c>
      <c r="C52" s="3277"/>
      <c r="D52" s="1024" t="e">
        <f ca="1">ROUND(D45*'数据-取费表'!B41/(1+'数据-取费表'!C42),0)</f>
        <v>#REF!</v>
      </c>
      <c r="E52" s="1256" t="s">
        <v>1354</v>
      </c>
      <c r="F52" s="2339">
        <f>'数据-取费表'!B41</f>
        <v>0</v>
      </c>
      <c r="G52" s="2340"/>
      <c r="H52" s="2330"/>
      <c r="I52" s="1669"/>
      <c r="J52" s="2309">
        <v>1</v>
      </c>
      <c r="K52" s="3342" t="s">
        <v>1355</v>
      </c>
      <c r="L52" s="3342"/>
      <c r="M52" s="2311" t="b">
        <f>D48</f>
        <v>0</v>
      </c>
      <c r="N52" s="2309" t="str">
        <f>E48</f>
        <v>销售额×税（费）率</v>
      </c>
      <c r="O52" s="2312">
        <f>F48</f>
        <v>0</v>
      </c>
    </row>
    <row r="53" spans="1:35" ht="12" customHeight="1">
      <c r="A53" s="2153" t="s">
        <v>1356</v>
      </c>
      <c r="B53" s="3303" t="s">
        <v>2288</v>
      </c>
      <c r="C53" s="3304"/>
      <c r="D53" s="1024" t="e">
        <f ca="1">ROUND(D45*'数据-取费表'!B41/(1+'数据-取费表'!C42),0)</f>
        <v>#REF!</v>
      </c>
      <c r="E53" s="1256" t="s">
        <v>1354</v>
      </c>
      <c r="F53" s="2339">
        <f>'数据-取费表'!B41</f>
        <v>0</v>
      </c>
      <c r="G53" s="2340"/>
      <c r="H53" s="2330"/>
      <c r="I53" s="1669"/>
      <c r="J53" s="2309">
        <v>2</v>
      </c>
      <c r="K53" s="3342" t="s">
        <v>1357</v>
      </c>
      <c r="L53" s="3342"/>
      <c r="M53" s="2311" t="e">
        <f t="shared" ref="M53:O54" ca="1" si="0">D55</f>
        <v>#REF!</v>
      </c>
      <c r="N53" s="2309" t="str">
        <f t="shared" si="0"/>
        <v>销售额×税（费）率</v>
      </c>
      <c r="O53" s="2312" t="str">
        <f t="shared" si="0"/>
        <v>免征</v>
      </c>
    </row>
    <row r="54" spans="1:35" ht="12" customHeight="1">
      <c r="A54" s="2153" t="s">
        <v>1358</v>
      </c>
      <c r="B54" s="3303" t="s">
        <v>2289</v>
      </c>
      <c r="C54" s="3304"/>
      <c r="D54" s="1024" t="e">
        <f ca="1">C68</f>
        <v>#REF!</v>
      </c>
      <c r="E54" s="319" t="s">
        <v>1359</v>
      </c>
      <c r="F54" s="2339">
        <f>'数据-取费表'!B41</f>
        <v>0</v>
      </c>
      <c r="G54" s="2340"/>
      <c r="H54" s="2341"/>
      <c r="I54" s="1669"/>
      <c r="J54" s="2309">
        <v>3</v>
      </c>
      <c r="K54" s="3342" t="s">
        <v>1360</v>
      </c>
      <c r="L54" s="3342"/>
      <c r="M54" s="2311" t="e">
        <f t="shared" ca="1" si="0"/>
        <v>#REF!</v>
      </c>
      <c r="N54" s="2309" t="str">
        <f t="shared" si="0"/>
        <v>增值额×税（费）率</v>
      </c>
      <c r="O54" s="2313" t="str">
        <f t="shared" si="0"/>
        <v>免征</v>
      </c>
    </row>
    <row r="55" spans="1:35" ht="24" customHeight="1">
      <c r="A55" s="3292" t="s">
        <v>1361</v>
      </c>
      <c r="B55" s="3293"/>
      <c r="C55" s="3293"/>
      <c r="D55" s="12" t="e">
        <f ca="1">IF(H55="个人住宅",0,ROUND(D45*I55,0))</f>
        <v>#REF!</v>
      </c>
      <c r="E55" s="1256" t="s">
        <v>1362</v>
      </c>
      <c r="F55" s="2339" t="str">
        <f>IF(H55="正常",I55,"免征")</f>
        <v>免征</v>
      </c>
      <c r="G55" s="2340"/>
      <c r="H55" s="2336"/>
      <c r="I55" s="157">
        <f>'数据-取费表'!B49</f>
        <v>0</v>
      </c>
      <c r="J55" s="2309">
        <f>IF(H59="非个人房产","",4)</f>
        <v>4</v>
      </c>
      <c r="K55" s="3342" t="str">
        <f>IF(H59="非个人房产","——","个人所得税")</f>
        <v>个人所得税</v>
      </c>
      <c r="L55" s="3342"/>
      <c r="M55" s="2314" t="e">
        <f ca="1">D59</f>
        <v>#REF!</v>
      </c>
      <c r="N55" s="1883" t="str">
        <f>E59</f>
        <v>差额计税</v>
      </c>
      <c r="O55" s="2315">
        <f>F59</f>
        <v>0.01</v>
      </c>
    </row>
    <row r="56" spans="1:35" ht="25.2">
      <c r="A56" s="3292" t="s">
        <v>1363</v>
      </c>
      <c r="B56" s="3293"/>
      <c r="C56" s="3293"/>
      <c r="D56" s="12" t="e">
        <f ca="1">IF(H56="个人住宅",D57,D58)</f>
        <v>#REF!</v>
      </c>
      <c r="E56" s="1256" t="s">
        <v>1364</v>
      </c>
      <c r="F56" s="2339" t="str">
        <f>IF(H56="正常",F58,"免征")</f>
        <v>免征</v>
      </c>
      <c r="G56" s="2342" t="s">
        <v>1365</v>
      </c>
      <c r="H56" s="2343"/>
      <c r="I56" s="1670"/>
      <c r="J56" s="2309" t="str">
        <f>IF(项目基本情况!K6="上海银行",IF(J55="",4,J55+1),"")</f>
        <v/>
      </c>
      <c r="K56" s="3365" t="str">
        <f>IF(项目基本情况!K6="上海银行","其他处置费用","")</f>
        <v/>
      </c>
      <c r="L56" s="3366"/>
      <c r="M56" s="2311" t="str">
        <f>IF(项目基本情况!K6="上海银行",M69,"")</f>
        <v/>
      </c>
      <c r="N56" s="3365" t="str">
        <f>IF(项目基本情况!K6="上海银行","包含处置中涉及的律师、诉讼、拍卖、评估等费用","")</f>
        <v/>
      </c>
      <c r="O56" s="3368"/>
    </row>
    <row r="57" spans="1:35" ht="13.2">
      <c r="A57" s="2153" t="s">
        <v>1341</v>
      </c>
      <c r="B57" s="3303" t="s">
        <v>1366</v>
      </c>
      <c r="C57" s="3304"/>
      <c r="D57" s="1478">
        <v>0</v>
      </c>
      <c r="E57" s="316" t="s">
        <v>1343</v>
      </c>
      <c r="F57" s="294"/>
      <c r="G57" s="2340"/>
      <c r="H57" s="2344"/>
      <c r="I57" s="1670"/>
      <c r="J57" s="3342">
        <f>IF(AND(J55="",J56=""),4,IF(项目基本情况!K6="上海银行",结果表!J56+1,结果表!J55+1))</f>
        <v>5</v>
      </c>
      <c r="K57" s="3342" t="s">
        <v>1367</v>
      </c>
      <c r="L57" s="2316" t="s">
        <v>1368</v>
      </c>
      <c r="M57" s="2317"/>
      <c r="N57" s="2318">
        <f ca="1">SUMIF(M52:M56,"&lt;9e307")</f>
        <v>0</v>
      </c>
      <c r="O57" s="2319"/>
      <c r="P57" s="2463" t="e">
        <f ca="1">N57/M49</f>
        <v>#VALUE!</v>
      </c>
    </row>
    <row r="58" spans="1:35" ht="25.2">
      <c r="A58" s="2153" t="s">
        <v>1352</v>
      </c>
      <c r="B58" s="3303" t="s">
        <v>1369</v>
      </c>
      <c r="C58" s="3277"/>
      <c r="D58" s="12" t="e">
        <f ca="1">IF(H58="转让取得",C81,C97)</f>
        <v>#REF!</v>
      </c>
      <c r="E58" s="1256" t="s">
        <v>1364</v>
      </c>
      <c r="F58" s="294" t="s">
        <v>28</v>
      </c>
      <c r="G58" s="2340"/>
      <c r="H58" s="2343"/>
      <c r="I58" s="1670"/>
      <c r="J58" s="3342"/>
      <c r="K58" s="3342"/>
      <c r="L58" s="2316" t="s">
        <v>1370</v>
      </c>
      <c r="M58" s="2320"/>
      <c r="N58" s="2321" t="str">
        <f ca="1">NUMBERSTRING(INT(N57*10000),2)&amp;"元整"</f>
        <v>零元整</v>
      </c>
      <c r="O58" s="2322"/>
    </row>
    <row r="59" spans="1:35" ht="24.6" thickBot="1">
      <c r="A59" s="3345" t="s">
        <v>1371</v>
      </c>
      <c r="B59" s="3346"/>
      <c r="C59" s="334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2134</v>
      </c>
      <c r="J59" s="3343">
        <f>J57+1</f>
        <v>6</v>
      </c>
      <c r="K59" s="3342" t="s">
        <v>1372</v>
      </c>
      <c r="L59" s="2309" t="s">
        <v>1368</v>
      </c>
      <c r="M59" s="2323"/>
      <c r="N59" s="2324" t="e">
        <f ca="1">M49-N57</f>
        <v>#VALUE!</v>
      </c>
      <c r="O59" s="2325"/>
    </row>
    <row r="60" spans="1:35" ht="12" customHeight="1">
      <c r="A60" s="1671"/>
      <c r="B60" s="646"/>
      <c r="C60" s="646"/>
      <c r="D60" s="646"/>
      <c r="E60" s="1466"/>
      <c r="F60" s="1670"/>
      <c r="G60" s="1670"/>
      <c r="H60" s="151"/>
      <c r="I60" s="121"/>
      <c r="J60" s="3344"/>
      <c r="K60" s="3342"/>
      <c r="L60" s="2316" t="s">
        <v>1370</v>
      </c>
      <c r="M60" s="2320"/>
      <c r="N60" s="2321" t="e">
        <f ca="1">NUMBERSTRING(INT(N59*10000),2)&amp;"元整"</f>
        <v>#VALUE!</v>
      </c>
      <c r="O60" s="2322"/>
    </row>
    <row r="61" spans="1:35" ht="13.8" thickBot="1">
      <c r="A61" s="3290" t="s">
        <v>1373</v>
      </c>
      <c r="B61" s="3290"/>
      <c r="C61" s="3290"/>
      <c r="D61" s="3290"/>
      <c r="E61" s="3290"/>
      <c r="F61" s="1670"/>
      <c r="G61" s="1670"/>
      <c r="H61" s="151"/>
      <c r="I61" s="121"/>
      <c r="J61" s="2309">
        <f>J59+1</f>
        <v>7</v>
      </c>
      <c r="K61" s="3342" t="s">
        <v>1374</v>
      </c>
      <c r="L61" s="3342"/>
      <c r="M61" s="2326"/>
      <c r="N61" s="2327" t="e">
        <f ca="1">ROUND(N59*10000/'数据-汇总表'!E3,0)</f>
        <v>#VALUE!</v>
      </c>
      <c r="O61" s="2328"/>
    </row>
    <row r="62" spans="1:35" ht="13.2">
      <c r="A62" s="3308" t="s">
        <v>1375</v>
      </c>
      <c r="B62" s="3309"/>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6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6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6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6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6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6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67"/>
      <c r="K69" s="1245" t="s">
        <v>1393</v>
      </c>
      <c r="L69" s="1245"/>
      <c r="M69" s="294" t="e">
        <f>ROUND(SUM(M63:M68),0)</f>
        <v>#VALUE!</v>
      </c>
      <c r="N69" s="2331" t="e">
        <f>M69/M49</f>
        <v>#VALUE!</v>
      </c>
      <c r="Z69" s="1623"/>
      <c r="AI69" s="1561"/>
    </row>
    <row r="70" spans="1:35" s="642" customFormat="1" ht="14.4"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3" t="s">
        <v>1402</v>
      </c>
      <c r="F76" s="3277"/>
      <c r="G76" s="3277"/>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87" t="s">
        <v>1406</v>
      </c>
      <c r="F78" s="3288"/>
      <c r="G78" s="3288"/>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69" t="s">
        <v>2126</v>
      </c>
      <c r="H90" s="337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7" t="s">
        <v>1419</v>
      </c>
      <c r="F91" s="3288"/>
      <c r="G91" s="328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7" t="s">
        <v>1422</v>
      </c>
      <c r="F92" s="3288"/>
      <c r="G92" s="3288"/>
      <c r="H92" s="329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87" t="s">
        <v>1406</v>
      </c>
      <c r="F93" s="3288"/>
      <c r="G93" s="3288"/>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8" t="s">
        <v>1426</v>
      </c>
      <c r="F94" s="3299"/>
      <c r="G94" s="3299"/>
      <c r="H94" s="330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1" t="s">
        <v>1428</v>
      </c>
      <c r="B100" s="3272"/>
      <c r="C100" s="3272"/>
      <c r="D100" s="3289"/>
      <c r="E100" s="3272" t="s">
        <v>1429</v>
      </c>
      <c r="F100" s="3272"/>
      <c r="G100" s="3272"/>
      <c r="H100" s="3289"/>
      <c r="I100" s="121"/>
    </row>
    <row r="101" spans="1:35" ht="18.75" customHeight="1">
      <c r="A101" s="3350" t="s">
        <v>1430</v>
      </c>
      <c r="B101" s="3351"/>
      <c r="C101" s="2370">
        <f>C4</f>
        <v>0</v>
      </c>
      <c r="D101" s="2371">
        <f>D4</f>
        <v>0</v>
      </c>
      <c r="E101" s="3364" t="s">
        <v>1431</v>
      </c>
      <c r="F101" s="3321"/>
      <c r="G101" s="1687" t="s">
        <v>1432</v>
      </c>
      <c r="H101" s="2380" t="e">
        <f ca="1">H118</f>
        <v>#REF!</v>
      </c>
      <c r="I101" s="121"/>
    </row>
    <row r="102" spans="1:35" ht="18.75" customHeight="1">
      <c r="A102" s="3323" t="s">
        <v>1433</v>
      </c>
      <c r="B102" s="2369" t="s">
        <v>1432</v>
      </c>
      <c r="C102" s="2370" t="e">
        <f ca="1">IF(D32="楼面单价",ROUND(C19,0),C19)</f>
        <v>#REF!</v>
      </c>
      <c r="D102" s="2371" t="e">
        <f ca="1">IF(D32="楼面单价",ROUND(D19,0),D19)</f>
        <v>#REF!</v>
      </c>
      <c r="E102" s="3364"/>
      <c r="F102" s="3321"/>
      <c r="G102" s="1687" t="s">
        <v>1434</v>
      </c>
      <c r="H102" s="2340" t="e">
        <f ca="1">I118</f>
        <v>#REF!</v>
      </c>
      <c r="I102" s="121"/>
    </row>
    <row r="103" spans="1:35" ht="42.75" customHeight="1">
      <c r="A103" s="3323"/>
      <c r="B103" s="2369" t="s">
        <v>1434</v>
      </c>
      <c r="C103" s="2372" t="e">
        <f ca="1">C20</f>
        <v>#REF!</v>
      </c>
      <c r="D103" s="2373" t="e">
        <f ca="1">D20</f>
        <v>#REF!</v>
      </c>
      <c r="E103" s="3358" t="s">
        <v>1435</v>
      </c>
      <c r="F103" s="3359"/>
      <c r="G103" s="1688" t="s">
        <v>1436</v>
      </c>
      <c r="H103" s="2380">
        <f>IF(D36="正常操作",H104+H105+H106,H105+H106)</f>
        <v>0</v>
      </c>
      <c r="I103" s="121"/>
    </row>
    <row r="104" spans="1:35" ht="18.75" customHeight="1">
      <c r="A104" s="332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24"/>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20" t="str">
        <f>IF(项目基本情况!E8="已注销","——","3.房地产抵押价值")</f>
        <v>3.房地产抵押价值</v>
      </c>
      <c r="F107" s="3321"/>
      <c r="G107" s="1687" t="s">
        <v>1432</v>
      </c>
      <c r="H107" s="2380" t="e">
        <f ca="1">IF(E107="——","——",H101-H103)</f>
        <v>#REF!</v>
      </c>
      <c r="I107" s="121"/>
    </row>
    <row r="108" spans="1:35" ht="18.75" customHeight="1">
      <c r="A108" s="121"/>
      <c r="B108" s="121"/>
      <c r="C108" s="121"/>
      <c r="D108" s="121"/>
      <c r="E108" s="3320"/>
      <c r="F108" s="3321"/>
      <c r="G108" s="1687" t="s">
        <v>1434</v>
      </c>
      <c r="H108" s="2340">
        <f ca="1">IF(H107=H101,H102,ROUND(H107*10000/'数据-汇总表'!E3,0))</f>
        <v>0</v>
      </c>
      <c r="I108" s="121"/>
    </row>
    <row r="109" spans="1:35" ht="18.75" customHeight="1">
      <c r="A109" s="121"/>
      <c r="B109" s="121"/>
      <c r="C109" s="121"/>
      <c r="D109" s="121"/>
      <c r="E109" s="3320" t="str">
        <f>IF(项目基本情况!E8="已注销及未注销","4.抵押担保权已注销时的房地产抵押价值",IF(项目基本情况!E8="已注销","3.抵押担保权已注销时的房地产抵押价值","——"))</f>
        <v>——</v>
      </c>
      <c r="F109" s="3321"/>
      <c r="G109" s="1687" t="s">
        <v>1432</v>
      </c>
      <c r="H109" s="2383" t="str">
        <f>IF(E109="——","——",H101-H105-H106)</f>
        <v>——</v>
      </c>
      <c r="I109" s="121"/>
    </row>
    <row r="110" spans="1:35" ht="18.75" customHeight="1">
      <c r="A110" s="121"/>
      <c r="B110" s="121"/>
      <c r="C110" s="121"/>
      <c r="D110" s="121"/>
      <c r="E110" s="3320"/>
      <c r="F110" s="3321"/>
      <c r="G110" s="1687" t="s">
        <v>1434</v>
      </c>
      <c r="H110" s="2340"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22"/>
      <c r="G111" s="1687" t="s">
        <v>1432</v>
      </c>
      <c r="H111" s="2380" t="str">
        <f>IF(E111="——","——",N59)</f>
        <v>——</v>
      </c>
      <c r="I111" s="121"/>
    </row>
    <row r="112" spans="1:35" ht="18.75" customHeight="1" thickBot="1">
      <c r="A112" s="121"/>
      <c r="B112" s="121"/>
      <c r="C112" s="121"/>
      <c r="D112" s="121"/>
      <c r="E112" s="3353"/>
      <c r="F112" s="3354"/>
      <c r="G112" s="1690" t="s">
        <v>1434</v>
      </c>
      <c r="H112" s="2384" t="str">
        <f>IF(E111="——","——",N61)</f>
        <v>——</v>
      </c>
      <c r="I112" s="121"/>
    </row>
    <row r="113" spans="1:27" ht="18.75" customHeight="1">
      <c r="A113" s="121"/>
      <c r="B113" s="121"/>
      <c r="C113" s="121"/>
      <c r="D113" s="121"/>
      <c r="E113" s="3325" t="s">
        <v>1440</v>
      </c>
      <c r="F113" s="3325"/>
      <c r="G113" s="3325"/>
      <c r="H113" s="3325"/>
      <c r="I113" s="121"/>
    </row>
    <row r="114" spans="1:27" ht="3.75" customHeight="1">
      <c r="A114" s="646"/>
      <c r="B114" s="646"/>
      <c r="C114" s="646"/>
      <c r="D114" s="646"/>
      <c r="E114" s="1671"/>
      <c r="F114" s="1671"/>
      <c r="G114" s="1671"/>
      <c r="H114" s="1671"/>
      <c r="I114" s="646"/>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50" t="s">
        <v>1449</v>
      </c>
      <c r="E117" s="2150" t="s">
        <v>1450</v>
      </c>
      <c r="F117" s="2150" t="s">
        <v>1449</v>
      </c>
      <c r="G117" s="2150" t="s">
        <v>1451</v>
      </c>
      <c r="H117" s="2150" t="s">
        <v>1449</v>
      </c>
      <c r="I117" s="2150" t="s">
        <v>1451</v>
      </c>
    </row>
    <row r="118" spans="1:27" ht="24.75" customHeight="1">
      <c r="A118" s="2385" t="str">
        <f>项目基本情况!S2</f>
        <v>北京市昌平区文智路15号院7号楼1层103、3层301、4层401、5层501房地产</v>
      </c>
      <c r="B118" s="2150">
        <f>M18</f>
        <v>3490.9300000000003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1" t="s">
        <v>1452</v>
      </c>
      <c r="B119" s="3291"/>
      <c r="C119" s="3291"/>
      <c r="D119" s="3331" t="e">
        <f ca="1">NUMBERSTRING(INT(D118*10000),2)&amp;"元整"</f>
        <v>#REF!</v>
      </c>
      <c r="E119" s="3333"/>
      <c r="F119" s="3331" t="e">
        <f ca="1">NUMBERSTRING(INT(F118*10000),2)&amp;"元整"</f>
        <v>#REF!</v>
      </c>
      <c r="G119" s="3333"/>
      <c r="H119" s="3331" t="e">
        <f ca="1">NUMBERSTRING(INT(H118*10000),2)&amp;"元整"</f>
        <v>#REF!</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1" t="s">
        <v>1452</v>
      </c>
      <c r="B121" s="3332"/>
      <c r="C121" s="3333"/>
      <c r="D121" s="3331" t="str">
        <f>IF(D120=0,"零元整",NUMBERSTRING(INT(D120*10000),2)&amp;"元整")</f>
        <v>零元整</v>
      </c>
      <c r="E121" s="3332"/>
      <c r="F121" s="3332"/>
      <c r="G121" s="3332"/>
      <c r="H121" s="3332"/>
      <c r="I121" s="3333"/>
      <c r="AA121" s="684"/>
    </row>
    <row r="122" spans="1:27" ht="18.75" customHeight="1">
      <c r="A122" s="3322" t="str">
        <f>IF(项目基本情况!B9="房地产市场价值","",MID(E107,3,LEN(E107)-2))</f>
        <v>房地产抵押价值</v>
      </c>
      <c r="B122" s="3322"/>
      <c r="C122" s="3322"/>
      <c r="D122" s="3355" t="e">
        <f ca="1">H107</f>
        <v>#REF!</v>
      </c>
      <c r="E122" s="3356"/>
      <c r="F122" s="3356"/>
      <c r="G122" s="3356"/>
      <c r="H122" s="3356"/>
      <c r="I122" s="3357"/>
      <c r="AA122" s="684"/>
    </row>
    <row r="123" spans="1:27" ht="18.75" customHeight="1">
      <c r="A123" s="3291" t="s">
        <v>1452</v>
      </c>
      <c r="B123" s="3291"/>
      <c r="C123" s="3291"/>
      <c r="D123" s="3331" t="e">
        <f ca="1">NUMBERSTRING(INT(D122*10000),2)&amp;"元整"</f>
        <v>#REF!</v>
      </c>
      <c r="E123" s="3332"/>
      <c r="F123" s="3332"/>
      <c r="G123" s="3332"/>
      <c r="H123" s="3332"/>
      <c r="I123" s="3333"/>
      <c r="AA123" s="684"/>
    </row>
    <row r="124" spans="1:27" ht="18.75" customHeight="1">
      <c r="A124" s="3322" t="str">
        <f>IF(项目基本情况!B9="房地产市场价值","",MID(E109,3,LEN(E109)-2))</f>
        <v/>
      </c>
      <c r="B124" s="3322"/>
      <c r="C124" s="3322"/>
      <c r="D124" s="3355" t="str">
        <f>H109</f>
        <v>——</v>
      </c>
      <c r="E124" s="3356"/>
      <c r="F124" s="3356"/>
      <c r="G124" s="3356"/>
      <c r="H124" s="3356"/>
      <c r="I124" s="3357"/>
      <c r="AA124" s="684"/>
    </row>
    <row r="125" spans="1:27" ht="18.75" customHeight="1">
      <c r="A125" s="3291" t="s">
        <v>1452</v>
      </c>
      <c r="B125" s="3291"/>
      <c r="C125" s="3291"/>
      <c r="D125" s="3331" t="e">
        <f>NUMBERSTRING(INT(D124*10000),2)&amp;"元整"</f>
        <v>#VALUE!</v>
      </c>
      <c r="E125" s="3332"/>
      <c r="F125" s="3332"/>
      <c r="G125" s="3332"/>
      <c r="H125" s="3332"/>
      <c r="I125" s="3333"/>
      <c r="AA125" s="684"/>
    </row>
    <row r="126" spans="1:27" ht="18.75" customHeight="1">
      <c r="A126" s="3322" t="str">
        <f>IF(项目基本情况!B9="房地产市场价值","",MID(E111,3,LEN(E111)-2))</f>
        <v/>
      </c>
      <c r="B126" s="3322"/>
      <c r="C126" s="3322"/>
      <c r="D126" s="3355" t="str">
        <f>H111</f>
        <v>——</v>
      </c>
      <c r="E126" s="3356"/>
      <c r="F126" s="3356"/>
      <c r="G126" s="3356"/>
      <c r="H126" s="3356"/>
      <c r="I126" s="3357"/>
      <c r="AA126" s="684"/>
    </row>
    <row r="127" spans="1:27" ht="18.75" customHeight="1">
      <c r="A127" s="3291" t="s">
        <v>1452</v>
      </c>
      <c r="B127" s="3291"/>
      <c r="C127" s="3291"/>
      <c r="D127" s="3331" t="e">
        <f>NUMBERSTRING(INT(D126*10000),2)&amp;"元整"</f>
        <v>#VALUE!</v>
      </c>
      <c r="E127" s="3332"/>
      <c r="F127" s="3332"/>
      <c r="G127" s="3332"/>
      <c r="H127" s="3332"/>
      <c r="I127" s="3333"/>
      <c r="AA127" s="684"/>
    </row>
    <row r="128" spans="1:27" ht="21.75" customHeight="1">
      <c r="A128" s="3338" t="s">
        <v>1453</v>
      </c>
      <c r="B128" s="3338"/>
      <c r="C128" s="3338"/>
      <c r="D128" s="3338"/>
      <c r="E128" s="3338"/>
      <c r="F128" s="3338"/>
      <c r="G128" s="3338"/>
      <c r="H128" s="3338"/>
      <c r="I128" s="333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10</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3490.9300000000003</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3490.9300000000003</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3490.9300000000003</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71" t="s">
        <v>1544</v>
      </c>
    </row>
    <row r="43" spans="1:7" ht="13.5" customHeight="1">
      <c r="A43" s="734" t="s">
        <v>347</v>
      </c>
      <c r="B43" s="207" t="s">
        <v>1545</v>
      </c>
      <c r="C43" s="230">
        <f ca="1">ROUND(IF('数据-取费表'!B22&lt;=1,C39*F22*'数据-取费表'!B21/2,C39*(POWER((1+F22),'数据-取费表'!B21/2)-1)),0)</f>
        <v>0</v>
      </c>
      <c r="D43" s="230"/>
      <c r="E43" s="230"/>
      <c r="F43" s="231"/>
      <c r="G43" s="3372"/>
    </row>
    <row r="44" spans="1:7" ht="13.5" customHeight="1">
      <c r="A44" s="734" t="s">
        <v>348</v>
      </c>
      <c r="B44" s="207" t="s">
        <v>1546</v>
      </c>
      <c r="C44" s="230">
        <f ca="1">ROUND(IF('数据-取费表'!B22&lt;=1,C40*F22*'数据-取费表'!B21/2,C40*(POWER((1+F22),'数据-取费表'!B21/2)-1)),4)</f>
        <v>0</v>
      </c>
      <c r="D44" s="230"/>
      <c r="E44" s="230"/>
      <c r="F44" s="231"/>
      <c r="G44" s="337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9" t="str">
        <f>项目基本情况!B1</f>
        <v>北京市昌平区文智路15号院7号楼1层103、3层301、4层401、5层501预评估</v>
      </c>
      <c r="C37" s="3189"/>
      <c r="D37" s="3189"/>
      <c r="E37" s="3189"/>
      <c r="F37" s="3189"/>
      <c r="G37" s="3189"/>
      <c r="H37" s="3189"/>
      <c r="I37" s="318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1"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3490.9300000000003</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3490.9300000000003</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3490.9300000000003</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0</v>
      </c>
      <c r="D42" s="230"/>
      <c r="E42" s="230"/>
      <c r="F42" s="231"/>
      <c r="G42" s="3371" t="s">
        <v>1591</v>
      </c>
    </row>
    <row r="43" spans="1:7" ht="13.5" customHeight="1">
      <c r="A43" s="734" t="s">
        <v>347</v>
      </c>
      <c r="B43" s="207" t="s">
        <v>1545</v>
      </c>
      <c r="C43" s="230">
        <f ca="1">ROUND(IF('数据-取费表'!B22&lt;=1,C39*F22*'数据-取费表'!B20/2,C39*(POWER((1+F22),'数据-取费表'!B20/2)-1)),0)</f>
        <v>0</v>
      </c>
      <c r="D43" s="230"/>
      <c r="E43" s="230"/>
      <c r="F43" s="231"/>
      <c r="G43" s="3372"/>
    </row>
    <row r="44" spans="1:7" ht="13.5" customHeight="1">
      <c r="A44" s="734" t="s">
        <v>348</v>
      </c>
      <c r="B44" s="207" t="s">
        <v>1546</v>
      </c>
      <c r="C44" s="230">
        <f ca="1">ROUND(IF('数据-取费表'!B22&lt;=1,C40*F22*'数据-取费表'!B20/2,C40*(POWER((1+F22),'数据-取费表'!B20/2)-1)),4)</f>
        <v>0</v>
      </c>
      <c r="D44" s="230"/>
      <c r="E44" s="230"/>
      <c r="F44" s="231"/>
      <c r="G44" s="337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10</v>
      </c>
    </row>
    <row r="2" spans="1:33" ht="18" customHeight="1">
      <c r="A2" s="193" t="s">
        <v>1462</v>
      </c>
      <c r="B2" s="196" t="e">
        <f ca="1">C32</f>
        <v>#DIV/0!</v>
      </c>
      <c r="C2" s="268" t="s">
        <v>1595</v>
      </c>
      <c r="D2" s="268"/>
      <c r="E2" s="2566"/>
      <c r="F2" s="2566"/>
      <c r="G2" s="2566"/>
      <c r="H2" s="2566"/>
      <c r="I2" s="2566"/>
      <c r="J2" s="2566"/>
      <c r="K2" s="2566"/>
    </row>
    <row r="3" spans="1:33" ht="18" customHeight="1" thickBot="1">
      <c r="A3" s="195" t="s">
        <v>1464</v>
      </c>
      <c r="B3" s="196" t="e">
        <f ca="1">ROUND(B2*10000/IF(C1="",'数据-汇总表'!E3,INDIRECT("'数据-取费表'!K"&amp;$K$1)),0)</f>
        <v>#DIV/0!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3490.9300000000003</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3490.9300000000003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3490.9300000000003</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6" t="s">
        <v>694</v>
      </c>
      <c r="C6" s="1011">
        <f ca="1">ROUND(F6*F8*F7*(1-F9)/10000,0)</f>
        <v>0</v>
      </c>
      <c r="D6" s="147" t="s">
        <v>2106</v>
      </c>
      <c r="E6" s="294" t="s">
        <v>696</v>
      </c>
      <c r="F6" s="295">
        <f ca="1">INDIRECT("'数据-取费表'!u"&amp;$G$1)</f>
        <v>0</v>
      </c>
      <c r="G6" s="1292"/>
      <c r="H6" s="1006" t="s">
        <v>398</v>
      </c>
      <c r="I6" s="3376" t="s">
        <v>694</v>
      </c>
      <c r="J6" s="293">
        <f ca="1">ROUND(M6*M8*M7*(1-M9)/10000,0)</f>
        <v>0</v>
      </c>
      <c r="K6" s="147" t="s">
        <v>2105</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0</v>
      </c>
      <c r="G7" s="1292"/>
      <c r="H7" s="296"/>
      <c r="I7" s="3377"/>
      <c r="J7" s="298"/>
      <c r="K7" s="299"/>
      <c r="L7" s="294" t="s">
        <v>697</v>
      </c>
      <c r="M7" s="295">
        <f ca="1">F7</f>
        <v>0</v>
      </c>
    </row>
    <row r="8" spans="1:37" ht="18" customHeight="1">
      <c r="A8" s="296"/>
      <c r="B8" s="3377"/>
      <c r="C8" s="298"/>
      <c r="D8" s="299"/>
      <c r="E8" s="294" t="s">
        <v>698</v>
      </c>
      <c r="F8" s="295">
        <f ca="1">INDIRECT("'数据-取费表'!ai"&amp;$G$1)</f>
        <v>0</v>
      </c>
      <c r="G8" s="1292"/>
      <c r="H8" s="296"/>
      <c r="I8" s="3377"/>
      <c r="J8" s="298"/>
      <c r="K8" s="299"/>
      <c r="L8" s="294" t="s">
        <v>698</v>
      </c>
      <c r="M8" s="295">
        <f ca="1">INDIRECT("'数据-取费表'!ai"&amp;$G$1)</f>
        <v>0</v>
      </c>
    </row>
    <row r="9" spans="1:37" ht="18" customHeight="1">
      <c r="A9" s="296"/>
      <c r="B9" s="3378"/>
      <c r="C9" s="298"/>
      <c r="D9" s="299"/>
      <c r="E9" s="294" t="s">
        <v>699</v>
      </c>
      <c r="F9" s="304">
        <f ca="1">INDIRECT("'数据-取费表'!w"&amp;$G$1)</f>
        <v>0</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2107</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2113</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6" t="s">
        <v>694</v>
      </c>
      <c r="C6" s="1011">
        <f ca="1">ROUND(F6*F8*F7*(1-F9),0)</f>
        <v>0</v>
      </c>
      <c r="D6" s="147" t="s">
        <v>2103</v>
      </c>
      <c r="E6" s="294" t="s">
        <v>696</v>
      </c>
      <c r="F6" s="295">
        <f ca="1">INDIRECT("'数据-取费表'!u"&amp;$G$1)</f>
        <v>0</v>
      </c>
      <c r="G6" s="1292"/>
      <c r="H6" s="1006" t="s">
        <v>398</v>
      </c>
      <c r="I6" s="3376" t="s">
        <v>694</v>
      </c>
      <c r="J6" s="293">
        <f ca="1">ROUND(M6*M8*M7*(1-M9),0)</f>
        <v>0</v>
      </c>
      <c r="K6" s="1284" t="s">
        <v>2104</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0</v>
      </c>
      <c r="G7" s="1292"/>
      <c r="H7" s="296"/>
      <c r="I7" s="3377"/>
      <c r="J7" s="298"/>
      <c r="K7" s="299"/>
      <c r="L7" s="294" t="s">
        <v>697</v>
      </c>
      <c r="M7" s="295">
        <f ca="1">F7</f>
        <v>0</v>
      </c>
    </row>
    <row r="8" spans="1:37" ht="18" customHeight="1">
      <c r="A8" s="296"/>
      <c r="B8" s="3377"/>
      <c r="C8" s="298"/>
      <c r="D8" s="299"/>
      <c r="E8" s="294" t="s">
        <v>698</v>
      </c>
      <c r="F8" s="295">
        <f ca="1">INDIRECT("'数据-取费表'!ai"&amp;$G$1)</f>
        <v>0</v>
      </c>
      <c r="G8" s="1292"/>
      <c r="H8" s="296"/>
      <c r="I8" s="3377"/>
      <c r="J8" s="298"/>
      <c r="K8" s="299"/>
      <c r="L8" s="294" t="s">
        <v>698</v>
      </c>
      <c r="M8" s="295">
        <f ca="1">INDIRECT("'数据-取费表'!ai"&amp;$G$1)</f>
        <v>0</v>
      </c>
    </row>
    <row r="9" spans="1:37" ht="18" customHeight="1">
      <c r="A9" s="296"/>
      <c r="B9" s="3378"/>
      <c r="C9" s="298"/>
      <c r="D9" s="299"/>
      <c r="E9" s="294" t="s">
        <v>699</v>
      </c>
      <c r="F9" s="304">
        <f ca="1">INDIRECT("'数据-取费表'!w"&amp;$G$1)</f>
        <v>0</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t="e">
        <f ca="1">ROUND((C68-C40)/10000,4)</f>
        <v>#DIV/0!</v>
      </c>
      <c r="D45" s="3129" t="s">
        <v>3350</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2" customHeight="1">
      <c r="A2" s="1293" t="s">
        <v>2312</v>
      </c>
      <c r="B2" s="2593" t="e">
        <f>IF(D2="——",C40,C40+E2)</f>
        <v>#DIV/0!</v>
      </c>
      <c r="C2" s="2594" t="s">
        <v>2313</v>
      </c>
      <c r="D2" s="3137" t="s">
        <v>3356</v>
      </c>
      <c r="E2" s="3138"/>
      <c r="F2" s="2596"/>
      <c r="G2" s="2597"/>
      <c r="H2" s="2598"/>
      <c r="I2" s="2599"/>
      <c r="J2" s="3385" t="s">
        <v>2314</v>
      </c>
      <c r="K2" s="3386"/>
      <c r="L2" s="2600" t="s">
        <v>2315</v>
      </c>
      <c r="M2" s="2600" t="s">
        <v>2316</v>
      </c>
      <c r="N2" s="2600" t="s">
        <v>2317</v>
      </c>
      <c r="O2" s="2600" t="s">
        <v>2318</v>
      </c>
      <c r="P2" s="2600" t="s">
        <v>2319</v>
      </c>
      <c r="Q2" s="2601" t="s">
        <v>2320</v>
      </c>
      <c r="R2" s="2602" t="s">
        <v>2321</v>
      </c>
      <c r="S2" s="2591"/>
      <c r="T2" s="2591"/>
      <c r="U2" s="2591"/>
      <c r="V2" s="2599"/>
    </row>
    <row r="3" spans="1:22" s="2603" customFormat="1" ht="13.2" customHeight="1">
      <c r="A3" s="2604" t="s">
        <v>2322</v>
      </c>
      <c r="B3" s="2605" t="e">
        <f>ROUND(B2*10000/B4,0)</f>
        <v>#DIV/0!</v>
      </c>
      <c r="C3" s="2594" t="s">
        <v>2323</v>
      </c>
      <c r="D3" s="2594"/>
      <c r="E3" s="2595"/>
      <c r="F3" s="2596"/>
      <c r="G3" s="2597"/>
      <c r="H3" s="2598"/>
      <c r="I3" s="2599"/>
      <c r="J3" s="3387" t="s">
        <v>2324</v>
      </c>
      <c r="K3" s="3388"/>
      <c r="L3" s="2606"/>
      <c r="M3" s="2606"/>
      <c r="N3" s="2606"/>
      <c r="O3" s="2606"/>
      <c r="P3" s="2606"/>
      <c r="Q3" s="2607"/>
      <c r="R3" s="2608">
        <f>SUM(L3:Q3)</f>
        <v>0</v>
      </c>
      <c r="S3" s="2591"/>
      <c r="T3" s="2591"/>
      <c r="U3" s="2591"/>
      <c r="V3" s="2599"/>
    </row>
    <row r="4" spans="1:22" s="2603" customFormat="1" ht="13.2" customHeight="1">
      <c r="A4" s="2609" t="s">
        <v>2325</v>
      </c>
      <c r="B4" s="2610"/>
      <c r="C4" s="2594"/>
      <c r="D4" s="2594"/>
      <c r="E4" s="2595"/>
      <c r="F4" s="2596"/>
      <c r="G4" s="2597"/>
      <c r="H4" s="2598"/>
      <c r="I4" s="2599"/>
      <c r="J4" s="3387" t="s">
        <v>2326</v>
      </c>
      <c r="K4" s="3388"/>
      <c r="L4" s="2611"/>
      <c r="M4" s="2611"/>
      <c r="N4" s="2611"/>
      <c r="O4" s="2611"/>
      <c r="P4" s="2611"/>
      <c r="Q4" s="2612"/>
      <c r="R4" s="2613">
        <f>SUM(L4:Q4)</f>
        <v>0</v>
      </c>
      <c r="S4" s="2591"/>
      <c r="T4" s="2591"/>
      <c r="U4" s="2591"/>
      <c r="V4" s="2599"/>
    </row>
    <row r="5" spans="1:22" s="2603" customFormat="1" ht="13.2"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2" customHeight="1" thickBot="1">
      <c r="A6" s="3393" t="s">
        <v>2330</v>
      </c>
      <c r="B6" s="3394"/>
      <c r="C6" s="3395"/>
      <c r="D6" s="2620"/>
      <c r="E6" s="2621"/>
      <c r="F6" s="2622"/>
      <c r="G6" s="2623"/>
      <c r="H6" s="2598"/>
      <c r="I6" s="2599"/>
      <c r="J6" s="3379">
        <v>1</v>
      </c>
      <c r="K6" s="3380"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2" customHeight="1">
      <c r="A7" s="2626" t="s">
        <v>2340</v>
      </c>
      <c r="B7" s="2627"/>
      <c r="C7" s="2628"/>
      <c r="D7" s="2629">
        <f>SUM(D9,D10,D11,D17,0)</f>
        <v>0</v>
      </c>
      <c r="E7" s="2630" t="e">
        <f>E9+E10+E11+E17</f>
        <v>#DIV/0!</v>
      </c>
      <c r="F7" s="2631"/>
      <c r="G7" s="2632"/>
      <c r="H7" s="2598"/>
      <c r="I7" s="2599"/>
      <c r="J7" s="3379"/>
      <c r="K7" s="3381"/>
      <c r="L7" s="2633" t="s">
        <v>2341</v>
      </c>
      <c r="M7" s="2634"/>
      <c r="N7" s="2610"/>
      <c r="O7" s="2635"/>
      <c r="P7" s="2635"/>
      <c r="Q7" s="2636">
        <v>365</v>
      </c>
      <c r="R7" s="2637">
        <f>ROUND(M7*N7*O7*P7*Q7/10000,0)</f>
        <v>0</v>
      </c>
      <c r="S7" s="2591"/>
      <c r="T7" s="2591" t="s">
        <v>2342</v>
      </c>
      <c r="U7" s="2591"/>
      <c r="V7" s="2599"/>
    </row>
    <row r="8" spans="1:22" s="2603" customFormat="1" ht="13.2" customHeight="1">
      <c r="A8" s="2638" t="s">
        <v>2343</v>
      </c>
      <c r="B8" s="3396" t="s">
        <v>2344</v>
      </c>
      <c r="C8" s="3397"/>
      <c r="D8" s="2639" t="s">
        <v>2345</v>
      </c>
      <c r="E8" s="2640" t="s">
        <v>2346</v>
      </c>
      <c r="F8" s="2641" t="s">
        <v>2347</v>
      </c>
      <c r="G8" s="2642"/>
      <c r="H8" s="2598"/>
      <c r="I8" s="2599"/>
      <c r="J8" s="3379"/>
      <c r="K8" s="3381"/>
      <c r="L8" s="2633" t="s">
        <v>2348</v>
      </c>
      <c r="M8" s="2634"/>
      <c r="N8" s="2610"/>
      <c r="O8" s="2635"/>
      <c r="P8" s="2635"/>
      <c r="Q8" s="2636">
        <v>365</v>
      </c>
      <c r="R8" s="2637">
        <f t="shared" ref="R8:R13" si="0">ROUND(M8*N8*O8*P8*Q8/10000,0)</f>
        <v>0</v>
      </c>
      <c r="S8" s="2591"/>
      <c r="T8" s="2591" t="s">
        <v>2349</v>
      </c>
      <c r="U8" s="2591"/>
      <c r="V8" s="2599"/>
    </row>
    <row r="9" spans="1:22" s="2603" customFormat="1" ht="13.2" customHeight="1">
      <c r="A9" s="2638">
        <v>1</v>
      </c>
      <c r="B9" s="3396" t="s">
        <v>2350</v>
      </c>
      <c r="C9" s="3397"/>
      <c r="D9" s="2639">
        <f>ROUND(D6*E9,0)</f>
        <v>0</v>
      </c>
      <c r="E9" s="2643"/>
      <c r="F9" s="2644" t="s">
        <v>2351</v>
      </c>
      <c r="G9" s="2623"/>
      <c r="H9" s="2598"/>
      <c r="I9" s="2599"/>
      <c r="J9" s="3379"/>
      <c r="K9" s="3381"/>
      <c r="L9" s="2633" t="s">
        <v>2352</v>
      </c>
      <c r="M9" s="2634"/>
      <c r="N9" s="2610"/>
      <c r="O9" s="2635"/>
      <c r="P9" s="2635"/>
      <c r="Q9" s="2636">
        <v>365</v>
      </c>
      <c r="R9" s="2637">
        <f t="shared" si="0"/>
        <v>0</v>
      </c>
      <c r="S9" s="2591"/>
      <c r="T9" s="2591"/>
      <c r="U9" s="2591"/>
      <c r="V9" s="2599"/>
    </row>
    <row r="10" spans="1:22" s="2603" customFormat="1" ht="13.2" customHeight="1">
      <c r="A10" s="2638">
        <v>2</v>
      </c>
      <c r="B10" s="3396" t="s">
        <v>2353</v>
      </c>
      <c r="C10" s="3397"/>
      <c r="D10" s="2639">
        <f>ROUND(D6*E10,0)</f>
        <v>0</v>
      </c>
      <c r="E10" s="2643"/>
      <c r="F10" s="2644" t="s">
        <v>2354</v>
      </c>
      <c r="G10" s="2623"/>
      <c r="H10" s="2598"/>
      <c r="I10" s="2599"/>
      <c r="J10" s="3379"/>
      <c r="K10" s="3381"/>
      <c r="L10" s="2633" t="s">
        <v>2355</v>
      </c>
      <c r="M10" s="2634"/>
      <c r="N10" s="2610"/>
      <c r="O10" s="2635"/>
      <c r="P10" s="2635"/>
      <c r="Q10" s="2636">
        <v>365</v>
      </c>
      <c r="R10" s="2637">
        <f t="shared" si="0"/>
        <v>0</v>
      </c>
      <c r="S10" s="2591"/>
      <c r="T10" s="2591"/>
      <c r="U10" s="2591"/>
      <c r="V10" s="2599"/>
    </row>
    <row r="11" spans="1:22" s="2603" customFormat="1" ht="13.2" customHeight="1">
      <c r="A11" s="2638">
        <v>3</v>
      </c>
      <c r="B11" s="3396" t="s">
        <v>2356</v>
      </c>
      <c r="C11" s="3397"/>
      <c r="D11" s="2639">
        <f>D12+D14+D15+D16</f>
        <v>0</v>
      </c>
      <c r="E11" s="2645" t="e">
        <f>D11/D6</f>
        <v>#DIV/0!</v>
      </c>
      <c r="F11" s="2641"/>
      <c r="G11" s="2642"/>
      <c r="H11" s="2598"/>
      <c r="I11" s="2599"/>
      <c r="J11" s="3379"/>
      <c r="K11" s="3381"/>
      <c r="L11" s="2633" t="s">
        <v>2357</v>
      </c>
      <c r="M11" s="2634"/>
      <c r="N11" s="2610"/>
      <c r="O11" s="2635"/>
      <c r="P11" s="2635"/>
      <c r="Q11" s="2636">
        <v>365</v>
      </c>
      <c r="R11" s="2637">
        <f t="shared" si="0"/>
        <v>0</v>
      </c>
      <c r="S11" s="2591"/>
      <c r="T11" s="2591"/>
      <c r="U11" s="2591"/>
      <c r="V11" s="2599"/>
    </row>
    <row r="12" spans="1:22" s="2603" customFormat="1" ht="13.2" customHeight="1">
      <c r="A12" s="2646" t="s">
        <v>2358</v>
      </c>
      <c r="B12" s="3389" t="s">
        <v>2359</v>
      </c>
      <c r="C12" s="3390"/>
      <c r="D12" s="2647">
        <f>ROUND(D13*1.2%*(1-30%),0)</f>
        <v>0</v>
      </c>
      <c r="E12" s="2648">
        <v>1.2E-2</v>
      </c>
      <c r="F12" s="2641" t="s">
        <v>2360</v>
      </c>
      <c r="G12" s="2642"/>
      <c r="H12" s="2598"/>
      <c r="I12" s="2599"/>
      <c r="J12" s="3379"/>
      <c r="K12" s="3381"/>
      <c r="L12" s="2633" t="s">
        <v>2361</v>
      </c>
      <c r="M12" s="2634"/>
      <c r="N12" s="2610"/>
      <c r="O12" s="2635"/>
      <c r="P12" s="2635"/>
      <c r="Q12" s="2636">
        <v>365</v>
      </c>
      <c r="R12" s="2637">
        <f t="shared" si="0"/>
        <v>0</v>
      </c>
      <c r="S12" s="2591"/>
      <c r="T12" s="2591"/>
      <c r="U12" s="2591"/>
      <c r="V12" s="2599"/>
    </row>
    <row r="13" spans="1:22" s="2603" customFormat="1" ht="13.2" customHeight="1">
      <c r="A13" s="2646"/>
      <c r="B13" s="2649"/>
      <c r="C13" s="2650" t="s">
        <v>2362</v>
      </c>
      <c r="D13" s="2651"/>
      <c r="E13" s="2652"/>
      <c r="F13" s="2641"/>
      <c r="G13" s="2642"/>
      <c r="H13" s="2598"/>
      <c r="I13" s="2599"/>
      <c r="J13" s="3379"/>
      <c r="K13" s="3381"/>
      <c r="L13" s="2633" t="s">
        <v>2363</v>
      </c>
      <c r="M13" s="2634"/>
      <c r="N13" s="2610"/>
      <c r="O13" s="2635"/>
      <c r="P13" s="2635"/>
      <c r="Q13" s="2636">
        <v>365</v>
      </c>
      <c r="R13" s="2637">
        <f t="shared" si="0"/>
        <v>0</v>
      </c>
      <c r="S13" s="2591"/>
      <c r="T13" s="2591"/>
      <c r="U13" s="2591"/>
      <c r="V13" s="2599"/>
    </row>
    <row r="14" spans="1:22" s="2603" customFormat="1" ht="13.2" customHeight="1">
      <c r="A14" s="2646" t="s">
        <v>2364</v>
      </c>
      <c r="B14" s="3389" t="s">
        <v>2365</v>
      </c>
      <c r="C14" s="3390"/>
      <c r="D14" s="2647">
        <f>ROUND(E14*B5/10000,0)</f>
        <v>0</v>
      </c>
      <c r="E14" s="2636"/>
      <c r="F14" s="2641" t="s">
        <v>2366</v>
      </c>
      <c r="G14" s="2642"/>
      <c r="H14" s="2598"/>
      <c r="I14" s="2599"/>
      <c r="J14" s="3379"/>
      <c r="K14" s="3382"/>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2368</v>
      </c>
      <c r="B15" s="3389" t="s">
        <v>2369</v>
      </c>
      <c r="C15" s="3390"/>
      <c r="D15" s="2647">
        <f>ROUND(D6*E15,0)</f>
        <v>0</v>
      </c>
      <c r="E15" s="2648">
        <v>5.5E-2</v>
      </c>
      <c r="F15" s="2641" t="s">
        <v>2370</v>
      </c>
      <c r="G15" s="2623"/>
      <c r="H15" s="2598"/>
      <c r="I15" s="2599"/>
      <c r="J15" s="3379">
        <v>2</v>
      </c>
      <c r="K15" s="3380"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2" customHeight="1">
      <c r="A16" s="2646" t="s">
        <v>2377</v>
      </c>
      <c r="B16" s="3389" t="s">
        <v>2378</v>
      </c>
      <c r="C16" s="3390"/>
      <c r="D16" s="2658">
        <f>D6*E16</f>
        <v>0</v>
      </c>
      <c r="E16" s="2659"/>
      <c r="F16" s="2644" t="s">
        <v>2379</v>
      </c>
      <c r="G16" s="2623"/>
      <c r="H16" s="2598"/>
      <c r="I16" s="2599"/>
      <c r="J16" s="3379"/>
      <c r="K16" s="3381"/>
      <c r="L16" s="2633" t="s">
        <v>2380</v>
      </c>
      <c r="M16" s="2634"/>
      <c r="N16" s="2634"/>
      <c r="O16" s="2635"/>
      <c r="P16" s="2636">
        <v>365</v>
      </c>
      <c r="Q16" s="2610"/>
      <c r="R16" s="2657">
        <f>ROUND(M16*N16*O16*P16/10000,0)</f>
        <v>0</v>
      </c>
      <c r="S16" s="2591"/>
      <c r="T16" s="2591"/>
      <c r="U16" s="2591"/>
      <c r="V16" s="2599"/>
    </row>
    <row r="17" spans="1:22" s="2603" customFormat="1" ht="13.2" customHeight="1" thickBot="1">
      <c r="A17" s="2660">
        <v>4</v>
      </c>
      <c r="B17" s="3391" t="s">
        <v>2381</v>
      </c>
      <c r="C17" s="3392"/>
      <c r="D17" s="2661">
        <f>ROUND(D6*E17,0)</f>
        <v>0</v>
      </c>
      <c r="E17" s="2662"/>
      <c r="F17" s="2663" t="s">
        <v>2382</v>
      </c>
      <c r="G17" s="2623"/>
      <c r="H17" s="2598"/>
      <c r="I17" s="2599"/>
      <c r="J17" s="3379"/>
      <c r="K17" s="3381"/>
      <c r="L17" s="2633" t="s">
        <v>2383</v>
      </c>
      <c r="M17" s="2634"/>
      <c r="N17" s="2634"/>
      <c r="O17" s="2635"/>
      <c r="P17" s="2636">
        <v>365</v>
      </c>
      <c r="Q17" s="2610"/>
      <c r="R17" s="2657">
        <f>ROUND(M17*N17*O17*P17/10000,0)</f>
        <v>0</v>
      </c>
      <c r="S17" s="2591"/>
      <c r="T17" s="2591"/>
      <c r="U17" s="2591"/>
      <c r="V17" s="2599"/>
    </row>
    <row r="18" spans="1:22" s="2603" customFormat="1" ht="13.2" customHeight="1" thickBot="1">
      <c r="A18" s="2626" t="s">
        <v>2384</v>
      </c>
      <c r="B18" s="2627"/>
      <c r="C18" s="2627"/>
      <c r="D18" s="2664">
        <f>ROUND(D6*E18,0)</f>
        <v>0</v>
      </c>
      <c r="E18" s="2665"/>
      <c r="F18" s="2666" t="s">
        <v>2385</v>
      </c>
      <c r="G18" s="2623"/>
      <c r="H18" s="2598"/>
      <c r="I18" s="2599"/>
      <c r="J18" s="3379"/>
      <c r="K18" s="3381"/>
      <c r="L18" s="2633" t="s">
        <v>2386</v>
      </c>
      <c r="M18" s="2634"/>
      <c r="N18" s="2634"/>
      <c r="O18" s="2635"/>
      <c r="P18" s="2636">
        <v>365</v>
      </c>
      <c r="Q18" s="2610"/>
      <c r="R18" s="2657">
        <f>ROUND(M18*N18*O18*P18/10000,0)</f>
        <v>0</v>
      </c>
      <c r="S18" s="2591"/>
      <c r="T18" s="2591"/>
      <c r="U18" s="2591"/>
      <c r="V18" s="2599"/>
    </row>
    <row r="19" spans="1:22" s="2603" customFormat="1" ht="13.2" customHeight="1" thickBot="1">
      <c r="A19" s="2667" t="s">
        <v>2387</v>
      </c>
      <c r="B19" s="2621"/>
      <c r="C19" s="2621"/>
      <c r="D19" s="2621"/>
      <c r="E19" s="2621"/>
      <c r="F19" s="2622"/>
      <c r="G19" s="2642"/>
      <c r="H19" s="2598"/>
      <c r="I19" s="2599"/>
      <c r="J19" s="3379"/>
      <c r="K19" s="3382"/>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9">
        <v>3</v>
      </c>
      <c r="K20" s="3380"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2" customHeight="1">
      <c r="A21" s="2626"/>
      <c r="B21" s="2627"/>
      <c r="C21" s="2672" t="s">
        <v>2396</v>
      </c>
      <c r="D21" s="2673" t="s">
        <v>2397</v>
      </c>
      <c r="E21" s="2674" t="s">
        <v>2398</v>
      </c>
      <c r="F21" s="2670"/>
      <c r="G21" s="2642"/>
      <c r="H21" s="2598"/>
      <c r="I21" s="2599"/>
      <c r="J21" s="3379"/>
      <c r="K21" s="3381"/>
      <c r="L21" s="2633" t="s">
        <v>2399</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2400</v>
      </c>
      <c r="D22" s="2677" t="s">
        <v>2401</v>
      </c>
      <c r="E22" s="2678" t="s">
        <v>2402</v>
      </c>
      <c r="F22" s="2670"/>
      <c r="G22" s="2591"/>
      <c r="H22" s="2598"/>
      <c r="I22" s="2599"/>
      <c r="J22" s="3379"/>
      <c r="K22" s="3381"/>
      <c r="L22" s="2633" t="s">
        <v>2403</v>
      </c>
      <c r="M22" s="2634"/>
      <c r="N22" s="2634"/>
      <c r="O22" s="2635"/>
      <c r="P22" s="2636">
        <v>365</v>
      </c>
      <c r="Q22" s="2610"/>
      <c r="R22" s="2675">
        <f>ROUND(M22*N22*O22*P22/10000,0)</f>
        <v>0</v>
      </c>
      <c r="S22" s="2591"/>
      <c r="T22" s="2591"/>
      <c r="U22" s="2591"/>
      <c r="V22" s="2599"/>
    </row>
    <row r="23" spans="1:22" s="2603" customFormat="1" ht="13.2" customHeight="1">
      <c r="A23" s="2679">
        <v>1</v>
      </c>
      <c r="B23" s="2680" t="s">
        <v>2404</v>
      </c>
      <c r="C23" s="2681">
        <f>D6</f>
        <v>0</v>
      </c>
      <c r="D23" s="2682">
        <f>C23*(1+D24)</f>
        <v>0</v>
      </c>
      <c r="E23" s="2683">
        <f>D23*(1+E24)</f>
        <v>0</v>
      </c>
      <c r="F23" s="2684"/>
      <c r="G23" s="2685"/>
      <c r="H23" s="2598"/>
      <c r="I23" s="2599"/>
      <c r="J23" s="3379"/>
      <c r="K23" s="3381"/>
      <c r="L23" s="2633" t="s">
        <v>2405</v>
      </c>
      <c r="M23" s="2634"/>
      <c r="N23" s="2634"/>
      <c r="O23" s="2635"/>
      <c r="P23" s="2636">
        <v>365</v>
      </c>
      <c r="Q23" s="2610"/>
      <c r="R23" s="2675">
        <f>ROUND(M23*N23*O23*P23/10000,0)</f>
        <v>0</v>
      </c>
      <c r="S23" s="2591"/>
      <c r="T23" s="2591"/>
      <c r="U23" s="2591"/>
      <c r="V23" s="2599"/>
    </row>
    <row r="24" spans="1:22" s="2603" customFormat="1" ht="13.2" customHeight="1">
      <c r="A24" s="2686"/>
      <c r="B24" s="2687" t="s">
        <v>2406</v>
      </c>
      <c r="C24" s="2688"/>
      <c r="D24" s="2689"/>
      <c r="E24" s="2690"/>
      <c r="F24" s="2691"/>
      <c r="G24" s="2685"/>
      <c r="H24" s="2598"/>
      <c r="I24" s="2599"/>
      <c r="J24" s="3379"/>
      <c r="K24" s="3382"/>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2" customHeight="1">
      <c r="A26" s="2679">
        <v>2</v>
      </c>
      <c r="B26" s="2680" t="s">
        <v>2408</v>
      </c>
      <c r="C26" s="2681">
        <f>D7</f>
        <v>0</v>
      </c>
      <c r="D26" s="2682">
        <f>D23*D27</f>
        <v>0</v>
      </c>
      <c r="E26" s="2683">
        <f>E23*E27</f>
        <v>0</v>
      </c>
      <c r="F26" s="2684"/>
      <c r="G26" s="2685"/>
      <c r="H26" s="2598"/>
      <c r="I26" s="2599"/>
      <c r="J26" s="3383">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2" customHeight="1">
      <c r="A27" s="2686"/>
      <c r="B27" s="2687" t="s">
        <v>2414</v>
      </c>
      <c r="C27" s="2704" t="e">
        <f>E7</f>
        <v>#DIV/0!</v>
      </c>
      <c r="D27" s="2689"/>
      <c r="E27" s="2690"/>
      <c r="F27" s="2691"/>
      <c r="G27" s="2685"/>
      <c r="H27" s="2705"/>
      <c r="I27" s="2697"/>
      <c r="J27" s="338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2"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2" customHeight="1">
      <c r="A32" s="2679">
        <v>4</v>
      </c>
      <c r="B32" s="2680" t="s">
        <v>2422</v>
      </c>
      <c r="C32" s="2681">
        <f>C23-C26-C29</f>
        <v>0</v>
      </c>
      <c r="D32" s="2682">
        <f>D23-D26-D29</f>
        <v>0</v>
      </c>
      <c r="E32" s="2683">
        <f>E23-E26-E29</f>
        <v>0</v>
      </c>
      <c r="F32" s="2684"/>
      <c r="G32" s="2591"/>
      <c r="H32" s="2598"/>
      <c r="I32" s="2599"/>
      <c r="J32" s="3385" t="s">
        <v>2314</v>
      </c>
      <c r="K32" s="3386"/>
      <c r="L32" s="2600" t="s">
        <v>2315</v>
      </c>
      <c r="M32" s="2600" t="s">
        <v>2316</v>
      </c>
      <c r="N32" s="2600" t="s">
        <v>2317</v>
      </c>
      <c r="O32" s="2600" t="s">
        <v>2318</v>
      </c>
      <c r="P32" s="2600" t="s">
        <v>2319</v>
      </c>
      <c r="Q32" s="2601" t="s">
        <v>2320</v>
      </c>
      <c r="R32" s="2720" t="s">
        <v>2321</v>
      </c>
      <c r="S32" s="2591"/>
      <c r="T32" s="2591"/>
      <c r="U32" s="2591"/>
      <c r="V32" s="2697"/>
    </row>
    <row r="33" spans="1:23" s="2603" customFormat="1" ht="13.2" customHeight="1">
      <c r="A33" s="2679"/>
      <c r="B33" s="2680"/>
      <c r="C33" s="2681"/>
      <c r="D33" s="2721"/>
      <c r="E33" s="2722"/>
      <c r="F33" s="2684"/>
      <c r="G33" s="2591"/>
      <c r="H33" s="2705"/>
      <c r="I33" s="2697"/>
      <c r="J33" s="3387" t="s">
        <v>2324</v>
      </c>
      <c r="K33" s="3388"/>
      <c r="L33" s="2606"/>
      <c r="M33" s="2606"/>
      <c r="N33" s="2606"/>
      <c r="O33" s="2606"/>
      <c r="P33" s="2606"/>
      <c r="Q33" s="2607"/>
      <c r="R33" s="2723">
        <f>SUM(L33:Q33)</f>
        <v>0</v>
      </c>
      <c r="S33" s="2591"/>
      <c r="T33" s="2591"/>
      <c r="U33" s="2591"/>
      <c r="V33" s="2599"/>
    </row>
    <row r="34" spans="1:23" s="2603" customFormat="1" ht="13.2" customHeight="1">
      <c r="A34" s="2679">
        <v>5</v>
      </c>
      <c r="B34" s="2680" t="s">
        <v>2423</v>
      </c>
      <c r="C34" s="2724"/>
      <c r="D34" s="2725"/>
      <c r="E34" s="2726"/>
      <c r="F34" s="2684"/>
      <c r="G34" s="2591"/>
      <c r="H34" s="2705"/>
      <c r="I34" s="2697"/>
      <c r="J34" s="3387" t="s">
        <v>2326</v>
      </c>
      <c r="K34" s="338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2" customHeight="1" thickBot="1">
      <c r="A36" s="2679">
        <v>7</v>
      </c>
      <c r="B36" s="2733" t="s">
        <v>2425</v>
      </c>
      <c r="C36" s="2734"/>
      <c r="D36" s="2735"/>
      <c r="E36" s="2736"/>
      <c r="F36" s="2737">
        <f>C36+D36+E36</f>
        <v>0</v>
      </c>
      <c r="G36" s="2591"/>
      <c r="H36" s="2598"/>
      <c r="I36" s="2599"/>
      <c r="J36" s="3379">
        <v>1</v>
      </c>
      <c r="K36" s="3380" t="s">
        <v>2426</v>
      </c>
      <c r="L36" s="2624"/>
      <c r="M36" s="2625"/>
      <c r="N36" s="2625"/>
      <c r="O36" s="2625"/>
      <c r="P36" s="2625"/>
      <c r="Q36" s="2625"/>
      <c r="R36" s="2608" t="s">
        <v>2338</v>
      </c>
      <c r="S36" s="2591"/>
      <c r="T36" s="2591" t="s">
        <v>2339</v>
      </c>
      <c r="U36" s="2591"/>
      <c r="V36" s="2599"/>
    </row>
    <row r="37" spans="1:23" s="2603" customFormat="1" ht="13.2" customHeight="1">
      <c r="A37" s="2679"/>
      <c r="B37" s="2680"/>
      <c r="C37" s="2680"/>
      <c r="D37" s="2680"/>
      <c r="E37" s="2680"/>
      <c r="F37" s="2684"/>
      <c r="G37" s="2591"/>
      <c r="H37" s="2598"/>
      <c r="I37" s="2599"/>
      <c r="J37" s="3379"/>
      <c r="K37" s="3381"/>
      <c r="L37" s="2633"/>
      <c r="M37" s="2634"/>
      <c r="N37" s="2610"/>
      <c r="O37" s="2635"/>
      <c r="P37" s="2635"/>
      <c r="Q37" s="2636"/>
      <c r="R37" s="2637"/>
      <c r="S37" s="2591"/>
      <c r="T37" s="2591" t="s">
        <v>2342</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9"/>
      <c r="K38" s="3381"/>
      <c r="L38" s="2633"/>
      <c r="M38" s="2634"/>
      <c r="N38" s="2610"/>
      <c r="O38" s="2635"/>
      <c r="P38" s="2635"/>
      <c r="Q38" s="2636"/>
      <c r="R38" s="2637"/>
      <c r="S38" s="2591"/>
      <c r="T38" s="2591" t="s">
        <v>2349</v>
      </c>
      <c r="U38" s="2591"/>
      <c r="V38" s="2599"/>
    </row>
    <row r="39" spans="1:23" s="2603" customFormat="1" ht="13.2" customHeight="1">
      <c r="A39" s="2679">
        <v>9</v>
      </c>
      <c r="B39" s="2680" t="s">
        <v>2427</v>
      </c>
      <c r="C39" s="2647" t="e">
        <f>C38</f>
        <v>#DIV/0!</v>
      </c>
      <c r="D39" s="2680">
        <f>D38/(1+D34)^C36</f>
        <v>0</v>
      </c>
      <c r="E39" s="2680">
        <f>E38/(1+E34)^(C36+D36)</f>
        <v>0</v>
      </c>
      <c r="F39" s="2684"/>
      <c r="G39" s="2599"/>
      <c r="H39" s="2598"/>
      <c r="I39" s="2599"/>
      <c r="J39" s="3379"/>
      <c r="K39" s="3381"/>
      <c r="L39" s="2633"/>
      <c r="M39" s="2634"/>
      <c r="N39" s="2610"/>
      <c r="O39" s="2635"/>
      <c r="P39" s="2635"/>
      <c r="Q39" s="2636"/>
      <c r="R39" s="2637"/>
      <c r="S39" s="2591"/>
      <c r="T39" s="2591"/>
      <c r="U39" s="2591"/>
      <c r="V39" s="2599"/>
    </row>
    <row r="40" spans="1:23" s="2603" customFormat="1" ht="13.2" customHeight="1">
      <c r="A40" s="2738">
        <v>10</v>
      </c>
      <c r="B40" s="2680" t="s">
        <v>2428</v>
      </c>
      <c r="C40" s="2739" t="e">
        <f>C39+D39+E39</f>
        <v>#DIV/0!</v>
      </c>
      <c r="D40" s="2740"/>
      <c r="E40" s="2740"/>
      <c r="F40" s="2741"/>
      <c r="G40" s="2591"/>
      <c r="H40" s="2598"/>
      <c r="I40" s="2599"/>
      <c r="J40" s="3379"/>
      <c r="K40" s="3382"/>
      <c r="L40" s="2653" t="s">
        <v>2367</v>
      </c>
      <c r="M40" s="2654"/>
      <c r="N40" s="2654"/>
      <c r="O40" s="2655"/>
      <c r="P40" s="2655"/>
      <c r="Q40" s="2656"/>
      <c r="R40" s="2602">
        <f>SUM(R37:R39)</f>
        <v>0</v>
      </c>
      <c r="S40" s="2591"/>
      <c r="T40" s="2591"/>
      <c r="U40" s="2591"/>
      <c r="V40" s="2599"/>
    </row>
    <row r="41" spans="1:23" s="2603" customFormat="1" ht="13.2"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2" customHeight="1">
      <c r="G42" s="2598"/>
      <c r="H42" s="2598"/>
      <c r="I42" s="2599"/>
      <c r="J42" s="3383">
        <v>3</v>
      </c>
      <c r="K42" s="2699" t="s">
        <v>2409</v>
      </c>
      <c r="L42" s="2700"/>
      <c r="M42" s="2701"/>
      <c r="N42" s="2702" t="s">
        <v>2410</v>
      </c>
      <c r="O42" s="2702" t="s">
        <v>2411</v>
      </c>
      <c r="P42" s="2703" t="s">
        <v>2412</v>
      </c>
      <c r="Q42" s="2703" t="s">
        <v>2413</v>
      </c>
      <c r="R42" s="2608" t="s">
        <v>2338</v>
      </c>
      <c r="S42" s="2642"/>
      <c r="T42" s="2642"/>
      <c r="U42" s="2591"/>
      <c r="V42" s="2599"/>
    </row>
    <row r="43" spans="1:23" ht="13.2" customHeight="1">
      <c r="A43" s="2603"/>
      <c r="B43" s="2603"/>
      <c r="C43" s="2603"/>
      <c r="D43" s="2603"/>
      <c r="E43" s="2603"/>
      <c r="F43" s="2603"/>
      <c r="I43" s="2586"/>
      <c r="J43" s="338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98" t="s">
        <v>1654</v>
      </c>
      <c r="C5" s="3399"/>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3490.9300000000003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8" t="s">
        <v>1667</v>
      </c>
      <c r="D4" s="3419"/>
      <c r="E4" s="3420" t="s">
        <v>1668</v>
      </c>
      <c r="F4" s="3421"/>
      <c r="G4" s="3418" t="s">
        <v>1669</v>
      </c>
      <c r="H4" s="3419"/>
      <c r="I4" s="3418" t="s">
        <v>1670</v>
      </c>
      <c r="J4" s="3419"/>
      <c r="K4" s="1744" t="s">
        <v>1671</v>
      </c>
      <c r="L4" s="2485"/>
      <c r="M4" s="2486"/>
      <c r="N4" s="2486"/>
      <c r="O4" s="2486"/>
      <c r="P4" s="3422" t="s">
        <v>1672</v>
      </c>
      <c r="Q4" s="3423"/>
      <c r="R4" s="3428" t="s">
        <v>1668</v>
      </c>
      <c r="S4" s="3429"/>
      <c r="T4" s="3428" t="s">
        <v>1669</v>
      </c>
      <c r="U4" s="3429"/>
      <c r="V4" s="3404" t="s">
        <v>1670</v>
      </c>
      <c r="W4" s="3404"/>
      <c r="X4" s="1265"/>
      <c r="Y4" s="3428" t="s">
        <v>1672</v>
      </c>
      <c r="Z4" s="3429"/>
      <c r="AA4" s="3415" t="s">
        <v>1668</v>
      </c>
      <c r="AB4" s="3415" t="s">
        <v>1669</v>
      </c>
      <c r="AC4" s="3415" t="s">
        <v>1670</v>
      </c>
    </row>
    <row r="5" spans="1:29">
      <c r="A5" s="348"/>
      <c r="B5" s="349"/>
      <c r="C5" s="3436" t="s">
        <v>1673</v>
      </c>
      <c r="D5" s="3437"/>
      <c r="E5" s="3443" t="s">
        <v>1674</v>
      </c>
      <c r="F5" s="3444"/>
      <c r="G5" s="3436" t="s">
        <v>1675</v>
      </c>
      <c r="H5" s="3437"/>
      <c r="I5" s="3436" t="s">
        <v>1676</v>
      </c>
      <c r="J5" s="3437"/>
      <c r="K5" s="1745"/>
      <c r="L5" s="2485"/>
      <c r="M5" s="2486"/>
      <c r="N5" s="2486"/>
      <c r="O5" s="2486"/>
      <c r="P5" s="3424"/>
      <c r="Q5" s="3425"/>
      <c r="R5" s="3430"/>
      <c r="S5" s="3431"/>
      <c r="T5" s="3430"/>
      <c r="U5" s="3431"/>
      <c r="V5" s="3404"/>
      <c r="W5" s="3404"/>
      <c r="X5" s="1265"/>
      <c r="Y5" s="3430"/>
      <c r="Z5" s="3431"/>
      <c r="AA5" s="3416"/>
      <c r="AB5" s="3416"/>
      <c r="AC5" s="3416"/>
    </row>
    <row r="6" spans="1:29" ht="15" thickBot="1">
      <c r="A6" s="350"/>
      <c r="B6" s="351"/>
      <c r="C6" s="3434" t="s">
        <v>1677</v>
      </c>
      <c r="D6" s="3435"/>
      <c r="E6" s="3441" t="s">
        <v>1677</v>
      </c>
      <c r="F6" s="3442"/>
      <c r="G6" s="3434" t="s">
        <v>1677</v>
      </c>
      <c r="H6" s="3435"/>
      <c r="I6" s="3434" t="s">
        <v>1677</v>
      </c>
      <c r="J6" s="3435"/>
      <c r="K6" s="1745" t="s">
        <v>1678</v>
      </c>
      <c r="L6" s="2485"/>
      <c r="M6" s="2486"/>
      <c r="N6" s="2486"/>
      <c r="O6" s="2486"/>
      <c r="P6" s="3426"/>
      <c r="Q6" s="3427"/>
      <c r="R6" s="3430"/>
      <c r="S6" s="3431"/>
      <c r="T6" s="3432"/>
      <c r="U6" s="3433"/>
      <c r="V6" s="3404"/>
      <c r="W6" s="3404"/>
      <c r="X6" s="1265"/>
      <c r="Y6" s="3432"/>
      <c r="Z6" s="3433"/>
      <c r="AA6" s="3417"/>
      <c r="AB6" s="3417"/>
      <c r="AC6" s="3417"/>
    </row>
    <row r="7" spans="1:29" s="102" customFormat="1" ht="15" thickBot="1">
      <c r="A7" s="352" t="s">
        <v>1679</v>
      </c>
      <c r="B7" s="353"/>
      <c r="C7" s="354">
        <f>'数据-取费表'!B2</f>
        <v>45706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38" t="s">
        <v>1680</v>
      </c>
      <c r="Q7" s="3440"/>
      <c r="R7" s="664" t="s">
        <v>20</v>
      </c>
      <c r="S7" s="665">
        <f t="shared" ref="S7:S15" si="0">F7</f>
        <v>0</v>
      </c>
      <c r="T7" s="664" t="s">
        <v>20</v>
      </c>
      <c r="U7" s="665">
        <f t="shared" ref="U7:U15" si="1">H7</f>
        <v>0</v>
      </c>
      <c r="V7" s="664" t="s">
        <v>20</v>
      </c>
      <c r="W7" s="665">
        <f t="shared" ref="W7:W15" si="2">J7</f>
        <v>0</v>
      </c>
      <c r="X7" s="666"/>
      <c r="Y7" s="3438" t="s">
        <v>1680</v>
      </c>
      <c r="Z7" s="343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38" t="s">
        <v>1683</v>
      </c>
      <c r="Q8" s="3439"/>
      <c r="R8" s="664" t="s">
        <v>20</v>
      </c>
      <c r="S8" s="665">
        <f t="shared" si="0"/>
        <v>100</v>
      </c>
      <c r="T8" s="664" t="s">
        <v>20</v>
      </c>
      <c r="U8" s="665">
        <f t="shared" si="1"/>
        <v>100</v>
      </c>
      <c r="V8" s="664" t="s">
        <v>20</v>
      </c>
      <c r="W8" s="665">
        <f t="shared" si="2"/>
        <v>100</v>
      </c>
      <c r="X8" s="666"/>
      <c r="Y8" s="3438" t="s">
        <v>1683</v>
      </c>
      <c r="Z8" s="343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4" t="s">
        <v>1686</v>
      </c>
      <c r="Q9" s="530" t="str">
        <f t="shared" ref="Q9:Q15" si="6">B9</f>
        <v>用途</v>
      </c>
      <c r="R9" s="664" t="s">
        <v>14</v>
      </c>
      <c r="S9" s="665">
        <f t="shared" si="0"/>
        <v>100</v>
      </c>
      <c r="T9" s="664" t="s">
        <v>14</v>
      </c>
      <c r="U9" s="665">
        <f t="shared" si="1"/>
        <v>100</v>
      </c>
      <c r="V9" s="664" t="s">
        <v>14</v>
      </c>
      <c r="W9" s="665">
        <f t="shared" si="2"/>
        <v>100</v>
      </c>
      <c r="X9" s="666"/>
      <c r="Y9" s="327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27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4"/>
      <c r="Q11" s="530" t="str">
        <f t="shared" si="6"/>
        <v>容积率</v>
      </c>
      <c r="R11" s="664" t="s">
        <v>18</v>
      </c>
      <c r="S11" s="665" t="e">
        <f t="shared" si="0"/>
        <v>#N/A</v>
      </c>
      <c r="T11" s="664" t="s">
        <v>18</v>
      </c>
      <c r="U11" s="665" t="e">
        <f t="shared" si="1"/>
        <v>#N/A</v>
      </c>
      <c r="V11" s="664" t="s">
        <v>18</v>
      </c>
      <c r="W11" s="665" t="e">
        <f t="shared" si="2"/>
        <v>#N/A</v>
      </c>
      <c r="X11" s="666"/>
      <c r="Y11" s="327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4"/>
      <c r="Q12" s="530">
        <f t="shared" si="6"/>
        <v>111</v>
      </c>
      <c r="R12" s="664" t="s">
        <v>18</v>
      </c>
      <c r="S12" s="665">
        <f t="shared" si="0"/>
        <v>100</v>
      </c>
      <c r="T12" s="664" t="s">
        <v>18</v>
      </c>
      <c r="U12" s="665">
        <f t="shared" si="1"/>
        <v>100</v>
      </c>
      <c r="V12" s="664" t="s">
        <v>18</v>
      </c>
      <c r="W12" s="665">
        <f t="shared" si="2"/>
        <v>100</v>
      </c>
      <c r="X12" s="666"/>
      <c r="Y12" s="327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4"/>
      <c r="Q13" s="530">
        <f t="shared" si="6"/>
        <v>111</v>
      </c>
      <c r="R13" s="664" t="s">
        <v>18</v>
      </c>
      <c r="S13" s="665">
        <f t="shared" si="0"/>
        <v>100</v>
      </c>
      <c r="T13" s="664" t="s">
        <v>18</v>
      </c>
      <c r="U13" s="665">
        <f t="shared" si="1"/>
        <v>100</v>
      </c>
      <c r="V13" s="664" t="s">
        <v>18</v>
      </c>
      <c r="W13" s="665">
        <f t="shared" si="2"/>
        <v>100</v>
      </c>
      <c r="X13" s="666"/>
      <c r="Y13" s="327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4"/>
      <c r="Q14" s="530">
        <f t="shared" si="6"/>
        <v>111</v>
      </c>
      <c r="R14" s="664" t="s">
        <v>18</v>
      </c>
      <c r="S14" s="665">
        <f t="shared" si="0"/>
        <v>100</v>
      </c>
      <c r="T14" s="664" t="s">
        <v>18</v>
      </c>
      <c r="U14" s="665">
        <f t="shared" si="1"/>
        <v>100</v>
      </c>
      <c r="V14" s="664" t="s">
        <v>18</v>
      </c>
      <c r="W14" s="665">
        <f t="shared" si="2"/>
        <v>100</v>
      </c>
      <c r="X14" s="666"/>
      <c r="Y14" s="327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2" t="s">
        <v>1691</v>
      </c>
      <c r="Q15" s="1263" t="str">
        <f t="shared" si="6"/>
        <v>居住社区成熟度</v>
      </c>
      <c r="R15" s="667" t="s">
        <v>18</v>
      </c>
      <c r="S15" s="668">
        <f t="shared" si="0"/>
        <v>100</v>
      </c>
      <c r="T15" s="667" t="s">
        <v>18</v>
      </c>
      <c r="U15" s="668">
        <f t="shared" si="1"/>
        <v>100</v>
      </c>
      <c r="V15" s="667" t="s">
        <v>18</v>
      </c>
      <c r="W15" s="668">
        <f t="shared" si="2"/>
        <v>100</v>
      </c>
      <c r="X15" s="1265"/>
      <c r="Y15" s="340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13"/>
      <c r="Q16" s="1263"/>
      <c r="R16" s="667"/>
      <c r="S16" s="668"/>
      <c r="T16" s="667"/>
      <c r="U16" s="668"/>
      <c r="V16" s="667"/>
      <c r="W16" s="668"/>
      <c r="X16" s="1265"/>
      <c r="Y16" s="340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3"/>
      <c r="Q17" s="1263" t="str">
        <f>B17</f>
        <v>交通便捷度</v>
      </c>
      <c r="R17" s="667" t="s">
        <v>18</v>
      </c>
      <c r="S17" s="668">
        <f>F17</f>
        <v>100</v>
      </c>
      <c r="T17" s="667" t="s">
        <v>18</v>
      </c>
      <c r="U17" s="668">
        <f>H17</f>
        <v>100</v>
      </c>
      <c r="V17" s="667" t="s">
        <v>18</v>
      </c>
      <c r="W17" s="668">
        <f>J17</f>
        <v>100</v>
      </c>
      <c r="X17" s="1265"/>
      <c r="Y17" s="340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13"/>
      <c r="Q18" s="1263"/>
      <c r="R18" s="667"/>
      <c r="S18" s="668"/>
      <c r="T18" s="667"/>
      <c r="U18" s="668"/>
      <c r="V18" s="667"/>
      <c r="W18" s="668"/>
      <c r="X18" s="1265"/>
      <c r="Y18" s="3406"/>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3"/>
      <c r="Q19" s="1263" t="str">
        <f>B19</f>
        <v>公共配套设施</v>
      </c>
      <c r="R19" s="667" t="s">
        <v>18</v>
      </c>
      <c r="S19" s="668">
        <f>F19</f>
        <v>100</v>
      </c>
      <c r="T19" s="667" t="s">
        <v>18</v>
      </c>
      <c r="U19" s="668">
        <f>H19</f>
        <v>100</v>
      </c>
      <c r="V19" s="667" t="s">
        <v>18</v>
      </c>
      <c r="W19" s="668">
        <f>J19</f>
        <v>100</v>
      </c>
      <c r="X19" s="1265"/>
      <c r="Y19" s="340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13"/>
      <c r="Q20" s="1263"/>
      <c r="R20" s="667"/>
      <c r="S20" s="668"/>
      <c r="T20" s="667"/>
      <c r="U20" s="668"/>
      <c r="V20" s="667"/>
      <c r="W20" s="668"/>
      <c r="X20" s="1265"/>
      <c r="Y20" s="340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13"/>
      <c r="Q22" s="1263"/>
      <c r="R22" s="667"/>
      <c r="S22" s="668"/>
      <c r="T22" s="667"/>
      <c r="U22" s="668"/>
      <c r="V22" s="667"/>
      <c r="W22" s="668"/>
      <c r="X22" s="1265"/>
      <c r="Y22" s="3406"/>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3"/>
      <c r="Q23" s="1263" t="str">
        <f>B23</f>
        <v>自然及人文环境</v>
      </c>
      <c r="R23" s="667" t="s">
        <v>18</v>
      </c>
      <c r="S23" s="668">
        <f>F23</f>
        <v>100</v>
      </c>
      <c r="T23" s="667" t="s">
        <v>18</v>
      </c>
      <c r="U23" s="668">
        <f>H23</f>
        <v>100</v>
      </c>
      <c r="V23" s="667" t="s">
        <v>18</v>
      </c>
      <c r="W23" s="668">
        <f>J23</f>
        <v>100</v>
      </c>
      <c r="X23" s="1265"/>
      <c r="Y23" s="340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13"/>
      <c r="Q24" s="1263"/>
      <c r="R24" s="667"/>
      <c r="S24" s="668"/>
      <c r="T24" s="667"/>
      <c r="U24" s="668"/>
      <c r="V24" s="667"/>
      <c r="W24" s="668"/>
      <c r="X24" s="1265"/>
      <c r="Y24" s="340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13"/>
      <c r="Q26" s="1263" t="str">
        <f t="shared" si="11"/>
        <v>朝向</v>
      </c>
      <c r="R26" s="667" t="s">
        <v>18</v>
      </c>
      <c r="S26" s="668">
        <f t="shared" si="12"/>
        <v>100</v>
      </c>
      <c r="T26" s="667" t="s">
        <v>18</v>
      </c>
      <c r="U26" s="668">
        <f t="shared" si="13"/>
        <v>100</v>
      </c>
      <c r="V26" s="667" t="s">
        <v>18</v>
      </c>
      <c r="W26" s="668">
        <f t="shared" si="14"/>
        <v>100</v>
      </c>
      <c r="X26" s="1265"/>
      <c r="Y26" s="340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13"/>
      <c r="Q27" s="530">
        <f t="shared" si="11"/>
        <v>111</v>
      </c>
      <c r="R27" s="664" t="s">
        <v>18</v>
      </c>
      <c r="S27" s="665">
        <f t="shared" si="12"/>
        <v>100</v>
      </c>
      <c r="T27" s="664" t="s">
        <v>18</v>
      </c>
      <c r="U27" s="665">
        <f t="shared" si="13"/>
        <v>100</v>
      </c>
      <c r="V27" s="664" t="s">
        <v>18</v>
      </c>
      <c r="W27" s="665">
        <f t="shared" si="14"/>
        <v>100</v>
      </c>
      <c r="X27" s="666"/>
      <c r="Y27" s="340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13"/>
      <c r="Q28" s="1263">
        <f t="shared" si="11"/>
        <v>111</v>
      </c>
      <c r="R28" s="667" t="s">
        <v>18</v>
      </c>
      <c r="S28" s="668">
        <f t="shared" si="12"/>
        <v>100</v>
      </c>
      <c r="T28" s="667" t="s">
        <v>18</v>
      </c>
      <c r="U28" s="668">
        <f t="shared" si="13"/>
        <v>100</v>
      </c>
      <c r="V28" s="667" t="s">
        <v>18</v>
      </c>
      <c r="W28" s="668">
        <f t="shared" si="14"/>
        <v>100</v>
      </c>
      <c r="X28" s="1265"/>
      <c r="Y28" s="340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3"/>
      <c r="Q29" s="1263">
        <f t="shared" si="11"/>
        <v>111</v>
      </c>
      <c r="R29" s="667" t="s">
        <v>18</v>
      </c>
      <c r="S29" s="668">
        <f t="shared" si="12"/>
        <v>100</v>
      </c>
      <c r="T29" s="667" t="s">
        <v>18</v>
      </c>
      <c r="U29" s="668">
        <f t="shared" si="13"/>
        <v>100</v>
      </c>
      <c r="V29" s="667" t="s">
        <v>18</v>
      </c>
      <c r="W29" s="668">
        <f t="shared" si="14"/>
        <v>100</v>
      </c>
      <c r="X29" s="1265"/>
      <c r="Y29" s="340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3"/>
      <c r="Q30" s="1263">
        <f t="shared" si="11"/>
        <v>111</v>
      </c>
      <c r="R30" s="667" t="s">
        <v>18</v>
      </c>
      <c r="S30" s="668">
        <f t="shared" si="12"/>
        <v>100</v>
      </c>
      <c r="T30" s="667" t="s">
        <v>18</v>
      </c>
      <c r="U30" s="668">
        <f t="shared" si="13"/>
        <v>100</v>
      </c>
      <c r="V30" s="667" t="s">
        <v>18</v>
      </c>
      <c r="W30" s="668">
        <f t="shared" si="14"/>
        <v>100</v>
      </c>
      <c r="X30" s="1265"/>
      <c r="Y30" s="340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3"/>
      <c r="Q31" s="1263">
        <f t="shared" si="11"/>
        <v>111</v>
      </c>
      <c r="R31" s="667" t="s">
        <v>18</v>
      </c>
      <c r="S31" s="668">
        <f t="shared" si="12"/>
        <v>100</v>
      </c>
      <c r="T31" s="667" t="s">
        <v>18</v>
      </c>
      <c r="U31" s="668">
        <f t="shared" si="13"/>
        <v>100</v>
      </c>
      <c r="V31" s="667" t="s">
        <v>18</v>
      </c>
      <c r="W31" s="668">
        <f t="shared" si="14"/>
        <v>100</v>
      </c>
      <c r="X31" s="1265"/>
      <c r="Y31" s="340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7" t="s">
        <v>1696</v>
      </c>
      <c r="Q32" s="1263" t="str">
        <f t="shared" si="11"/>
        <v>建筑类型</v>
      </c>
      <c r="R32" s="667" t="s">
        <v>18</v>
      </c>
      <c r="S32" s="668">
        <f t="shared" si="12"/>
        <v>100</v>
      </c>
      <c r="T32" s="667" t="s">
        <v>18</v>
      </c>
      <c r="U32" s="668">
        <f t="shared" si="13"/>
        <v>100</v>
      </c>
      <c r="V32" s="667" t="s">
        <v>18</v>
      </c>
      <c r="W32" s="668">
        <f t="shared" si="14"/>
        <v>100</v>
      </c>
      <c r="X32" s="1265"/>
      <c r="Y32" s="341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8"/>
      <c r="Q33" s="531" t="str">
        <f t="shared" si="11"/>
        <v>项目建筑规模</v>
      </c>
      <c r="R33" s="669" t="s">
        <v>18</v>
      </c>
      <c r="S33" s="670" t="e">
        <f t="shared" si="12"/>
        <v>#N/A</v>
      </c>
      <c r="T33" s="669" t="s">
        <v>18</v>
      </c>
      <c r="U33" s="670" t="e">
        <f t="shared" si="13"/>
        <v>#N/A</v>
      </c>
      <c r="V33" s="669" t="s">
        <v>18</v>
      </c>
      <c r="W33" s="670" t="e">
        <f t="shared" si="14"/>
        <v>#N/A</v>
      </c>
      <c r="X33" s="671"/>
      <c r="Y33" s="341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8"/>
      <c r="Q34" s="1263" t="str">
        <f t="shared" si="11"/>
        <v>建筑结构</v>
      </c>
      <c r="R34" s="667" t="s">
        <v>18</v>
      </c>
      <c r="S34" s="668">
        <f t="shared" si="12"/>
        <v>100</v>
      </c>
      <c r="T34" s="667" t="s">
        <v>18</v>
      </c>
      <c r="U34" s="668">
        <f t="shared" si="13"/>
        <v>100</v>
      </c>
      <c r="V34" s="667" t="s">
        <v>18</v>
      </c>
      <c r="W34" s="668">
        <f t="shared" si="14"/>
        <v>100</v>
      </c>
      <c r="X34" s="1265"/>
      <c r="Y34" s="341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8"/>
      <c r="Q35" s="1263" t="str">
        <f t="shared" si="11"/>
        <v>建筑品质</v>
      </c>
      <c r="R35" s="667" t="s">
        <v>18</v>
      </c>
      <c r="S35" s="668">
        <f t="shared" si="12"/>
        <v>100</v>
      </c>
      <c r="T35" s="667" t="s">
        <v>18</v>
      </c>
      <c r="U35" s="668">
        <f t="shared" si="13"/>
        <v>100</v>
      </c>
      <c r="V35" s="667" t="s">
        <v>18</v>
      </c>
      <c r="W35" s="668">
        <f t="shared" si="14"/>
        <v>100</v>
      </c>
      <c r="X35" s="1265"/>
      <c r="Y35" s="341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8"/>
      <c r="Q36" s="1263" t="str">
        <f t="shared" si="11"/>
        <v>公共部分装修</v>
      </c>
      <c r="R36" s="667" t="s">
        <v>18</v>
      </c>
      <c r="S36" s="668">
        <f t="shared" si="12"/>
        <v>100</v>
      </c>
      <c r="T36" s="667" t="s">
        <v>18</v>
      </c>
      <c r="U36" s="668">
        <f t="shared" si="13"/>
        <v>100</v>
      </c>
      <c r="V36" s="667" t="s">
        <v>18</v>
      </c>
      <c r="W36" s="668">
        <f t="shared" si="14"/>
        <v>100</v>
      </c>
      <c r="X36" s="1265"/>
      <c r="Y36" s="341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8"/>
      <c r="Q37" s="530" t="str">
        <f t="shared" si="11"/>
        <v>成新度</v>
      </c>
      <c r="R37" s="664" t="s">
        <v>18</v>
      </c>
      <c r="S37" s="665" t="e">
        <f t="shared" si="12"/>
        <v>#N/A</v>
      </c>
      <c r="T37" s="664" t="s">
        <v>18</v>
      </c>
      <c r="U37" s="665" t="e">
        <f t="shared" si="13"/>
        <v>#N/A</v>
      </c>
      <c r="V37" s="664" t="s">
        <v>18</v>
      </c>
      <c r="W37" s="665" t="e">
        <f t="shared" si="14"/>
        <v>#N/A</v>
      </c>
      <c r="X37" s="666"/>
      <c r="Y37" s="341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8" t="s">
        <v>1696</v>
      </c>
      <c r="Q38" s="1263" t="str">
        <f t="shared" si="11"/>
        <v>物业管理</v>
      </c>
      <c r="R38" s="667" t="s">
        <v>18</v>
      </c>
      <c r="S38" s="668">
        <f t="shared" si="12"/>
        <v>100</v>
      </c>
      <c r="T38" s="667" t="s">
        <v>18</v>
      </c>
      <c r="U38" s="668">
        <f t="shared" si="13"/>
        <v>100</v>
      </c>
      <c r="V38" s="667" t="s">
        <v>18</v>
      </c>
      <c r="W38" s="668">
        <f t="shared" si="14"/>
        <v>100</v>
      </c>
      <c r="X38" s="1265"/>
      <c r="Y38" s="341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8"/>
      <c r="Q39" s="1263" t="str">
        <f t="shared" si="11"/>
        <v>市政基础设施</v>
      </c>
      <c r="R39" s="667" t="s">
        <v>18</v>
      </c>
      <c r="S39" s="668">
        <f t="shared" si="12"/>
        <v>100</v>
      </c>
      <c r="T39" s="667" t="s">
        <v>18</v>
      </c>
      <c r="U39" s="668">
        <f t="shared" si="13"/>
        <v>100</v>
      </c>
      <c r="V39" s="667" t="s">
        <v>18</v>
      </c>
      <c r="W39" s="668">
        <f t="shared" si="14"/>
        <v>100</v>
      </c>
      <c r="X39" s="1265"/>
      <c r="Y39" s="341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8"/>
      <c r="Q40" s="1263" t="str">
        <f t="shared" si="11"/>
        <v>房型</v>
      </c>
      <c r="R40" s="667" t="s">
        <v>18</v>
      </c>
      <c r="S40" s="668">
        <f t="shared" si="12"/>
        <v>100</v>
      </c>
      <c r="T40" s="667" t="s">
        <v>18</v>
      </c>
      <c r="U40" s="668">
        <f t="shared" si="13"/>
        <v>100</v>
      </c>
      <c r="V40" s="667" t="s">
        <v>18</v>
      </c>
      <c r="W40" s="668">
        <f t="shared" si="14"/>
        <v>100</v>
      </c>
      <c r="X40" s="1265"/>
      <c r="Y40" s="341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8"/>
      <c r="Q42" s="1263" t="str">
        <f t="shared" si="11"/>
        <v>内部装修</v>
      </c>
      <c r="R42" s="667" t="s">
        <v>18</v>
      </c>
      <c r="S42" s="668">
        <f t="shared" si="12"/>
        <v>100</v>
      </c>
      <c r="T42" s="667" t="s">
        <v>18</v>
      </c>
      <c r="U42" s="668">
        <f t="shared" si="13"/>
        <v>100</v>
      </c>
      <c r="V42" s="667" t="s">
        <v>18</v>
      </c>
      <c r="W42" s="668">
        <f t="shared" si="14"/>
        <v>100</v>
      </c>
      <c r="X42" s="1265"/>
      <c r="Y42" s="341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8"/>
      <c r="Q43" s="1263" t="str">
        <f t="shared" si="11"/>
        <v>内部装修维护情况</v>
      </c>
      <c r="R43" s="667" t="s">
        <v>18</v>
      </c>
      <c r="S43" s="668">
        <f t="shared" si="12"/>
        <v>100</v>
      </c>
      <c r="T43" s="667" t="s">
        <v>18</v>
      </c>
      <c r="U43" s="668">
        <f t="shared" si="13"/>
        <v>100</v>
      </c>
      <c r="V43" s="667" t="s">
        <v>18</v>
      </c>
      <c r="W43" s="668">
        <f t="shared" si="14"/>
        <v>100</v>
      </c>
      <c r="X43" s="1265"/>
      <c r="Y43" s="341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8"/>
      <c r="Q45" s="1263">
        <f t="shared" si="11"/>
        <v>111</v>
      </c>
      <c r="R45" s="667" t="s">
        <v>18</v>
      </c>
      <c r="S45" s="668">
        <f t="shared" si="12"/>
        <v>100</v>
      </c>
      <c r="T45" s="667" t="s">
        <v>18</v>
      </c>
      <c r="U45" s="668">
        <f t="shared" si="13"/>
        <v>100</v>
      </c>
      <c r="V45" s="667" t="s">
        <v>18</v>
      </c>
      <c r="W45" s="668">
        <f t="shared" si="14"/>
        <v>100</v>
      </c>
      <c r="X45" s="1265"/>
      <c r="Y45" s="341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9"/>
      <c r="Q46" s="1263">
        <f t="shared" si="11"/>
        <v>111</v>
      </c>
      <c r="R46" s="667" t="s">
        <v>17</v>
      </c>
      <c r="S46" s="668">
        <f t="shared" si="12"/>
        <v>100</v>
      </c>
      <c r="T46" s="667" t="s">
        <v>17</v>
      </c>
      <c r="U46" s="668">
        <f t="shared" si="13"/>
        <v>100</v>
      </c>
      <c r="V46" s="667" t="s">
        <v>17</v>
      </c>
      <c r="W46" s="668">
        <f t="shared" si="14"/>
        <v>100</v>
      </c>
      <c r="X46" s="1265"/>
      <c r="Y46" s="341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3" t="str">
        <f>A47</f>
        <v>成交单价（元/平方米）</v>
      </c>
      <c r="Q47" s="3403"/>
      <c r="R47" s="3404">
        <f>E47</f>
        <v>0</v>
      </c>
      <c r="S47" s="3404"/>
      <c r="T47" s="3404">
        <f>G47</f>
        <v>0</v>
      </c>
      <c r="U47" s="3404"/>
      <c r="V47" s="3404">
        <f>I47</f>
        <v>0</v>
      </c>
      <c r="W47" s="3404"/>
      <c r="X47" s="385"/>
      <c r="Y47" s="673"/>
      <c r="Z47" s="385"/>
      <c r="AA47" s="385"/>
      <c r="AB47" s="385"/>
      <c r="AC47" s="385"/>
    </row>
    <row r="48" spans="1:29" ht="15" thickBot="1">
      <c r="A48" s="423" t="s">
        <v>1709</v>
      </c>
      <c r="B48" s="424"/>
      <c r="C48" s="1082" t="e">
        <f>R49</f>
        <v>#DIV/0!</v>
      </c>
      <c r="D48" s="2141" t="s">
        <v>2135</v>
      </c>
      <c r="E48" s="1083" t="e">
        <f>R48</f>
        <v>#DIV/0!</v>
      </c>
      <c r="F48" s="2142"/>
      <c r="G48" s="1082" t="e">
        <f>T48</f>
        <v>#DIV/0!</v>
      </c>
      <c r="H48" s="2142"/>
      <c r="I48" s="1083" t="e">
        <f>V48</f>
        <v>#DIV/0!</v>
      </c>
      <c r="J48" s="2142"/>
      <c r="K48" s="2143">
        <f>F48+H48+J48</f>
        <v>0</v>
      </c>
      <c r="L48" s="2493"/>
      <c r="M48" s="2486"/>
      <c r="N48" s="2486"/>
      <c r="O48" s="2486"/>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70" zoomScaleNormal="70" zoomScaleSheetLayoutView="70" workbookViewId="0">
      <selection activeCell="G5" sqref="G5:H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5.77734375" style="347" customWidth="1"/>
    <col min="6" max="6" width="12.21875" style="347" customWidth="1"/>
    <col min="7" max="7" width="16.21875" style="347" customWidth="1"/>
    <col min="8" max="8" width="12.21875" style="347" customWidth="1"/>
    <col min="9" max="9" width="15.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103</v>
      </c>
      <c r="E1" s="3123" t="s">
        <v>3457</v>
      </c>
      <c r="F1" s="1735" t="s">
        <v>3458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0.50129999999999997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7.6</v>
      </c>
      <c r="C3" s="344" t="s">
        <v>1768</v>
      </c>
      <c r="D3" s="343">
        <f>IF(D1="",'数据-汇总表'!E3,SUMIF('数据-汇总表'!$C19:$C33,D1,'数据-汇总表'!$E19:$E33))</f>
        <v>659.55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28" t="s">
        <v>1771</v>
      </c>
      <c r="S4" s="3429"/>
      <c r="T4" s="3428" t="s">
        <v>1772</v>
      </c>
      <c r="U4" s="3429"/>
      <c r="V4" s="3404" t="s">
        <v>1773</v>
      </c>
      <c r="W4" s="3404"/>
      <c r="X4" s="1265"/>
      <c r="Y4" s="3428" t="s">
        <v>1775</v>
      </c>
      <c r="Z4" s="3429"/>
      <c r="AA4" s="3415" t="s">
        <v>1771</v>
      </c>
      <c r="AB4" s="3404" t="s">
        <v>1772</v>
      </c>
      <c r="AC4" s="3415" t="s">
        <v>1773</v>
      </c>
    </row>
    <row r="5" spans="1:29" ht="13.95" customHeight="1">
      <c r="A5" s="348"/>
      <c r="B5" s="349"/>
      <c r="C5" s="3445" t="s">
        <v>3459</v>
      </c>
      <c r="D5" s="3437"/>
      <c r="E5" s="3445" t="s">
        <v>3595</v>
      </c>
      <c r="F5" s="3437"/>
      <c r="G5" s="3445" t="s">
        <v>3459</v>
      </c>
      <c r="H5" s="3437"/>
      <c r="I5" s="3445" t="s">
        <v>3459</v>
      </c>
      <c r="J5" s="3437"/>
      <c r="K5" s="537"/>
      <c r="L5" s="2485"/>
      <c r="M5" s="2486"/>
      <c r="N5" s="2486"/>
      <c r="O5" s="2486"/>
      <c r="P5" s="3424"/>
      <c r="Q5" s="3425"/>
      <c r="R5" s="3430"/>
      <c r="S5" s="3431"/>
      <c r="T5" s="3430"/>
      <c r="U5" s="3431"/>
      <c r="V5" s="3404"/>
      <c r="W5" s="3404"/>
      <c r="X5" s="1265"/>
      <c r="Y5" s="3430"/>
      <c r="Z5" s="3431"/>
      <c r="AA5" s="3416"/>
      <c r="AB5" s="3404"/>
      <c r="AC5" s="3416"/>
    </row>
    <row r="6" spans="1:29" ht="15" thickBot="1">
      <c r="A6" s="350"/>
      <c r="B6" s="351"/>
      <c r="C6" s="3434" t="s">
        <v>1677</v>
      </c>
      <c r="D6" s="3435"/>
      <c r="E6" s="3441" t="s">
        <v>1677</v>
      </c>
      <c r="F6" s="3442"/>
      <c r="G6" s="3434" t="s">
        <v>1677</v>
      </c>
      <c r="H6" s="3435"/>
      <c r="I6" s="3434" t="s">
        <v>1677</v>
      </c>
      <c r="J6" s="3435"/>
      <c r="K6" s="537" t="s">
        <v>1678</v>
      </c>
      <c r="L6" s="2485"/>
      <c r="M6" s="2486"/>
      <c r="N6" s="2486"/>
      <c r="O6" s="2486"/>
      <c r="P6" s="3426"/>
      <c r="Q6" s="3427"/>
      <c r="R6" s="3430"/>
      <c r="S6" s="3431"/>
      <c r="T6" s="3432"/>
      <c r="U6" s="3433"/>
      <c r="V6" s="3404"/>
      <c r="W6" s="3404"/>
      <c r="X6" s="1265"/>
      <c r="Y6" s="3432"/>
      <c r="Z6" s="3433"/>
      <c r="AA6" s="3417"/>
      <c r="AB6" s="3404"/>
      <c r="AC6" s="3417"/>
    </row>
    <row r="7" spans="1:29" s="102" customFormat="1" ht="15" thickBot="1">
      <c r="A7" s="352" t="s">
        <v>1679</v>
      </c>
      <c r="B7" s="353"/>
      <c r="C7" s="354">
        <f>'数据-取费表'!B2</f>
        <v>45706</v>
      </c>
      <c r="D7" s="355">
        <v>100</v>
      </c>
      <c r="E7" s="356">
        <f>C7</f>
        <v>45706</v>
      </c>
      <c r="F7" s="357">
        <f>SUMIF(58:58,YEAR(E7)&amp;"-"&amp;MONTH(E7),59:59)</f>
        <v>100</v>
      </c>
      <c r="G7" s="356">
        <f>C7</f>
        <v>45706</v>
      </c>
      <c r="H7" s="355">
        <f>SUMIF(58:58,YEAR(G7)&amp;"-"&amp;MONTH(G7),59:59)</f>
        <v>100</v>
      </c>
      <c r="I7" s="356">
        <f>C7</f>
        <v>45706</v>
      </c>
      <c r="J7" s="355">
        <f>SUMIF(58:58,YEAR(I7)&amp;"-"&amp;MONTH(I7),59:59)</f>
        <v>100</v>
      </c>
      <c r="K7" s="38"/>
      <c r="L7" s="2487"/>
      <c r="M7" s="2439"/>
      <c r="N7" s="2439"/>
      <c r="O7" s="2439"/>
      <c r="P7" s="3438" t="s">
        <v>1680</v>
      </c>
      <c r="Q7" s="3440"/>
      <c r="R7" s="664" t="s">
        <v>14</v>
      </c>
      <c r="S7" s="665">
        <f t="shared" ref="S7:S15" si="0">F7</f>
        <v>100</v>
      </c>
      <c r="T7" s="664" t="s">
        <v>14</v>
      </c>
      <c r="U7" s="665">
        <f t="shared" ref="U7:U15" si="1">H7</f>
        <v>100</v>
      </c>
      <c r="V7" s="664" t="s">
        <v>14</v>
      </c>
      <c r="W7" s="665">
        <f t="shared" ref="W7:W15" si="2">J7</f>
        <v>100</v>
      </c>
      <c r="X7" s="666"/>
      <c r="Y7" s="3438" t="s">
        <v>1680</v>
      </c>
      <c r="Z7" s="3439"/>
      <c r="AA7" s="50">
        <f>D7/F7</f>
        <v>1</v>
      </c>
      <c r="AB7" s="50">
        <f>D7/H7</f>
        <v>1</v>
      </c>
      <c r="AC7" s="50">
        <f>D7/J7</f>
        <v>1</v>
      </c>
    </row>
    <row r="8" spans="1:29" s="102" customFormat="1" ht="15" thickBot="1">
      <c r="A8" s="352" t="s">
        <v>1681</v>
      </c>
      <c r="B8" s="353"/>
      <c r="C8" s="358" t="s">
        <v>3460</v>
      </c>
      <c r="D8" s="355">
        <v>100</v>
      </c>
      <c r="E8" s="358" t="s">
        <v>3512</v>
      </c>
      <c r="F8" s="357">
        <f>SUMIF(61:61,E8,62:62)-SUMIF(61:61,C8,62:62)+100</f>
        <v>105</v>
      </c>
      <c r="G8" s="358" t="s">
        <v>3460</v>
      </c>
      <c r="H8" s="355">
        <f>SUMIF(61:61,G8,62:62)-SUMIF(61:61,C8,62:62)+100</f>
        <v>100</v>
      </c>
      <c r="I8" s="358" t="s">
        <v>3460</v>
      </c>
      <c r="J8" s="355">
        <f>SUMIF(61:61,I8,62:62)-SUMIF(61:61,C8,62:62)+100</f>
        <v>100</v>
      </c>
      <c r="K8" s="38"/>
      <c r="L8" s="2487"/>
      <c r="M8" s="2439"/>
      <c r="N8" s="2439"/>
      <c r="O8" s="2439"/>
      <c r="P8" s="3438" t="s">
        <v>1683</v>
      </c>
      <c r="Q8" s="3439"/>
      <c r="R8" s="664" t="s">
        <v>14</v>
      </c>
      <c r="S8" s="665">
        <f t="shared" si="0"/>
        <v>105</v>
      </c>
      <c r="T8" s="664" t="s">
        <v>14</v>
      </c>
      <c r="U8" s="665">
        <f t="shared" si="1"/>
        <v>100</v>
      </c>
      <c r="V8" s="664" t="s">
        <v>14</v>
      </c>
      <c r="W8" s="665">
        <f t="shared" si="2"/>
        <v>100</v>
      </c>
      <c r="X8" s="666"/>
      <c r="Y8" s="3438" t="s">
        <v>1683</v>
      </c>
      <c r="Z8" s="3439"/>
      <c r="AA8" s="50">
        <f t="shared" ref="AA8:AA46" si="3">D8/F8</f>
        <v>0.95238095238095233</v>
      </c>
      <c r="AB8" s="50">
        <f t="shared" ref="AB8:AB46" si="4">D8/H8</f>
        <v>1</v>
      </c>
      <c r="AC8" s="50">
        <f t="shared" ref="AC8:AC46" si="5">D8/J8</f>
        <v>1</v>
      </c>
    </row>
    <row r="9" spans="1:29" s="102" customFormat="1" ht="14.4">
      <c r="A9" s="359" t="s">
        <v>1684</v>
      </c>
      <c r="B9" s="60" t="s">
        <v>1685</v>
      </c>
      <c r="C9" s="3161"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4" t="s">
        <v>1686</v>
      </c>
      <c r="Q9" s="530" t="str">
        <f t="shared" ref="Q9:Q15" si="6">B9</f>
        <v>用途</v>
      </c>
      <c r="R9" s="664" t="s">
        <v>14</v>
      </c>
      <c r="S9" s="665">
        <f t="shared" si="0"/>
        <v>100</v>
      </c>
      <c r="T9" s="664" t="s">
        <v>14</v>
      </c>
      <c r="U9" s="665">
        <f t="shared" si="1"/>
        <v>100</v>
      </c>
      <c r="V9" s="664" t="s">
        <v>14</v>
      </c>
      <c r="W9" s="665">
        <f t="shared" si="2"/>
        <v>100</v>
      </c>
      <c r="X9" s="666"/>
      <c r="Y9" s="3278" t="s">
        <v>1687</v>
      </c>
      <c r="Z9" s="50" t="str">
        <f t="shared" ref="Z9:Z15" si="7">Q9</f>
        <v>用途</v>
      </c>
      <c r="AA9" s="50">
        <f t="shared" si="3"/>
        <v>1</v>
      </c>
      <c r="AB9" s="50">
        <f t="shared" si="4"/>
        <v>1</v>
      </c>
      <c r="AC9" s="50">
        <f t="shared" si="5"/>
        <v>1</v>
      </c>
    </row>
    <row r="10" spans="1:29" s="366" customFormat="1" ht="28.8">
      <c r="A10" s="363"/>
      <c r="B10" s="364" t="s">
        <v>1688</v>
      </c>
      <c r="C10" s="3131" t="s">
        <v>3462</v>
      </c>
      <c r="D10" s="119">
        <v>100</v>
      </c>
      <c r="E10" s="3131" t="s">
        <v>3586</v>
      </c>
      <c r="F10" s="364">
        <f>SUMIF(65:65,E10,66:66)-SUMIF(65:65,C10,66:66)+100</f>
        <v>100</v>
      </c>
      <c r="G10" s="3131" t="s">
        <v>3462</v>
      </c>
      <c r="H10" s="119">
        <f>SUMIF(65:65,G10,66:66)-SUMIF(65:65,C10,66:66)+100</f>
        <v>100</v>
      </c>
      <c r="I10" s="3131" t="s">
        <v>3462</v>
      </c>
      <c r="J10" s="119">
        <f>SUMIF(65:65,I10,66:66)-SUMIF(65:65,C10,66:66)+100</f>
        <v>100</v>
      </c>
      <c r="K10" s="38"/>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27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4"/>
      <c r="Q11" s="530" t="str">
        <f t="shared" si="6"/>
        <v>容积率</v>
      </c>
      <c r="R11" s="664" t="s">
        <v>14</v>
      </c>
      <c r="S11" s="665">
        <f t="shared" si="0"/>
        <v>100</v>
      </c>
      <c r="T11" s="664" t="s">
        <v>14</v>
      </c>
      <c r="U11" s="665">
        <f t="shared" si="1"/>
        <v>100</v>
      </c>
      <c r="V11" s="664" t="s">
        <v>14</v>
      </c>
      <c r="W11" s="665">
        <f t="shared" si="2"/>
        <v>100</v>
      </c>
      <c r="X11" s="666"/>
      <c r="Y11" s="327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4"/>
      <c r="Q12" s="530">
        <f t="shared" si="6"/>
        <v>111</v>
      </c>
      <c r="R12" s="664" t="s">
        <v>14</v>
      </c>
      <c r="S12" s="665">
        <f t="shared" si="0"/>
        <v>100</v>
      </c>
      <c r="T12" s="664" t="s">
        <v>14</v>
      </c>
      <c r="U12" s="665">
        <f t="shared" si="1"/>
        <v>100</v>
      </c>
      <c r="V12" s="664" t="s">
        <v>14</v>
      </c>
      <c r="W12" s="665">
        <f t="shared" si="2"/>
        <v>100</v>
      </c>
      <c r="X12" s="666"/>
      <c r="Y12" s="327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4"/>
      <c r="Q13" s="530">
        <f t="shared" si="6"/>
        <v>111</v>
      </c>
      <c r="R13" s="664" t="s">
        <v>14</v>
      </c>
      <c r="S13" s="665">
        <f t="shared" si="0"/>
        <v>100</v>
      </c>
      <c r="T13" s="664" t="s">
        <v>14</v>
      </c>
      <c r="U13" s="665">
        <f t="shared" si="1"/>
        <v>100</v>
      </c>
      <c r="V13" s="664" t="s">
        <v>14</v>
      </c>
      <c r="W13" s="665">
        <f t="shared" si="2"/>
        <v>100</v>
      </c>
      <c r="X13" s="666"/>
      <c r="Y13" s="327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3177"/>
      <c r="N14" s="2486"/>
      <c r="O14" s="2486"/>
      <c r="P14" s="3414"/>
      <c r="Q14" s="530">
        <f t="shared" si="6"/>
        <v>111</v>
      </c>
      <c r="R14" s="664" t="s">
        <v>14</v>
      </c>
      <c r="S14" s="665">
        <f t="shared" si="0"/>
        <v>100</v>
      </c>
      <c r="T14" s="664" t="s">
        <v>14</v>
      </c>
      <c r="U14" s="665">
        <f t="shared" si="1"/>
        <v>100</v>
      </c>
      <c r="V14" s="664" t="s">
        <v>14</v>
      </c>
      <c r="W14" s="665">
        <f t="shared" si="2"/>
        <v>100</v>
      </c>
      <c r="X14" s="666"/>
      <c r="Y14" s="327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100</v>
      </c>
      <c r="I15" s="381"/>
      <c r="J15" s="380">
        <f>SUMIF(76:76,I16,77:77)-SUMIF(76:76,C16,77:77)+100</f>
        <v>100</v>
      </c>
      <c r="K15" s="540">
        <v>5</v>
      </c>
      <c r="L15" s="2491"/>
      <c r="M15" s="2486"/>
      <c r="N15" s="3177"/>
      <c r="O15" s="2486"/>
      <c r="P15" s="3412" t="s">
        <v>1691</v>
      </c>
      <c r="Q15" s="1263" t="str">
        <f t="shared" si="6"/>
        <v>商业繁华度</v>
      </c>
      <c r="R15" s="667" t="s">
        <v>14</v>
      </c>
      <c r="S15" s="668">
        <f t="shared" si="0"/>
        <v>105</v>
      </c>
      <c r="T15" s="667" t="s">
        <v>14</v>
      </c>
      <c r="U15" s="668">
        <f t="shared" si="1"/>
        <v>100</v>
      </c>
      <c r="V15" s="667" t="s">
        <v>14</v>
      </c>
      <c r="W15" s="668">
        <f t="shared" si="2"/>
        <v>100</v>
      </c>
      <c r="X15" s="1265"/>
      <c r="Y15" s="3405" t="s">
        <v>1691</v>
      </c>
      <c r="Z15" s="1264" t="str">
        <f t="shared" si="7"/>
        <v>商业繁华度</v>
      </c>
      <c r="AA15" s="1264">
        <f t="shared" si="3"/>
        <v>0.95238095238095233</v>
      </c>
      <c r="AB15" s="1264">
        <f t="shared" si="4"/>
        <v>1</v>
      </c>
      <c r="AC15" s="1264">
        <f t="shared" si="5"/>
        <v>1</v>
      </c>
    </row>
    <row r="16" spans="1:29" ht="15">
      <c r="A16" s="367"/>
      <c r="B16" s="385"/>
      <c r="C16" s="386" t="s">
        <v>3471</v>
      </c>
      <c r="D16" s="387"/>
      <c r="E16" s="386" t="s">
        <v>3469</v>
      </c>
      <c r="F16" s="388"/>
      <c r="G16" s="386" t="s">
        <v>3471</v>
      </c>
      <c r="H16" s="389"/>
      <c r="I16" s="386" t="s">
        <v>3471</v>
      </c>
      <c r="J16" s="387"/>
      <c r="K16" s="541"/>
      <c r="L16" s="2491"/>
      <c r="M16" s="2486"/>
      <c r="N16" s="3177"/>
      <c r="O16" s="2486"/>
      <c r="P16" s="3413"/>
      <c r="Q16" s="1263"/>
      <c r="R16" s="667"/>
      <c r="S16" s="668"/>
      <c r="T16" s="667"/>
      <c r="U16" s="668"/>
      <c r="V16" s="667"/>
      <c r="W16" s="668"/>
      <c r="X16" s="1265"/>
      <c r="Y16" s="3406"/>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105</v>
      </c>
      <c r="G17" s="393"/>
      <c r="H17" s="394">
        <f>SUMIF(78:78,G18,79:79)-SUMIF(78:78,C18,79:79)+100</f>
        <v>100</v>
      </c>
      <c r="I17" s="391"/>
      <c r="J17" s="394">
        <f>SUMIF(78:78,I18,79:79)-SUMIF(78:78,C18,79:79)+100</f>
        <v>100</v>
      </c>
      <c r="K17" s="540">
        <v>5</v>
      </c>
      <c r="L17" s="2491"/>
      <c r="M17" s="2486"/>
      <c r="N17" s="2486"/>
      <c r="O17" s="2486"/>
      <c r="P17" s="3413"/>
      <c r="Q17" s="1263" t="str">
        <f>B17</f>
        <v>交通便捷度</v>
      </c>
      <c r="R17" s="667" t="s">
        <v>14</v>
      </c>
      <c r="S17" s="668">
        <f>F17</f>
        <v>105</v>
      </c>
      <c r="T17" s="667" t="s">
        <v>14</v>
      </c>
      <c r="U17" s="668">
        <f>H17</f>
        <v>100</v>
      </c>
      <c r="V17" s="667" t="s">
        <v>14</v>
      </c>
      <c r="W17" s="668">
        <f>J17</f>
        <v>100</v>
      </c>
      <c r="X17" s="1265"/>
      <c r="Y17" s="3406"/>
      <c r="Z17" s="1264" t="str">
        <f>Q17</f>
        <v>交通便捷度</v>
      </c>
      <c r="AA17" s="1264">
        <f t="shared" si="3"/>
        <v>0.95238095238095233</v>
      </c>
      <c r="AB17" s="1264">
        <f t="shared" si="4"/>
        <v>1</v>
      </c>
      <c r="AC17" s="1264">
        <f t="shared" si="5"/>
        <v>1</v>
      </c>
    </row>
    <row r="18" spans="1:29" ht="15">
      <c r="A18" s="367"/>
      <c r="B18" s="395"/>
      <c r="C18" s="1755" t="s">
        <v>3471</v>
      </c>
      <c r="D18" s="389"/>
      <c r="E18" s="1755" t="s">
        <v>3469</v>
      </c>
      <c r="F18" s="392"/>
      <c r="G18" s="1755" t="s">
        <v>3471</v>
      </c>
      <c r="H18" s="387"/>
      <c r="I18" s="1755" t="s">
        <v>3471</v>
      </c>
      <c r="J18" s="387"/>
      <c r="K18" s="541"/>
      <c r="L18" s="2491"/>
      <c r="M18" s="2486"/>
      <c r="N18" s="2486"/>
      <c r="O18" s="2486"/>
      <c r="P18" s="3413"/>
      <c r="Q18" s="1263"/>
      <c r="R18" s="667"/>
      <c r="S18" s="668"/>
      <c r="T18" s="667"/>
      <c r="U18" s="668"/>
      <c r="V18" s="667"/>
      <c r="W18" s="668"/>
      <c r="X18" s="1265"/>
      <c r="Y18" s="3406"/>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105</v>
      </c>
      <c r="G19" s="398"/>
      <c r="H19" s="389">
        <f>SUMIF(80:80,G20,81:81)-SUMIF(80:80,C20,81:81)+100</f>
        <v>100</v>
      </c>
      <c r="I19" s="396"/>
      <c r="J19" s="389">
        <f>SUMIF(80:80,I20,81:81)-SUMIF(80:80,C20,81:81)+100</f>
        <v>100</v>
      </c>
      <c r="K19" s="540">
        <v>5</v>
      </c>
      <c r="L19" s="2491"/>
      <c r="M19" s="2486"/>
      <c r="N19" s="2486"/>
      <c r="O19" s="2486"/>
      <c r="P19" s="3413"/>
      <c r="Q19" s="1263" t="str">
        <f>B19</f>
        <v>公共配套设施</v>
      </c>
      <c r="R19" s="667" t="s">
        <v>14</v>
      </c>
      <c r="S19" s="668">
        <f>F19</f>
        <v>105</v>
      </c>
      <c r="T19" s="667" t="s">
        <v>14</v>
      </c>
      <c r="U19" s="668">
        <f>H19</f>
        <v>100</v>
      </c>
      <c r="V19" s="667" t="s">
        <v>14</v>
      </c>
      <c r="W19" s="668">
        <f>J19</f>
        <v>100</v>
      </c>
      <c r="X19" s="1265"/>
      <c r="Y19" s="3406"/>
      <c r="Z19" s="1264" t="str">
        <f>Q19</f>
        <v>公共配套设施</v>
      </c>
      <c r="AA19" s="1264">
        <f t="shared" si="3"/>
        <v>0.95238095238095233</v>
      </c>
      <c r="AB19" s="1264">
        <f t="shared" si="4"/>
        <v>1</v>
      </c>
      <c r="AC19" s="1264">
        <f t="shared" si="5"/>
        <v>1</v>
      </c>
    </row>
    <row r="20" spans="1:29" ht="15">
      <c r="A20" s="367"/>
      <c r="B20" s="395"/>
      <c r="C20" s="386" t="s">
        <v>3471</v>
      </c>
      <c r="D20" s="387"/>
      <c r="E20" s="386" t="s">
        <v>3469</v>
      </c>
      <c r="F20" s="388"/>
      <c r="G20" s="386" t="s">
        <v>3471</v>
      </c>
      <c r="H20" s="387"/>
      <c r="I20" s="386" t="s">
        <v>3471</v>
      </c>
      <c r="J20" s="387"/>
      <c r="K20" s="541"/>
      <c r="L20" s="2491"/>
      <c r="M20" s="2486"/>
      <c r="N20" s="2486"/>
      <c r="O20" s="2486"/>
      <c r="P20" s="3413"/>
      <c r="Q20" s="1263"/>
      <c r="R20" s="667"/>
      <c r="S20" s="668"/>
      <c r="T20" s="667"/>
      <c r="U20" s="668"/>
      <c r="V20" s="667"/>
      <c r="W20" s="668"/>
      <c r="X20" s="1265"/>
      <c r="Y20" s="340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5" t="s">
        <v>3588</v>
      </c>
      <c r="D22" s="387"/>
      <c r="E22" s="1755" t="s">
        <v>3588</v>
      </c>
      <c r="F22" s="388"/>
      <c r="G22" s="1755" t="s">
        <v>3588</v>
      </c>
      <c r="H22" s="387"/>
      <c r="I22" s="1755" t="s">
        <v>3588</v>
      </c>
      <c r="J22" s="387"/>
      <c r="K22" s="1064"/>
      <c r="L22" s="2491"/>
      <c r="M22" s="2486"/>
      <c r="N22" s="2486"/>
      <c r="O22" s="2486"/>
      <c r="P22" s="3413"/>
      <c r="Q22" s="1263"/>
      <c r="R22" s="667"/>
      <c r="S22" s="668"/>
      <c r="T22" s="667"/>
      <c r="U22" s="668"/>
      <c r="V22" s="667"/>
      <c r="W22" s="668"/>
      <c r="X22" s="1265"/>
      <c r="Y22" s="3406"/>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13"/>
      <c r="Q23" s="1263" t="str">
        <f>B23</f>
        <v>自然及人文环境</v>
      </c>
      <c r="R23" s="667" t="s">
        <v>14</v>
      </c>
      <c r="S23" s="668">
        <f>F23</f>
        <v>100</v>
      </c>
      <c r="T23" s="667" t="s">
        <v>14</v>
      </c>
      <c r="U23" s="668">
        <f>H23</f>
        <v>100</v>
      </c>
      <c r="V23" s="667" t="s">
        <v>14</v>
      </c>
      <c r="W23" s="668">
        <f>J23</f>
        <v>100</v>
      </c>
      <c r="X23" s="1265"/>
      <c r="Y23" s="3406"/>
      <c r="Z23" s="1264" t="str">
        <f>Q23</f>
        <v>自然及人文环境</v>
      </c>
      <c r="AA23" s="1264">
        <f t="shared" si="3"/>
        <v>1</v>
      </c>
      <c r="AB23" s="1264">
        <f t="shared" si="4"/>
        <v>1</v>
      </c>
      <c r="AC23" s="1264">
        <f t="shared" si="5"/>
        <v>1</v>
      </c>
    </row>
    <row r="24" spans="1:29" ht="15">
      <c r="A24" s="367"/>
      <c r="B24" s="395"/>
      <c r="C24" s="386" t="s">
        <v>3469</v>
      </c>
      <c r="D24" s="387"/>
      <c r="E24" s="386" t="s">
        <v>3469</v>
      </c>
      <c r="F24" s="388"/>
      <c r="G24" s="386" t="s">
        <v>3469</v>
      </c>
      <c r="H24" s="387"/>
      <c r="I24" s="386" t="s">
        <v>3469</v>
      </c>
      <c r="J24" s="387"/>
      <c r="K24" s="541"/>
      <c r="L24" s="2491"/>
      <c r="M24" s="2486"/>
      <c r="N24" s="2486"/>
      <c r="O24" s="2486"/>
      <c r="P24" s="3413"/>
      <c r="Q24" s="1263"/>
      <c r="R24" s="667"/>
      <c r="S24" s="668"/>
      <c r="T24" s="667"/>
      <c r="U24" s="668"/>
      <c r="V24" s="667"/>
      <c r="W24" s="668"/>
      <c r="X24" s="1265"/>
      <c r="Y24" s="3406"/>
      <c r="Z24" s="1264"/>
      <c r="AA24" s="1264">
        <v>1</v>
      </c>
      <c r="AB24" s="1264">
        <v>1</v>
      </c>
      <c r="AC24" s="1264">
        <v>1</v>
      </c>
    </row>
    <row r="25" spans="1:29" ht="15">
      <c r="A25" s="367"/>
      <c r="B25" s="364" t="s">
        <v>1780</v>
      </c>
      <c r="C25" s="542" t="s">
        <v>3508</v>
      </c>
      <c r="D25" s="374">
        <v>100</v>
      </c>
      <c r="E25" s="542" t="s">
        <v>3510</v>
      </c>
      <c r="F25" s="400">
        <f>SUMIF(86:86,E25,87:87)-SUMIF(86:86,C25,87:87)+100</f>
        <v>97</v>
      </c>
      <c r="G25" s="542" t="s">
        <v>3510</v>
      </c>
      <c r="H25" s="374">
        <f>SUMIF(86:86,G25,87:87)-SUMIF(86:86,C25,87:87)+100</f>
        <v>97</v>
      </c>
      <c r="I25" s="542" t="s">
        <v>3510</v>
      </c>
      <c r="J25" s="374">
        <f>SUMIF(86:86,I25,87:87)-SUMIF(86:86,C25,87:87)+100</f>
        <v>97</v>
      </c>
      <c r="K25" s="538">
        <v>3</v>
      </c>
      <c r="L25" s="2491"/>
      <c r="M25" s="2486"/>
      <c r="N25" s="2486"/>
      <c r="O25" s="2486"/>
      <c r="P25" s="3413"/>
      <c r="Q25" s="1263" t="str">
        <f t="shared" ref="Q25:Q46" si="11">B25</f>
        <v>临街状况</v>
      </c>
      <c r="R25" s="667" t="s">
        <v>14</v>
      </c>
      <c r="S25" s="668">
        <f>F25</f>
        <v>97</v>
      </c>
      <c r="T25" s="667" t="s">
        <v>14</v>
      </c>
      <c r="U25" s="668">
        <f>H25</f>
        <v>97</v>
      </c>
      <c r="V25" s="667" t="s">
        <v>14</v>
      </c>
      <c r="W25" s="668">
        <f>J25</f>
        <v>97</v>
      </c>
      <c r="X25" s="1265"/>
      <c r="Y25" s="3406"/>
      <c r="Z25" s="1264" t="str">
        <f>Q25</f>
        <v>临街状况</v>
      </c>
      <c r="AA25" s="1264">
        <f t="shared" si="3"/>
        <v>1.0309278350515463</v>
      </c>
      <c r="AB25" s="1264">
        <f t="shared" si="4"/>
        <v>1.0309278350515463</v>
      </c>
      <c r="AC25" s="1264">
        <f t="shared" si="5"/>
        <v>1.0309278350515463</v>
      </c>
    </row>
    <row r="26" spans="1:29" ht="15">
      <c r="A26" s="367"/>
      <c r="B26" s="1066" t="s">
        <v>1781</v>
      </c>
      <c r="C26" s="3170" t="s">
        <v>3470</v>
      </c>
      <c r="D26" s="374">
        <v>100</v>
      </c>
      <c r="E26" s="3170" t="s">
        <v>3470</v>
      </c>
      <c r="F26" s="400">
        <f>SUMIF(88:88,E26,89:89)-SUMIF(88:88,C26,89:89)+100</f>
        <v>100</v>
      </c>
      <c r="G26" s="3170" t="s">
        <v>3470</v>
      </c>
      <c r="H26" s="374">
        <f>SUMIF(88:88,G26,89:89)-SUMIF(88:88,C26,89:89)+100</f>
        <v>100</v>
      </c>
      <c r="I26" s="3170" t="s">
        <v>3470</v>
      </c>
      <c r="J26" s="374">
        <f>SUMIF(88:88,I26,89:89)-SUMIF(88:88,C26,89:89)+100</f>
        <v>100</v>
      </c>
      <c r="K26" s="539"/>
      <c r="L26" s="2491"/>
      <c r="M26" s="2486"/>
      <c r="N26" s="2486"/>
      <c r="O26" s="2486"/>
      <c r="P26" s="3413"/>
      <c r="Q26" s="1263" t="str">
        <f t="shared" si="11"/>
        <v>平面位置/可视性</v>
      </c>
      <c r="R26" s="667" t="s">
        <v>14</v>
      </c>
      <c r="S26" s="668">
        <f>F26</f>
        <v>100</v>
      </c>
      <c r="T26" s="667" t="s">
        <v>14</v>
      </c>
      <c r="U26" s="668">
        <f>H26</f>
        <v>100</v>
      </c>
      <c r="V26" s="667" t="s">
        <v>14</v>
      </c>
      <c r="W26" s="668">
        <f>J26</f>
        <v>100</v>
      </c>
      <c r="X26" s="1265"/>
      <c r="Y26" s="3406"/>
      <c r="Z26" s="1264" t="str">
        <f>Q26</f>
        <v>平面位置/可视性</v>
      </c>
      <c r="AA26" s="1264">
        <f t="shared" si="3"/>
        <v>1</v>
      </c>
      <c r="AB26" s="1264">
        <f t="shared" si="4"/>
        <v>1</v>
      </c>
      <c r="AC26" s="1264">
        <f t="shared" si="5"/>
        <v>1</v>
      </c>
    </row>
    <row r="27" spans="1:29" s="102" customFormat="1" ht="15">
      <c r="A27" s="370"/>
      <c r="B27" s="390" t="s">
        <v>1782</v>
      </c>
      <c r="C27" s="1807" t="s">
        <v>3477</v>
      </c>
      <c r="D27" s="401">
        <v>100</v>
      </c>
      <c r="E27" s="1807" t="s">
        <v>3477</v>
      </c>
      <c r="F27" s="395">
        <f>SUMIF(90:90,E27,91:91)-SUMIF(90:90,C27,91:91)+100</f>
        <v>100</v>
      </c>
      <c r="G27" s="1807" t="s">
        <v>3477</v>
      </c>
      <c r="H27" s="401">
        <f>SUMIF(90:90,G27,91:91)-SUMIF(90:90,C27,91:91)+100</f>
        <v>100</v>
      </c>
      <c r="I27" s="1807" t="s">
        <v>3477</v>
      </c>
      <c r="J27" s="401">
        <f>SUMIF(90:90,I27,91:91)-SUMIF(90:90,C27,91:91)+100</f>
        <v>100</v>
      </c>
      <c r="K27" s="538">
        <v>5</v>
      </c>
      <c r="L27" s="2487"/>
      <c r="M27" s="2439"/>
      <c r="N27" s="2439"/>
      <c r="O27" s="2439"/>
      <c r="P27" s="3413"/>
      <c r="Q27" s="530" t="str">
        <f t="shared" si="11"/>
        <v>人流量</v>
      </c>
      <c r="R27" s="664" t="s">
        <v>14</v>
      </c>
      <c r="S27" s="665">
        <f>F27</f>
        <v>100</v>
      </c>
      <c r="T27" s="664" t="s">
        <v>14</v>
      </c>
      <c r="U27" s="665">
        <f>H27</f>
        <v>100</v>
      </c>
      <c r="V27" s="664" t="s">
        <v>14</v>
      </c>
      <c r="W27" s="665">
        <f>J27</f>
        <v>100</v>
      </c>
      <c r="X27" s="666"/>
      <c r="Y27" s="3406"/>
      <c r="Z27" s="50" t="str">
        <f>Q27</f>
        <v>人流量</v>
      </c>
      <c r="AA27" s="1264">
        <f>D27/F27</f>
        <v>1</v>
      </c>
      <c r="AB27" s="1264">
        <f>D27/H27</f>
        <v>1</v>
      </c>
      <c r="AC27" s="1264">
        <f>D27/J27</f>
        <v>1</v>
      </c>
    </row>
    <row r="28" spans="1:29" ht="15">
      <c r="A28" s="367"/>
      <c r="B28" s="364" t="s">
        <v>1783</v>
      </c>
      <c r="C28" s="542" t="s">
        <v>3504</v>
      </c>
      <c r="D28" s="374">
        <v>100</v>
      </c>
      <c r="E28" s="542" t="s">
        <v>3504</v>
      </c>
      <c r="F28" s="400">
        <f>SUMIF(92:92,E28,93:93)-SUMIF(92:92,C28,93:93)+100</f>
        <v>100</v>
      </c>
      <c r="G28" s="542" t="s">
        <v>3504</v>
      </c>
      <c r="H28" s="374">
        <f>SUMIF(92:92,G28,93:93)-SUMIF(92:92,C28,93:93)+100</f>
        <v>100</v>
      </c>
      <c r="I28" s="542" t="s">
        <v>3504</v>
      </c>
      <c r="J28" s="374">
        <f>SUMIF(92:92,I28,93:93)-SUMIF(92:92,C28,93:93)+100</f>
        <v>100</v>
      </c>
      <c r="K28" s="539"/>
      <c r="L28" s="2491"/>
      <c r="M28" s="2486"/>
      <c r="N28" s="2486"/>
      <c r="O28" s="2486"/>
      <c r="P28" s="341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6"/>
      <c r="Z28" s="1264" t="str">
        <f t="shared" ref="Z28:Z46" si="15">Q28</f>
        <v>楼层</v>
      </c>
      <c r="AA28" s="1264">
        <f t="shared" si="3"/>
        <v>1</v>
      </c>
      <c r="AB28" s="1264">
        <f t="shared" si="4"/>
        <v>1</v>
      </c>
      <c r="AC28" s="1264">
        <f t="shared" si="5"/>
        <v>1</v>
      </c>
    </row>
    <row r="29" spans="1:29" ht="15">
      <c r="A29" s="367"/>
      <c r="B29" s="3181" t="s">
        <v>3507</v>
      </c>
      <c r="C29" s="3170" t="s">
        <v>3596</v>
      </c>
      <c r="D29" s="374">
        <v>100</v>
      </c>
      <c r="E29" s="3170" t="s">
        <v>3597</v>
      </c>
      <c r="F29" s="400">
        <f>SUMIF(94:94,E29,95:95)-SUMIF(94:94,C29,95:95)+100</f>
        <v>105</v>
      </c>
      <c r="G29" s="3170" t="s">
        <v>3597</v>
      </c>
      <c r="H29" s="374">
        <f>SUMIF(94:94,G29,95:95)-SUMIF(94:94,C29,95:95)+100</f>
        <v>105</v>
      </c>
      <c r="I29" s="3170" t="s">
        <v>3597</v>
      </c>
      <c r="J29" s="374">
        <f>SUMIF(94:94,I29,95:95)-SUMIF(94:94,C29,95:95)+100</f>
        <v>105</v>
      </c>
      <c r="K29" s="539"/>
      <c r="L29" s="2491"/>
      <c r="M29" s="2486"/>
      <c r="N29" s="2486"/>
      <c r="O29" s="2486"/>
      <c r="P29" s="3413"/>
      <c r="Q29" s="1263" t="str">
        <f t="shared" si="11"/>
        <v>门前有无停车位</v>
      </c>
      <c r="R29" s="667" t="s">
        <v>14</v>
      </c>
      <c r="S29" s="668">
        <f t="shared" si="12"/>
        <v>105</v>
      </c>
      <c r="T29" s="667" t="s">
        <v>14</v>
      </c>
      <c r="U29" s="668">
        <f t="shared" si="13"/>
        <v>105</v>
      </c>
      <c r="V29" s="667" t="s">
        <v>14</v>
      </c>
      <c r="W29" s="668">
        <f t="shared" si="14"/>
        <v>105</v>
      </c>
      <c r="X29" s="1265"/>
      <c r="Y29" s="3406"/>
      <c r="Z29" s="1264" t="str">
        <f t="shared" si="15"/>
        <v>门前有无停车位</v>
      </c>
      <c r="AA29" s="1264">
        <f t="shared" si="3"/>
        <v>0.95238095238095233</v>
      </c>
      <c r="AB29" s="1264">
        <f t="shared" si="4"/>
        <v>0.95238095238095233</v>
      </c>
      <c r="AC29" s="1264">
        <f t="shared" si="5"/>
        <v>0.95238095238095233</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3"/>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3"/>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264">
        <f t="shared" si="5"/>
        <v>1</v>
      </c>
    </row>
    <row r="32" spans="1:29" ht="15">
      <c r="A32" s="379" t="s">
        <v>1694</v>
      </c>
      <c r="B32" s="60" t="s">
        <v>1784</v>
      </c>
      <c r="C32" s="1764" t="s">
        <v>3481</v>
      </c>
      <c r="D32" s="405">
        <v>100</v>
      </c>
      <c r="E32" s="1764" t="s">
        <v>3481</v>
      </c>
      <c r="F32" s="400">
        <f>SUMIF(100:100,E32,101:101)-SUMIF(100:100,C32,101:101)+100</f>
        <v>100</v>
      </c>
      <c r="G32" s="1764" t="s">
        <v>3481</v>
      </c>
      <c r="H32" s="374">
        <f>SUMIF(100:100,G32,101:101)-SUMIF(100:100,C32,101:101)+100</f>
        <v>100</v>
      </c>
      <c r="I32" s="1764" t="s">
        <v>3481</v>
      </c>
      <c r="J32" s="405">
        <f>SUMIF(100:100,I32,101:101)-SUMIF(100:100,C32,101:101)+100</f>
        <v>100</v>
      </c>
      <c r="K32" s="538">
        <v>2</v>
      </c>
      <c r="L32" s="2491"/>
      <c r="M32" s="2486"/>
      <c r="N32" s="2486"/>
      <c r="O32" s="2486"/>
      <c r="P32" s="3407" t="s">
        <v>1696</v>
      </c>
      <c r="Q32" s="1263" t="str">
        <f t="shared" si="11"/>
        <v>商业类型</v>
      </c>
      <c r="R32" s="667" t="s">
        <v>14</v>
      </c>
      <c r="S32" s="668">
        <f t="shared" si="12"/>
        <v>100</v>
      </c>
      <c r="T32" s="667" t="s">
        <v>14</v>
      </c>
      <c r="U32" s="668">
        <f t="shared" si="13"/>
        <v>100</v>
      </c>
      <c r="V32" s="667" t="s">
        <v>14</v>
      </c>
      <c r="W32" s="668">
        <f t="shared" si="14"/>
        <v>100</v>
      </c>
      <c r="X32" s="1265"/>
      <c r="Y32" s="341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659.55</v>
      </c>
      <c r="D33" s="119">
        <v>100</v>
      </c>
      <c r="E33" s="369">
        <v>520.76</v>
      </c>
      <c r="F33" s="364">
        <f>LOOKUP(E33,103:103,104:104)-LOOKUP(C33,103:103,104:104)+100</f>
        <v>100</v>
      </c>
      <c r="G33" s="368">
        <f>商业租赁合同!C10</f>
        <v>689</v>
      </c>
      <c r="H33" s="119">
        <f>LOOKUP(G33,103:103,104:104)-LOOKUP(C33,103:103,104:104)+100</f>
        <v>100</v>
      </c>
      <c r="I33" s="368">
        <f>商业租赁合同!C21</f>
        <v>571</v>
      </c>
      <c r="J33" s="119">
        <f>LOOKUP(I33,103:103,104:104)-LOOKUP(C33,103:103,104:104)+100</f>
        <v>100</v>
      </c>
      <c r="K33" s="539"/>
      <c r="L33" s="2490"/>
      <c r="M33" s="2492"/>
      <c r="N33" s="2492"/>
      <c r="O33" s="2492"/>
      <c r="P33" s="3408"/>
      <c r="Q33" s="531" t="str">
        <f t="shared" si="11"/>
        <v>项目建筑规模</v>
      </c>
      <c r="R33" s="669" t="s">
        <v>14</v>
      </c>
      <c r="S33" s="670">
        <f t="shared" si="12"/>
        <v>100</v>
      </c>
      <c r="T33" s="669" t="s">
        <v>14</v>
      </c>
      <c r="U33" s="670">
        <f t="shared" si="13"/>
        <v>100</v>
      </c>
      <c r="V33" s="669" t="s">
        <v>14</v>
      </c>
      <c r="W33" s="670">
        <f t="shared" si="14"/>
        <v>100</v>
      </c>
      <c r="X33" s="671"/>
      <c r="Y33" s="3410"/>
      <c r="Z33" s="672" t="str">
        <f t="shared" si="15"/>
        <v>项目建筑规模</v>
      </c>
      <c r="AA33" s="1264">
        <f t="shared" si="3"/>
        <v>1</v>
      </c>
      <c r="AB33" s="1264">
        <f t="shared" si="4"/>
        <v>1</v>
      </c>
      <c r="AC33" s="1264">
        <f t="shared" si="5"/>
        <v>1</v>
      </c>
    </row>
    <row r="34" spans="1:29" ht="15">
      <c r="A34" s="409"/>
      <c r="B34" s="364" t="s">
        <v>1698</v>
      </c>
      <c r="C34" s="399" t="s">
        <v>3483</v>
      </c>
      <c r="D34" s="374">
        <v>100</v>
      </c>
      <c r="E34" s="399" t="s">
        <v>3483</v>
      </c>
      <c r="F34" s="400">
        <f>SUMIF(105:105,E34,106:106)-SUMIF(105:105,C34,106:106)+100</f>
        <v>100</v>
      </c>
      <c r="G34" s="399" t="s">
        <v>3483</v>
      </c>
      <c r="H34" s="374">
        <f>SUMIF(105:105,G34,106:106)-SUMIF(105:105,C34,106:106)+100</f>
        <v>100</v>
      </c>
      <c r="I34" s="399" t="s">
        <v>3483</v>
      </c>
      <c r="J34" s="374">
        <f>SUMIF(105:105,I34,106:106)-SUMIF(105:105,C34,106:106)+100</f>
        <v>100</v>
      </c>
      <c r="K34" s="538">
        <v>2</v>
      </c>
      <c r="L34" s="2491"/>
      <c r="M34" s="2486"/>
      <c r="N34" s="2486"/>
      <c r="O34" s="2486"/>
      <c r="P34" s="3408"/>
      <c r="Q34" s="1263" t="str">
        <f t="shared" si="11"/>
        <v>建筑结构</v>
      </c>
      <c r="R34" s="667" t="s">
        <v>14</v>
      </c>
      <c r="S34" s="668">
        <f t="shared" si="12"/>
        <v>100</v>
      </c>
      <c r="T34" s="667" t="s">
        <v>14</v>
      </c>
      <c r="U34" s="668">
        <f t="shared" si="13"/>
        <v>100</v>
      </c>
      <c r="V34" s="667" t="s">
        <v>14</v>
      </c>
      <c r="W34" s="668">
        <f t="shared" si="14"/>
        <v>100</v>
      </c>
      <c r="X34" s="1265"/>
      <c r="Y34" s="341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8"/>
      <c r="Q35" s="1263" t="str">
        <f t="shared" si="11"/>
        <v>公共部分装修</v>
      </c>
      <c r="R35" s="667" t="s">
        <v>14</v>
      </c>
      <c r="S35" s="668">
        <f t="shared" si="12"/>
        <v>100</v>
      </c>
      <c r="T35" s="667" t="s">
        <v>14</v>
      </c>
      <c r="U35" s="668">
        <f t="shared" si="13"/>
        <v>100</v>
      </c>
      <c r="V35" s="667" t="s">
        <v>14</v>
      </c>
      <c r="W35" s="668">
        <f t="shared" si="14"/>
        <v>100</v>
      </c>
      <c r="X35" s="1265"/>
      <c r="Y35" s="3410"/>
      <c r="Z35" s="1264" t="str">
        <f t="shared" si="15"/>
        <v>公共部分装修</v>
      </c>
      <c r="AA35" s="1264">
        <f t="shared" si="3"/>
        <v>1</v>
      </c>
      <c r="AB35" s="1264">
        <f t="shared" si="4"/>
        <v>1</v>
      </c>
      <c r="AC35" s="1264">
        <f t="shared" si="5"/>
        <v>1</v>
      </c>
    </row>
    <row r="36" spans="1:29" ht="15">
      <c r="A36" s="409"/>
      <c r="B36" s="364" t="s">
        <v>1786</v>
      </c>
      <c r="C36" s="411">
        <f>'数据-取费表'!N6</f>
        <v>0.95</v>
      </c>
      <c r="D36" s="374">
        <v>100</v>
      </c>
      <c r="E36" s="411">
        <v>0.8</v>
      </c>
      <c r="F36" s="400">
        <f>LOOKUP(E36,110:110,111:111)-LOOKUP(C36,110:110,111:111)+100</f>
        <v>99</v>
      </c>
      <c r="G36" s="411">
        <f>C36</f>
        <v>0.95</v>
      </c>
      <c r="H36" s="400">
        <f>LOOKUP(G36,110:110,111:111)-LOOKUP(C36,110:110,111:111)+100</f>
        <v>100</v>
      </c>
      <c r="I36" s="411">
        <f>C36</f>
        <v>0.95</v>
      </c>
      <c r="J36" s="374">
        <f>LOOKUP(I36,110:110,111:111)-LOOKUP(C36,110:110,111:111)+100</f>
        <v>100</v>
      </c>
      <c r="K36" s="538">
        <v>1</v>
      </c>
      <c r="L36" s="2491"/>
      <c r="M36" s="2486"/>
      <c r="N36" s="2486"/>
      <c r="O36" s="2486"/>
      <c r="P36" s="3408"/>
      <c r="Q36" s="1263" t="str">
        <f t="shared" si="11"/>
        <v>成新度</v>
      </c>
      <c r="R36" s="667" t="s">
        <v>14</v>
      </c>
      <c r="S36" s="668">
        <f t="shared" si="12"/>
        <v>99</v>
      </c>
      <c r="T36" s="667" t="s">
        <v>14</v>
      </c>
      <c r="U36" s="668">
        <f t="shared" si="13"/>
        <v>100</v>
      </c>
      <c r="V36" s="667" t="s">
        <v>14</v>
      </c>
      <c r="W36" s="668">
        <f t="shared" si="14"/>
        <v>100</v>
      </c>
      <c r="X36" s="1265"/>
      <c r="Y36" s="3410"/>
      <c r="Z36" s="1264" t="str">
        <f t="shared" si="15"/>
        <v>成新度</v>
      </c>
      <c r="AA36" s="1264">
        <f t="shared" si="3"/>
        <v>1.0101010101010102</v>
      </c>
      <c r="AB36" s="1264">
        <f t="shared" si="4"/>
        <v>1</v>
      </c>
      <c r="AC36" s="1264">
        <f t="shared" si="5"/>
        <v>1</v>
      </c>
    </row>
    <row r="37" spans="1:29" s="102" customFormat="1" ht="15">
      <c r="A37" s="410"/>
      <c r="B37" s="364" t="s">
        <v>1787</v>
      </c>
      <c r="C37" s="1760" t="s">
        <v>3493</v>
      </c>
      <c r="D37" s="119">
        <v>100</v>
      </c>
      <c r="E37" s="1760" t="s">
        <v>3493</v>
      </c>
      <c r="F37" s="400">
        <f>SUMIF(112:112,E37,113:113)-SUMIF(112:112,C37,113:113)+100</f>
        <v>100</v>
      </c>
      <c r="G37" s="1760" t="s">
        <v>3493</v>
      </c>
      <c r="H37" s="374">
        <f>SUMIF(112:112,G37,113:113)-SUMIF(112:112,C37,113:113)+100</f>
        <v>100</v>
      </c>
      <c r="I37" s="1760" t="s">
        <v>3493</v>
      </c>
      <c r="J37" s="374">
        <f>SUMIF(112:112,I37,113:113)-SUMIF(112:112,C37,113:113)+100</f>
        <v>100</v>
      </c>
      <c r="K37" s="538">
        <v>1</v>
      </c>
      <c r="L37" s="2487"/>
      <c r="M37" s="2439"/>
      <c r="N37" s="2439"/>
      <c r="O37" s="2439"/>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08" t="s">
        <v>1696</v>
      </c>
      <c r="Q38" s="1263" t="str">
        <f t="shared" si="11"/>
        <v>业态</v>
      </c>
      <c r="R38" s="667" t="s">
        <v>14</v>
      </c>
      <c r="S38" s="668">
        <f t="shared" si="12"/>
        <v>100</v>
      </c>
      <c r="T38" s="667" t="s">
        <v>14</v>
      </c>
      <c r="U38" s="668">
        <f t="shared" si="13"/>
        <v>100</v>
      </c>
      <c r="V38" s="667" t="s">
        <v>14</v>
      </c>
      <c r="W38" s="668">
        <f t="shared" si="14"/>
        <v>100</v>
      </c>
      <c r="X38" s="1265"/>
      <c r="Y38" s="3410" t="s">
        <v>1696</v>
      </c>
      <c r="Z38" s="1264" t="str">
        <f t="shared" si="15"/>
        <v>业态</v>
      </c>
      <c r="AA38" s="1264">
        <f t="shared" si="3"/>
        <v>1</v>
      </c>
      <c r="AB38" s="1264">
        <f t="shared" si="4"/>
        <v>1</v>
      </c>
      <c r="AC38" s="1264">
        <f t="shared" si="5"/>
        <v>1</v>
      </c>
    </row>
    <row r="39" spans="1:29" ht="15">
      <c r="A39" s="409"/>
      <c r="B39" s="364" t="s">
        <v>1789</v>
      </c>
      <c r="C39" s="1760" t="s">
        <v>3532</v>
      </c>
      <c r="D39" s="374">
        <v>100</v>
      </c>
      <c r="E39" s="1760" t="s">
        <v>3532</v>
      </c>
      <c r="F39" s="400">
        <f>SUMIF(116:116,E39,117:117)-SUMIF(116:116,C39,117:117)+100</f>
        <v>100</v>
      </c>
      <c r="G39" s="1760" t="s">
        <v>3532</v>
      </c>
      <c r="H39" s="374">
        <f>SUMIF(116:116,G39,117:117)-SUMIF(116:116,C39,117:117)+100</f>
        <v>100</v>
      </c>
      <c r="I39" s="1760" t="s">
        <v>3532</v>
      </c>
      <c r="J39" s="374">
        <f>SUMIF(116:116,I39,117:117)-SUMIF(116:116,C39,117:117)+100</f>
        <v>100</v>
      </c>
      <c r="K39" s="538"/>
      <c r="L39" s="2491"/>
      <c r="M39" s="2486"/>
      <c r="N39" s="2486"/>
      <c r="O39" s="2486"/>
      <c r="P39" s="3408"/>
      <c r="Q39" s="1263" t="str">
        <f t="shared" si="11"/>
        <v>层高</v>
      </c>
      <c r="R39" s="667" t="s">
        <v>14</v>
      </c>
      <c r="S39" s="668">
        <f t="shared" si="12"/>
        <v>100</v>
      </c>
      <c r="T39" s="667" t="s">
        <v>14</v>
      </c>
      <c r="U39" s="668">
        <f t="shared" si="13"/>
        <v>100</v>
      </c>
      <c r="V39" s="667" t="s">
        <v>14</v>
      </c>
      <c r="W39" s="668">
        <f t="shared" si="14"/>
        <v>100</v>
      </c>
      <c r="X39" s="1265"/>
      <c r="Y39" s="341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8"/>
      <c r="Q40" s="1263" t="str">
        <f t="shared" si="11"/>
        <v>单套建筑面积</v>
      </c>
      <c r="R40" s="667" t="s">
        <v>14</v>
      </c>
      <c r="S40" s="668">
        <f t="shared" si="12"/>
        <v>100</v>
      </c>
      <c r="T40" s="667" t="s">
        <v>14</v>
      </c>
      <c r="U40" s="668">
        <f t="shared" si="13"/>
        <v>100</v>
      </c>
      <c r="V40" s="667" t="s">
        <v>14</v>
      </c>
      <c r="W40" s="668">
        <f t="shared" si="14"/>
        <v>100</v>
      </c>
      <c r="X40" s="1265"/>
      <c r="Y40" s="341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4">
        <f t="shared" si="3"/>
        <v>1</v>
      </c>
      <c r="AB41" s="1264">
        <f t="shared" si="4"/>
        <v>1</v>
      </c>
      <c r="AC41" s="1264">
        <f t="shared" si="5"/>
        <v>1</v>
      </c>
    </row>
    <row r="42" spans="1:29" ht="15">
      <c r="A42" s="409"/>
      <c r="B42" s="364" t="s">
        <v>1792</v>
      </c>
      <c r="C42" s="1760" t="s">
        <v>3490</v>
      </c>
      <c r="D42" s="374">
        <v>100</v>
      </c>
      <c r="E42" s="1760" t="s">
        <v>3486</v>
      </c>
      <c r="F42" s="400">
        <f>SUMIF(122:122,E42,123:123)-SUMIF(122:122,C42,123:123)+100</f>
        <v>104</v>
      </c>
      <c r="G42" s="1760" t="s">
        <v>3490</v>
      </c>
      <c r="H42" s="374">
        <f>SUMIF(122:122,G42,123:123)-SUMIF(122:122,C42,123:123)+100</f>
        <v>100</v>
      </c>
      <c r="I42" s="1760" t="s">
        <v>3490</v>
      </c>
      <c r="J42" s="374">
        <f>SUMIF(122:122,I42,123:123)-SUMIF(122:122,C42,123:123)+100</f>
        <v>100</v>
      </c>
      <c r="K42" s="538">
        <v>2</v>
      </c>
      <c r="L42" s="2491"/>
      <c r="M42" s="2486"/>
      <c r="N42" s="2486"/>
      <c r="O42" s="2486"/>
      <c r="P42" s="3408"/>
      <c r="Q42" s="1263" t="str">
        <f t="shared" si="11"/>
        <v>内部装修</v>
      </c>
      <c r="R42" s="667" t="s">
        <v>14</v>
      </c>
      <c r="S42" s="668">
        <f t="shared" si="12"/>
        <v>104</v>
      </c>
      <c r="T42" s="667" t="s">
        <v>14</v>
      </c>
      <c r="U42" s="668">
        <f t="shared" si="13"/>
        <v>100</v>
      </c>
      <c r="V42" s="667" t="s">
        <v>14</v>
      </c>
      <c r="W42" s="668">
        <f t="shared" si="14"/>
        <v>100</v>
      </c>
      <c r="X42" s="1265"/>
      <c r="Y42" s="3410"/>
      <c r="Z42" s="1264" t="str">
        <f t="shared" si="15"/>
        <v>内部装修</v>
      </c>
      <c r="AA42" s="1264">
        <f t="shared" si="3"/>
        <v>0.96153846153846156</v>
      </c>
      <c r="AB42" s="1264">
        <f t="shared" si="4"/>
        <v>1</v>
      </c>
      <c r="AC42" s="1264">
        <f t="shared" si="5"/>
        <v>1</v>
      </c>
    </row>
    <row r="43" spans="1:29" ht="28.8">
      <c r="A43" s="409"/>
      <c r="B43" s="364" t="s">
        <v>1707</v>
      </c>
      <c r="C43" s="1760" t="s">
        <v>3469</v>
      </c>
      <c r="D43" s="374">
        <v>100</v>
      </c>
      <c r="E43" s="1760" t="s">
        <v>3469</v>
      </c>
      <c r="F43" s="400">
        <f>SUMIF(124:124,E43,125:125)-SUMIF(124:124,C43,125:125)+100</f>
        <v>100</v>
      </c>
      <c r="G43" s="1760" t="s">
        <v>3469</v>
      </c>
      <c r="H43" s="374">
        <f>SUMIF(124:124,G43,125:125)-SUMIF(124:124,C43,125:125)+100</f>
        <v>100</v>
      </c>
      <c r="I43" s="1760" t="s">
        <v>3469</v>
      </c>
      <c r="J43" s="374">
        <f>SUMIF(124:124,I43,125:125)-SUMIF(124:124,C43,125:125)+100</f>
        <v>100</v>
      </c>
      <c r="K43" s="538">
        <v>2</v>
      </c>
      <c r="L43" s="2491"/>
      <c r="M43" s="2486"/>
      <c r="N43" s="2486"/>
      <c r="O43" s="2486"/>
      <c r="P43" s="3408"/>
      <c r="Q43" s="1263" t="str">
        <f t="shared" si="11"/>
        <v>内部装修维护情况</v>
      </c>
      <c r="R43" s="667" t="s">
        <v>14</v>
      </c>
      <c r="S43" s="668">
        <f t="shared" si="12"/>
        <v>100</v>
      </c>
      <c r="T43" s="667" t="s">
        <v>14</v>
      </c>
      <c r="U43" s="668">
        <f t="shared" si="13"/>
        <v>100</v>
      </c>
      <c r="V43" s="667" t="s">
        <v>14</v>
      </c>
      <c r="W43" s="668">
        <f t="shared" si="14"/>
        <v>100</v>
      </c>
      <c r="X43" s="1265"/>
      <c r="Y43" s="3410"/>
      <c r="Z43" s="1264" t="str">
        <f t="shared" si="15"/>
        <v>内部装修维护情况</v>
      </c>
      <c r="AA43" s="1264">
        <f t="shared" si="3"/>
        <v>1</v>
      </c>
      <c r="AB43" s="1264">
        <f t="shared" si="4"/>
        <v>1</v>
      </c>
      <c r="AC43" s="1264">
        <f t="shared" si="5"/>
        <v>1</v>
      </c>
    </row>
    <row r="44" spans="1:29" s="102" customFormat="1" ht="15">
      <c r="A44" s="410"/>
      <c r="B44" s="3178"/>
      <c r="C44" s="3169"/>
      <c r="D44" s="119">
        <v>100</v>
      </c>
      <c r="E44" s="3170"/>
      <c r="F44" s="364">
        <f>SUMIF(126:126,E44,127:127)-SUMIF(126:126,C44,127:127)+100</f>
        <v>100</v>
      </c>
      <c r="G44" s="3170"/>
      <c r="H44" s="119">
        <f>SUMIF(126:126,G44,127:127)-SUMIF(126:126,C44,127:127)+100</f>
        <v>100</v>
      </c>
      <c r="I44" s="3170"/>
      <c r="J44" s="119">
        <f>SUMIF(126:126,I44,127:127)-SUMIF(126:126,C44,127:127)+100</f>
        <v>100</v>
      </c>
      <c r="K44" s="539"/>
      <c r="L44" s="2487"/>
      <c r="M44" s="2439"/>
      <c r="N44" s="2439"/>
      <c r="O44" s="2439"/>
      <c r="P44" s="3408"/>
      <c r="Q44" s="530">
        <f t="shared" si="11"/>
        <v>0</v>
      </c>
      <c r="R44" s="664" t="s">
        <v>14</v>
      </c>
      <c r="S44" s="665">
        <f t="shared" si="12"/>
        <v>100</v>
      </c>
      <c r="T44" s="664" t="s">
        <v>14</v>
      </c>
      <c r="U44" s="665">
        <f t="shared" si="13"/>
        <v>100</v>
      </c>
      <c r="V44" s="664" t="s">
        <v>14</v>
      </c>
      <c r="W44" s="665">
        <f t="shared" si="14"/>
        <v>100</v>
      </c>
      <c r="X44" s="666"/>
      <c r="Y44" s="3410"/>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8"/>
      <c r="Q45" s="1263">
        <f t="shared" si="11"/>
        <v>111</v>
      </c>
      <c r="R45" s="667" t="s">
        <v>14</v>
      </c>
      <c r="S45" s="668">
        <f t="shared" si="12"/>
        <v>100</v>
      </c>
      <c r="T45" s="667" t="s">
        <v>14</v>
      </c>
      <c r="U45" s="668">
        <f t="shared" si="13"/>
        <v>100</v>
      </c>
      <c r="V45" s="667" t="s">
        <v>14</v>
      </c>
      <c r="W45" s="668">
        <f t="shared" si="14"/>
        <v>100</v>
      </c>
      <c r="X45" s="1265"/>
      <c r="Y45" s="3410"/>
      <c r="Z45" s="1264">
        <f t="shared" si="15"/>
        <v>111</v>
      </c>
      <c r="AA45" s="1264">
        <f t="shared" si="3"/>
        <v>1</v>
      </c>
      <c r="AB45" s="1264">
        <f t="shared" si="4"/>
        <v>1</v>
      </c>
      <c r="AC45" s="1264">
        <f t="shared" si="5"/>
        <v>1</v>
      </c>
    </row>
    <row r="46" spans="1:29" ht="29.4" thickBot="1">
      <c r="A46" s="415"/>
      <c r="B46" s="1749">
        <v>111</v>
      </c>
      <c r="C46" s="3179" t="s">
        <v>3587</v>
      </c>
      <c r="D46" s="377">
        <v>100</v>
      </c>
      <c r="E46" s="3170" t="s">
        <v>3593</v>
      </c>
      <c r="F46" s="378">
        <f>SUMIF(130:130,E46,131:131)-SUMIF(130:130,C46,131:131)+100</f>
        <v>100</v>
      </c>
      <c r="G46" s="3170" t="s">
        <v>3582</v>
      </c>
      <c r="H46" s="377">
        <f>SUMIF(130:130,G46,131:131)-SUMIF(130:130,C46,131:131)+100</f>
        <v>100</v>
      </c>
      <c r="I46" s="3170" t="s">
        <v>3583</v>
      </c>
      <c r="J46" s="377">
        <f>SUMIF(130:130,I46,131:131)-SUMIF(130:130,C46,131:131)+100</f>
        <v>100</v>
      </c>
      <c r="K46" s="539"/>
      <c r="L46" s="2491"/>
      <c r="M46" s="2486"/>
      <c r="N46" s="2486"/>
      <c r="O46" s="2486"/>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264">
        <f t="shared" si="5"/>
        <v>1</v>
      </c>
    </row>
    <row r="47" spans="1:29" ht="14.4">
      <c r="A47" s="416" t="s">
        <v>1708</v>
      </c>
      <c r="B47" s="417"/>
      <c r="C47" s="1081" t="s">
        <v>0</v>
      </c>
      <c r="D47" s="418"/>
      <c r="E47" s="419">
        <v>9</v>
      </c>
      <c r="F47" s="420"/>
      <c r="G47" s="421">
        <f>商业租赁合同!J14</f>
        <v>8</v>
      </c>
      <c r="H47" s="422"/>
      <c r="I47" s="419">
        <f>商业租赁合同!G27</f>
        <v>7.9</v>
      </c>
      <c r="J47" s="422"/>
      <c r="K47" s="674"/>
      <c r="L47" s="2493"/>
      <c r="M47" s="2486"/>
      <c r="N47" s="2486"/>
      <c r="O47" s="2486"/>
      <c r="P47" s="3403" t="str">
        <f>A47</f>
        <v>成交单价（元/平方米）</v>
      </c>
      <c r="Q47" s="3403"/>
      <c r="R47" s="3404">
        <f>E47</f>
        <v>9</v>
      </c>
      <c r="S47" s="3404"/>
      <c r="T47" s="3404">
        <f>G47</f>
        <v>8</v>
      </c>
      <c r="U47" s="3404"/>
      <c r="V47" s="3404">
        <f>I47</f>
        <v>7.9</v>
      </c>
      <c r="W47" s="3404"/>
      <c r="X47" s="385"/>
      <c r="Y47" s="673"/>
      <c r="Z47" s="385"/>
      <c r="AA47" s="385"/>
      <c r="AB47" s="385"/>
      <c r="AC47" s="385"/>
    </row>
    <row r="48" spans="1:29" ht="15" thickBot="1">
      <c r="A48" s="423" t="s">
        <v>1793</v>
      </c>
      <c r="B48" s="424"/>
      <c r="C48" s="1082">
        <f>R49</f>
        <v>7.6</v>
      </c>
      <c r="D48" s="2141" t="s">
        <v>2135</v>
      </c>
      <c r="E48" s="1083">
        <f>R48</f>
        <v>7.1</v>
      </c>
      <c r="F48" s="2142"/>
      <c r="G48" s="1082">
        <f>T48</f>
        <v>7.9</v>
      </c>
      <c r="H48" s="2142"/>
      <c r="I48" s="1083">
        <f>V48</f>
        <v>7.8</v>
      </c>
      <c r="J48" s="2142"/>
      <c r="K48" s="2144">
        <f>F48+H48+J48</f>
        <v>0</v>
      </c>
      <c r="L48" s="2493"/>
      <c r="M48" s="2486"/>
      <c r="N48" s="2486"/>
      <c r="O48" s="2486"/>
      <c r="P48" s="3403" t="str">
        <f>A48</f>
        <v>比较价值（元/平方米）</v>
      </c>
      <c r="Q48" s="3403"/>
      <c r="R48" s="3404">
        <f>IF(F1="售价",ROUND(PRODUCT(R47,AA7:AA46),0),ROUND(PRODUCT(R47,AA7:AA46),1))</f>
        <v>7.1</v>
      </c>
      <c r="S48" s="3404"/>
      <c r="T48" s="3404">
        <f>IF(F1="售价",ROUND(PRODUCT(T47,AB7:AB46),0),ROUND(PRODUCT(T47,AB7:AB46),1))</f>
        <v>7.9</v>
      </c>
      <c r="U48" s="3404"/>
      <c r="V48" s="3404">
        <f>IF(F1="售价",ROUND(PRODUCT(V47,AC7:AC46),0),ROUND(PRODUCT(V47,AC7:AC46),1))</f>
        <v>7.8</v>
      </c>
      <c r="W48" s="3404"/>
      <c r="X48" s="385"/>
      <c r="Y48" s="385"/>
      <c r="Z48" s="385"/>
      <c r="AA48" s="385"/>
      <c r="AB48" s="385"/>
      <c r="AC48" s="385"/>
    </row>
    <row r="49" spans="1:29" ht="15" thickBot="1">
      <c r="A49" s="427" t="s">
        <v>1794</v>
      </c>
      <c r="B49" s="428"/>
      <c r="C49" s="351">
        <f>R49</f>
        <v>7.6</v>
      </c>
      <c r="D49" s="351"/>
      <c r="E49" s="351"/>
      <c r="F49" s="351"/>
      <c r="G49" s="351"/>
      <c r="H49" s="351"/>
      <c r="I49" s="351"/>
      <c r="J49" s="351"/>
      <c r="K49" s="675"/>
      <c r="L49" s="2493"/>
      <c r="M49" s="2486"/>
      <c r="N49" s="2486"/>
      <c r="O49" s="2486"/>
      <c r="P49" s="3400" t="str">
        <f>A49</f>
        <v>估价对象XX用房的比较价值（楼面单价，元/平方米）</v>
      </c>
      <c r="Q49" s="3401"/>
      <c r="R49" s="3402">
        <f>IF(F1="售价",ROUND(IF(D48="简单平均",AVERAGE(R48:V48),R48*F48+T48*H48+V48*J48),0),ROUND(IF(D48="简单平均",AVERAGE(R48:V48),R48*F48+T48*H48+V48*J48),1))</f>
        <v>7.6</v>
      </c>
      <c r="S49" s="3402"/>
      <c r="T49" s="3402"/>
      <c r="U49" s="3402"/>
      <c r="V49" s="3402"/>
      <c r="W49" s="340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0.26760563380281699</v>
      </c>
      <c r="F52" s="435" t="str">
        <f>IF(OR(E52&gt;=0.3,E52&lt;=-0.3),"超过30%","")</f>
        <v/>
      </c>
      <c r="G52" s="434">
        <f>IF(G47&lt;G48,G48/G47-1,G47/G48-1)</f>
        <v>1.2658227848101111E-2</v>
      </c>
      <c r="H52" s="435" t="str">
        <f>IF(OR(G52&gt;=0.3,G52&lt;=-0.3),"超过30%","")</f>
        <v/>
      </c>
      <c r="I52" s="434">
        <f>IF(I47&lt;I48,I48/I47-1,I47/I48-1)</f>
        <v>1.2820512820512997E-2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0.11267605633802824</v>
      </c>
      <c r="F53" s="435" t="str">
        <f>IF(OR(E53&gt;=0.2,E53&lt;=-0.2),"超过20%","")</f>
        <v/>
      </c>
      <c r="G53" s="434">
        <f>IF(G48&lt;I48,I48/G48-1,G48/I48-1)</f>
        <v>1.2820512820512997E-2</v>
      </c>
      <c r="H53" s="435" t="str">
        <f>IF(OR(G53&gt;=0.2,G53&lt;=-0.2),"超过20%","")</f>
        <v/>
      </c>
      <c r="I53" s="434">
        <f>IF(I48&lt;E48,E48/I48-1,I48/E48-1)</f>
        <v>9.8591549295774739E-2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0.125</v>
      </c>
      <c r="F54" s="435" t="str">
        <f>IF(OR(E54&gt;=0.3,E54&lt;=-0.3),"超过30%","")</f>
        <v/>
      </c>
      <c r="G54" s="434">
        <f>IF(G47&lt;I47,I47/G47-1,G47/I47-1)</f>
        <v>1.2658227848101111E-2</v>
      </c>
      <c r="H54" s="435" t="str">
        <f>IF(OR(G54&gt;=0.3,G54&lt;=-0.3),"超过30%","")</f>
        <v/>
      </c>
      <c r="I54" s="434">
        <f>IF(I47&lt;E47,E47/I47-1,I47/E47-1)</f>
        <v>0.13924050632911378</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1" t="s">
        <v>3581</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3463</v>
      </c>
      <c r="D65" s="513" t="s">
        <v>3464</v>
      </c>
      <c r="E65" s="513" t="s">
        <v>3465</v>
      </c>
      <c r="F65" s="513" t="s">
        <v>3466</v>
      </c>
      <c r="G65" s="513" t="s">
        <v>3467</v>
      </c>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95</v>
      </c>
      <c r="E79" s="475">
        <f>D79-$K17</f>
        <v>90</v>
      </c>
      <c r="F79" s="475">
        <f>E79-$K17</f>
        <v>85</v>
      </c>
      <c r="G79" s="475">
        <f>F79-$K17</f>
        <v>80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95</v>
      </c>
      <c r="E81" s="475">
        <f>D81-$K19</f>
        <v>90</v>
      </c>
      <c r="F81" s="475">
        <f>E81-$K19</f>
        <v>85</v>
      </c>
      <c r="G81" s="475">
        <f>F81-$K19</f>
        <v>80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62" t="s">
        <v>3509</v>
      </c>
      <c r="D86" s="3162" t="s">
        <v>3511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62" t="s">
        <v>3468</v>
      </c>
      <c r="D88" s="3162" t="s">
        <v>3470</v>
      </c>
      <c r="E88" s="3162" t="s">
        <v>3472</v>
      </c>
      <c r="F88" s="3163" t="s">
        <v>3473</v>
      </c>
      <c r="G88" s="3162" t="s">
        <v>3474</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62" t="s">
        <v>3475</v>
      </c>
      <c r="D90" s="3162" t="s">
        <v>3476</v>
      </c>
      <c r="E90" s="3162" t="s">
        <v>3472</v>
      </c>
      <c r="F90" s="3162" t="s">
        <v>3478</v>
      </c>
      <c r="G90" s="3162" t="s">
        <v>3479</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3480</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门前有无停车位</v>
      </c>
      <c r="C94" s="3162" t="s">
        <v>3597</v>
      </c>
      <c r="D94" s="3162" t="s">
        <v>3596</v>
      </c>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v>95</v>
      </c>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64" t="s">
        <v>3482</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0(含)-50</v>
      </c>
      <c r="D102" s="509" t="str">
        <f t="shared" ref="D102:L102" si="24">D103&amp;"(含)"&amp;"-"&amp;E103</f>
        <v>50(含)-100</v>
      </c>
      <c r="E102" s="509" t="str">
        <f t="shared" si="24"/>
        <v>100(含)-300</v>
      </c>
      <c r="F102" s="509" t="str">
        <f t="shared" si="24"/>
        <v>300(含)-500</v>
      </c>
      <c r="G102" s="509" t="str">
        <f t="shared" si="24"/>
        <v>500(含)-700</v>
      </c>
      <c r="H102" s="509" t="str">
        <f t="shared" si="24"/>
        <v>700(含)-1000</v>
      </c>
      <c r="I102" s="509" t="str">
        <f t="shared" si="24"/>
        <v>1000(含)-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300</v>
      </c>
      <c r="G103" s="6">
        <v>500</v>
      </c>
      <c r="H103" s="6">
        <v>700</v>
      </c>
      <c r="I103" s="6">
        <v>1000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2"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2" t="s">
        <v>3485</v>
      </c>
      <c r="D107" s="3162" t="s">
        <v>3487</v>
      </c>
      <c r="E107" s="3162" t="s">
        <v>3489</v>
      </c>
      <c r="F107" s="3165" t="s">
        <v>3491</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2" t="s">
        <v>3492</v>
      </c>
      <c r="D112" s="3162" t="s">
        <v>3494</v>
      </c>
      <c r="E112" s="3162" t="s">
        <v>3495</v>
      </c>
      <c r="F112" s="3162" t="s">
        <v>3496</v>
      </c>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2" t="s">
        <v>3497</v>
      </c>
      <c r="D114" s="3162"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2" t="s">
        <v>3594</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2" t="s">
        <v>3485</v>
      </c>
      <c r="D122" s="3162" t="s">
        <v>3487</v>
      </c>
      <c r="E122" s="3162" t="s">
        <v>3489</v>
      </c>
      <c r="F122" s="3165" t="s">
        <v>3491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0</v>
      </c>
      <c r="C126" s="3162" t="s">
        <v>3505</v>
      </c>
      <c r="D126" s="3162" t="s">
        <v>3506</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 thickBot="1">
      <c r="A127" s="484"/>
      <c r="B127" s="474"/>
      <c r="C127" s="491">
        <v>100</v>
      </c>
      <c r="D127" s="3168">
        <v>95</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M56"/>
  <sheetViews>
    <sheetView topLeftCell="A40" workbookViewId="0">
      <selection activeCell="E37" sqref="E37"/>
    </sheetView>
  </sheetViews>
  <sheetFormatPr defaultRowHeight="14.4"/>
  <cols>
    <col min="1" max="1" width="17" style="3157" customWidth="1"/>
    <col min="2" max="2" width="21.44140625" style="3158" customWidth="1"/>
    <col min="5" max="5" width="14" customWidth="1"/>
    <col min="6" max="6" width="13.44140625" customWidth="1"/>
    <col min="7" max="7" width="13.88671875" customWidth="1"/>
    <col min="9" max="9" width="12" customWidth="1"/>
    <col min="10" max="10" width="12.109375" customWidth="1"/>
    <col min="11" max="12" width="10.44140625" bestFit="1" customWidth="1"/>
  </cols>
  <sheetData>
    <row r="1" spans="1:13">
      <c r="A1" s="3157" t="s">
        <v>3441</v>
      </c>
      <c r="B1" s="3157" t="s">
        <v>3408</v>
      </c>
      <c r="C1" s="1405" t="s">
        <v>3407</v>
      </c>
      <c r="D1" s="1405" t="s">
        <v>2540</v>
      </c>
      <c r="E1" s="1405" t="s">
        <v>3409</v>
      </c>
      <c r="G1" s="1405" t="s">
        <v>3410</v>
      </c>
      <c r="H1" s="1405" t="s">
        <v>3423</v>
      </c>
      <c r="I1" s="1405" t="s">
        <v>3443</v>
      </c>
      <c r="J1" s="1405" t="s">
        <v>3539</v>
      </c>
    </row>
    <row r="2" spans="1:13" ht="28.8">
      <c r="A2" s="3157" t="s">
        <v>3442</v>
      </c>
      <c r="B2" s="3157" t="s">
        <v>3421</v>
      </c>
      <c r="C2">
        <v>598.75</v>
      </c>
      <c r="D2" s="1405" t="s">
        <v>3422</v>
      </c>
      <c r="G2" s="3173">
        <v>8.26</v>
      </c>
      <c r="H2">
        <v>150430.95000000001</v>
      </c>
      <c r="I2" s="3152">
        <v>45308</v>
      </c>
      <c r="J2" s="3152">
        <v>45677</v>
      </c>
      <c r="K2" s="3152">
        <v>47502</v>
      </c>
      <c r="L2" s="1405" t="s">
        <v>3540</v>
      </c>
    </row>
    <row r="9" spans="1:13">
      <c r="A9" s="3157" t="s">
        <v>3441</v>
      </c>
      <c r="B9" s="3157" t="s">
        <v>3408</v>
      </c>
      <c r="C9" s="1405" t="s">
        <v>3407</v>
      </c>
      <c r="D9" s="1405" t="s">
        <v>2540</v>
      </c>
      <c r="E9" s="1405" t="s">
        <v>3409</v>
      </c>
      <c r="G9" s="1405" t="s">
        <v>654</v>
      </c>
      <c r="H9" s="1405" t="s">
        <v>3423</v>
      </c>
    </row>
    <row r="10" spans="1:13" ht="28.8">
      <c r="A10" s="3157" t="s">
        <v>3444</v>
      </c>
      <c r="B10" s="3157" t="s">
        <v>3424</v>
      </c>
      <c r="C10">
        <v>689</v>
      </c>
      <c r="D10" s="1405" t="s">
        <v>3422</v>
      </c>
      <c r="E10" s="3152">
        <v>45078</v>
      </c>
      <c r="F10" s="3152">
        <v>46904</v>
      </c>
      <c r="H10">
        <v>165360</v>
      </c>
      <c r="I10" s="1405" t="s">
        <v>3425</v>
      </c>
    </row>
    <row r="11" spans="1:13">
      <c r="E11" s="1405" t="s">
        <v>3428</v>
      </c>
      <c r="G11" s="1405" t="s">
        <v>3429</v>
      </c>
      <c r="H11" s="1405" t="s">
        <v>3430</v>
      </c>
      <c r="I11" s="1405" t="s">
        <v>3420</v>
      </c>
      <c r="J11" s="1405" t="s">
        <v>3538</v>
      </c>
    </row>
    <row r="12" spans="1:13">
      <c r="E12" s="3152">
        <v>45078</v>
      </c>
      <c r="F12" s="3152">
        <v>45291</v>
      </c>
      <c r="G12">
        <v>240</v>
      </c>
      <c r="H12">
        <v>7</v>
      </c>
      <c r="I12">
        <v>661440</v>
      </c>
      <c r="J12" s="3172">
        <f>I12/$C$10/(H12-3)/30</f>
        <v>8</v>
      </c>
      <c r="K12" s="3152">
        <v>45078</v>
      </c>
      <c r="L12" s="3152">
        <v>45169</v>
      </c>
      <c r="M12" s="1405" t="s">
        <v>3445</v>
      </c>
    </row>
    <row r="13" spans="1:13">
      <c r="E13" s="3152">
        <v>45292</v>
      </c>
      <c r="F13" s="3152">
        <v>45657</v>
      </c>
      <c r="G13">
        <v>240</v>
      </c>
      <c r="H13">
        <v>12</v>
      </c>
      <c r="I13">
        <v>1984320</v>
      </c>
      <c r="J13" s="3172">
        <f t="shared" ref="J13:J17" si="0">I13/$C$10/H13/30</f>
        <v>8</v>
      </c>
    </row>
    <row r="14" spans="1:13">
      <c r="E14" s="3152">
        <v>45658</v>
      </c>
      <c r="F14" s="3152">
        <v>46022</v>
      </c>
      <c r="G14">
        <v>240</v>
      </c>
      <c r="H14">
        <v>12</v>
      </c>
      <c r="I14">
        <v>1984320</v>
      </c>
      <c r="J14" s="3172">
        <f t="shared" si="0"/>
        <v>8</v>
      </c>
    </row>
    <row r="15" spans="1:13">
      <c r="E15" s="3152">
        <v>46023</v>
      </c>
      <c r="F15" s="3152">
        <v>46387</v>
      </c>
      <c r="G15" s="1405" t="s">
        <v>3426</v>
      </c>
      <c r="H15">
        <v>12</v>
      </c>
      <c r="I15" s="3154">
        <v>2053771.2</v>
      </c>
      <c r="J15" s="3172">
        <f t="shared" si="0"/>
        <v>8.2799999999999994</v>
      </c>
    </row>
    <row r="16" spans="1:13">
      <c r="E16" s="3152">
        <v>46388</v>
      </c>
      <c r="F16" s="3152">
        <v>46752</v>
      </c>
      <c r="G16" s="1405">
        <v>254.4</v>
      </c>
      <c r="H16" s="1405">
        <v>12</v>
      </c>
      <c r="I16" s="3154">
        <v>2103379.2000000002</v>
      </c>
      <c r="J16" s="3172">
        <f t="shared" si="0"/>
        <v>8.48</v>
      </c>
    </row>
    <row r="17" spans="1:11">
      <c r="E17" s="3152">
        <v>46753</v>
      </c>
      <c r="F17" s="3152">
        <v>46904</v>
      </c>
      <c r="G17" s="1405">
        <v>254.4</v>
      </c>
      <c r="H17" s="1405">
        <v>5</v>
      </c>
      <c r="I17">
        <v>876408</v>
      </c>
      <c r="J17" s="3172">
        <f t="shared" si="0"/>
        <v>8.48</v>
      </c>
    </row>
    <row r="20" spans="1:11">
      <c r="A20" s="3157" t="s">
        <v>3441</v>
      </c>
      <c r="B20" s="3157" t="s">
        <v>3408</v>
      </c>
      <c r="C20" s="1405" t="s">
        <v>3407</v>
      </c>
      <c r="D20" s="1405" t="s">
        <v>2540</v>
      </c>
      <c r="E20" s="1405" t="s">
        <v>3409</v>
      </c>
      <c r="G20" s="1405" t="s">
        <v>654</v>
      </c>
      <c r="H20" s="1405" t="s">
        <v>3423</v>
      </c>
      <c r="I20" s="1405" t="s">
        <v>3433</v>
      </c>
    </row>
    <row r="21" spans="1:11" ht="43.2">
      <c r="A21" s="3157" t="s">
        <v>3446</v>
      </c>
      <c r="B21" s="3157" t="s">
        <v>3431</v>
      </c>
      <c r="C21">
        <v>571</v>
      </c>
      <c r="D21" s="1405" t="s">
        <v>3422</v>
      </c>
      <c r="E21" s="3152">
        <v>45108</v>
      </c>
      <c r="F21" s="3152">
        <v>46934</v>
      </c>
      <c r="G21" s="1405">
        <v>7.9</v>
      </c>
      <c r="I21" s="1405" t="s">
        <v>3434</v>
      </c>
    </row>
    <row r="22" spans="1:11">
      <c r="E22" s="3152">
        <v>45108</v>
      </c>
      <c r="F22" s="3152">
        <v>45199</v>
      </c>
      <c r="G22" s="1405" t="s">
        <v>3432</v>
      </c>
    </row>
    <row r="24" spans="1:11">
      <c r="E24" s="1405" t="s">
        <v>3435</v>
      </c>
      <c r="G24" s="1405" t="s">
        <v>3436</v>
      </c>
      <c r="H24" s="1405" t="s">
        <v>3437</v>
      </c>
      <c r="I24" s="1405" t="s">
        <v>3438</v>
      </c>
      <c r="J24" s="1405" t="s">
        <v>3439</v>
      </c>
    </row>
    <row r="25" spans="1:11">
      <c r="E25" s="3152">
        <v>45108</v>
      </c>
      <c r="F25" s="3152">
        <v>45291</v>
      </c>
      <c r="G25">
        <v>7.9</v>
      </c>
      <c r="H25">
        <v>92</v>
      </c>
      <c r="I25">
        <v>415002.8</v>
      </c>
      <c r="J25">
        <v>380736.51</v>
      </c>
    </row>
    <row r="26" spans="1:11">
      <c r="E26" s="3152">
        <v>45292</v>
      </c>
      <c r="F26" s="3152">
        <v>45657</v>
      </c>
      <c r="G26">
        <v>7.9</v>
      </c>
      <c r="H26">
        <v>365</v>
      </c>
      <c r="I26">
        <v>1646478.5</v>
      </c>
      <c r="J26">
        <v>1510530.73</v>
      </c>
    </row>
    <row r="27" spans="1:11">
      <c r="E27" s="3152">
        <v>45658</v>
      </c>
      <c r="F27" s="3152">
        <v>46022</v>
      </c>
      <c r="G27" s="3173">
        <v>7.9</v>
      </c>
    </row>
    <row r="28" spans="1:11">
      <c r="E28" s="3152">
        <v>46023</v>
      </c>
      <c r="F28" s="3152">
        <v>46387</v>
      </c>
      <c r="G28" s="1405" t="s">
        <v>3440</v>
      </c>
      <c r="H28">
        <v>365</v>
      </c>
      <c r="I28">
        <v>1712878.95</v>
      </c>
      <c r="J28" s="3154">
        <v>1571448.59</v>
      </c>
    </row>
    <row r="29" spans="1:11">
      <c r="E29" s="3152">
        <v>46388</v>
      </c>
      <c r="F29" s="3152">
        <v>46752</v>
      </c>
      <c r="G29" s="1405">
        <v>8.532</v>
      </c>
      <c r="H29" s="1405">
        <v>365</v>
      </c>
      <c r="I29" s="1405">
        <v>1778196.78</v>
      </c>
      <c r="J29" s="1405">
        <v>1631373.19</v>
      </c>
      <c r="K29">
        <f>G29/G27</f>
        <v>1.0799999999999998</v>
      </c>
    </row>
    <row r="30" spans="1:11">
      <c r="E30" s="3152">
        <v>46753</v>
      </c>
      <c r="F30" s="3152">
        <v>46934</v>
      </c>
      <c r="G30" s="1405">
        <v>8.532</v>
      </c>
      <c r="H30" s="1405">
        <v>182</v>
      </c>
      <c r="I30" s="1405">
        <v>886662.5</v>
      </c>
      <c r="J30" s="1405">
        <v>813451.84</v>
      </c>
    </row>
    <row r="36" spans="3:7">
      <c r="D36" s="1405" t="s">
        <v>3389</v>
      </c>
      <c r="E36" s="1405" t="s">
        <v>3577</v>
      </c>
      <c r="F36" s="1405" t="s">
        <v>3578</v>
      </c>
    </row>
    <row r="37" spans="3:7">
      <c r="C37" s="1405" t="s">
        <v>3576</v>
      </c>
      <c r="D37">
        <v>550</v>
      </c>
      <c r="E37">
        <v>3.6</v>
      </c>
      <c r="F37" s="1405" t="s">
        <v>3579</v>
      </c>
      <c r="G37" s="1405" t="s">
        <v>3580</v>
      </c>
    </row>
    <row r="55" spans="8:8">
      <c r="H55" s="1405"/>
    </row>
    <row r="56" spans="8:8">
      <c r="H56" s="1405"/>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25" zoomScale="70" zoomScaleNormal="70" zoomScaleSheetLayoutView="70" workbookViewId="0">
      <selection activeCell="I48" sqref="I4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88671875" style="347" customWidth="1"/>
    <col min="6" max="6" width="12.21875" style="347" customWidth="1"/>
    <col min="7" max="7" width="16.664062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301</v>
      </c>
      <c r="E1" s="3130" t="s">
        <v>3457</v>
      </c>
      <c r="F1" s="1735" t="s">
        <v>3458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0.3266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2.7</v>
      </c>
      <c r="C3" s="344" t="s">
        <v>1768</v>
      </c>
      <c r="D3" s="343">
        <f>IF(D1="",'数据-汇总表'!E3,SUMIF('数据-汇总表'!$C19:$C33,D1,'数据-汇总表'!$E19:$E33))</f>
        <v>1209.8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52" t="s">
        <v>1775</v>
      </c>
      <c r="Q4" s="3453"/>
      <c r="R4" s="3456" t="s">
        <v>1771</v>
      </c>
      <c r="S4" s="3457"/>
      <c r="T4" s="3456" t="s">
        <v>1772</v>
      </c>
      <c r="U4" s="3457"/>
      <c r="V4" s="3458" t="s">
        <v>1773</v>
      </c>
      <c r="W4" s="3458"/>
      <c r="X4" s="1809"/>
      <c r="Y4" s="3456" t="s">
        <v>1775</v>
      </c>
      <c r="Z4" s="3457"/>
      <c r="AA4" s="3461" t="s">
        <v>1771</v>
      </c>
      <c r="AB4" s="3461" t="s">
        <v>1772</v>
      </c>
      <c r="AC4" s="3449" t="s">
        <v>1773</v>
      </c>
    </row>
    <row r="5" spans="1:29" ht="13.95" customHeight="1">
      <c r="A5" s="348"/>
      <c r="B5" s="349"/>
      <c r="C5" s="3445" t="s">
        <v>3459</v>
      </c>
      <c r="D5" s="3437"/>
      <c r="E5" s="3459" t="s">
        <v>3612</v>
      </c>
      <c r="F5" s="3444"/>
      <c r="G5" s="3459" t="s">
        <v>3607</v>
      </c>
      <c r="H5" s="3444"/>
      <c r="I5" s="3459" t="s">
        <v>3573</v>
      </c>
      <c r="J5" s="3444"/>
      <c r="K5" s="537"/>
      <c r="L5" s="2485"/>
      <c r="M5" s="2486"/>
      <c r="N5" s="2486"/>
      <c r="O5" s="2486"/>
      <c r="P5" s="3454"/>
      <c r="Q5" s="3425"/>
      <c r="R5" s="3430"/>
      <c r="S5" s="3431"/>
      <c r="T5" s="3430"/>
      <c r="U5" s="3431"/>
      <c r="V5" s="3404"/>
      <c r="W5" s="3404"/>
      <c r="X5" s="1265"/>
      <c r="Y5" s="3430"/>
      <c r="Z5" s="3431"/>
      <c r="AA5" s="3416"/>
      <c r="AB5" s="3416"/>
      <c r="AC5" s="3450"/>
    </row>
    <row r="6" spans="1:29" ht="15" thickBot="1">
      <c r="A6" s="350"/>
      <c r="B6" s="351"/>
      <c r="C6" s="3434" t="s">
        <v>1677</v>
      </c>
      <c r="D6" s="3435"/>
      <c r="E6" s="3441" t="s">
        <v>1677</v>
      </c>
      <c r="F6" s="3442"/>
      <c r="G6" s="3434" t="s">
        <v>1677</v>
      </c>
      <c r="H6" s="3435"/>
      <c r="I6" s="3434" t="s">
        <v>1677</v>
      </c>
      <c r="J6" s="3435"/>
      <c r="K6" s="537" t="s">
        <v>1678</v>
      </c>
      <c r="L6" s="2485"/>
      <c r="M6" s="2486"/>
      <c r="N6" s="2486"/>
      <c r="O6" s="2486"/>
      <c r="P6" s="3455"/>
      <c r="Q6" s="3427"/>
      <c r="R6" s="3430"/>
      <c r="S6" s="3431"/>
      <c r="T6" s="3432"/>
      <c r="U6" s="3433"/>
      <c r="V6" s="3404"/>
      <c r="W6" s="3404"/>
      <c r="X6" s="1265"/>
      <c r="Y6" s="3432"/>
      <c r="Z6" s="3433"/>
      <c r="AA6" s="3417"/>
      <c r="AB6" s="3417"/>
      <c r="AC6" s="3451"/>
    </row>
    <row r="7" spans="1:29" s="102" customFormat="1" ht="15" thickBot="1">
      <c r="A7" s="352" t="s">
        <v>1679</v>
      </c>
      <c r="B7" s="353"/>
      <c r="C7" s="354">
        <f>'数据-取费表'!B2</f>
        <v>45706</v>
      </c>
      <c r="D7" s="355">
        <v>100</v>
      </c>
      <c r="E7" s="356">
        <f>C7</f>
        <v>45706</v>
      </c>
      <c r="F7" s="357">
        <f>SUMIF(59:59,YEAR(E7)&amp;"-"&amp;MONTH(E7),60:60)</f>
        <v>100</v>
      </c>
      <c r="G7" s="356">
        <f>C7</f>
        <v>45706</v>
      </c>
      <c r="H7" s="355">
        <f>SUMIF(59:59,YEAR(G7)&amp;"-"&amp;MONTH(G7),60:60)</f>
        <v>100</v>
      </c>
      <c r="I7" s="356">
        <f>C7</f>
        <v>45706</v>
      </c>
      <c r="J7" s="355">
        <f>SUMIF(59:59,YEAR(I7)&amp;"-"&amp;MONTH(I7),60:60)</f>
        <v>100</v>
      </c>
      <c r="K7" s="38"/>
      <c r="L7" s="2487"/>
      <c r="M7" s="2439"/>
      <c r="N7" s="2439"/>
      <c r="O7" s="2439"/>
      <c r="P7" s="3460" t="s">
        <v>1680</v>
      </c>
      <c r="Q7" s="3440"/>
      <c r="R7" s="664" t="s">
        <v>14</v>
      </c>
      <c r="S7" s="665">
        <f t="shared" ref="S7:S15" si="0">F7</f>
        <v>100</v>
      </c>
      <c r="T7" s="664" t="s">
        <v>14</v>
      </c>
      <c r="U7" s="665">
        <f t="shared" ref="U7:U15" si="1">H7</f>
        <v>100</v>
      </c>
      <c r="V7" s="664" t="s">
        <v>14</v>
      </c>
      <c r="W7" s="665">
        <f t="shared" ref="W7:W15" si="2">J7</f>
        <v>100</v>
      </c>
      <c r="X7" s="666"/>
      <c r="Y7" s="3438" t="s">
        <v>1680</v>
      </c>
      <c r="Z7" s="3439"/>
      <c r="AA7" s="50">
        <f>D7/F7</f>
        <v>1</v>
      </c>
      <c r="AB7" s="50">
        <f>D7/H7</f>
        <v>1</v>
      </c>
      <c r="AC7" s="802">
        <f>D7/J7</f>
        <v>1</v>
      </c>
    </row>
    <row r="8" spans="1:29" s="102" customFormat="1" ht="15" thickBot="1">
      <c r="A8" s="352" t="s">
        <v>1681</v>
      </c>
      <c r="B8" s="353"/>
      <c r="C8" s="358" t="s">
        <v>3460</v>
      </c>
      <c r="D8" s="355">
        <v>100</v>
      </c>
      <c r="E8" s="358" t="s">
        <v>3512</v>
      </c>
      <c r="F8" s="357">
        <f>SUMIF(62:62,E8,63:63)-SUMIF(62:62,C8,63:63)+100</f>
        <v>102</v>
      </c>
      <c r="G8" s="358" t="s">
        <v>3512</v>
      </c>
      <c r="H8" s="355">
        <f>SUMIF(62:62,G8,63:63)-SUMIF(62:62,C8,63:63)+100</f>
        <v>102</v>
      </c>
      <c r="I8" s="358" t="s">
        <v>3512</v>
      </c>
      <c r="J8" s="355">
        <f>SUMIF(62:62,I8,63:63)-SUMIF(62:62,C8,63:63)+100</f>
        <v>102</v>
      </c>
      <c r="K8" s="38"/>
      <c r="L8" s="2487"/>
      <c r="M8" s="2439"/>
      <c r="N8" s="2439"/>
      <c r="O8" s="2439"/>
      <c r="P8" s="3460" t="s">
        <v>1683</v>
      </c>
      <c r="Q8" s="3439"/>
      <c r="R8" s="664" t="s">
        <v>14</v>
      </c>
      <c r="S8" s="665">
        <f t="shared" si="0"/>
        <v>102</v>
      </c>
      <c r="T8" s="664" t="s">
        <v>14</v>
      </c>
      <c r="U8" s="665">
        <f t="shared" si="1"/>
        <v>102</v>
      </c>
      <c r="V8" s="664" t="s">
        <v>14</v>
      </c>
      <c r="W8" s="665">
        <f t="shared" si="2"/>
        <v>102</v>
      </c>
      <c r="X8" s="666"/>
      <c r="Y8" s="3438" t="s">
        <v>1683</v>
      </c>
      <c r="Z8" s="3439"/>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1" t="s">
        <v>3514</v>
      </c>
      <c r="D9" s="59">
        <v>100</v>
      </c>
      <c r="E9" s="3183" t="s">
        <v>3</v>
      </c>
      <c r="F9" s="59">
        <f>SUMIF(64:64,E9,65:65)-SUMIF(64:64,C9,65:65)+100</f>
        <v>97</v>
      </c>
      <c r="G9" s="362" t="s">
        <v>21</v>
      </c>
      <c r="H9" s="59">
        <f>SUMIF(64:64,G9,65:65)-SUMIF(64:64,C9,65:65)+100</f>
        <v>100</v>
      </c>
      <c r="I9" s="3183" t="s">
        <v>3</v>
      </c>
      <c r="J9" s="59">
        <f>SUMIF(64:64,I9,65:65)-SUMIF(64:64,C9,65:65)+100</f>
        <v>97</v>
      </c>
      <c r="K9" s="38"/>
      <c r="L9" s="2487"/>
      <c r="M9" s="2439"/>
      <c r="N9" s="2439"/>
      <c r="O9" s="2439"/>
      <c r="P9" s="3414" t="s">
        <v>1686</v>
      </c>
      <c r="Q9" s="530" t="str">
        <f t="shared" ref="Q9:Q15" si="6">B9</f>
        <v>用途</v>
      </c>
      <c r="R9" s="664" t="s">
        <v>14</v>
      </c>
      <c r="S9" s="665">
        <f t="shared" si="0"/>
        <v>97</v>
      </c>
      <c r="T9" s="664" t="s">
        <v>14</v>
      </c>
      <c r="U9" s="665">
        <f t="shared" si="1"/>
        <v>100</v>
      </c>
      <c r="V9" s="664" t="s">
        <v>14</v>
      </c>
      <c r="W9" s="665">
        <f t="shared" si="2"/>
        <v>97</v>
      </c>
      <c r="X9" s="666"/>
      <c r="Y9" s="3278" t="s">
        <v>1687</v>
      </c>
      <c r="Z9" s="50" t="str">
        <f t="shared" ref="Z9:Z15" si="7">Q9</f>
        <v>用途</v>
      </c>
      <c r="AA9" s="50">
        <f t="shared" si="3"/>
        <v>1.0309278350515463</v>
      </c>
      <c r="AB9" s="50">
        <f t="shared" si="4"/>
        <v>1</v>
      </c>
      <c r="AC9" s="802">
        <f t="shared" si="5"/>
        <v>1.0309278350515463</v>
      </c>
    </row>
    <row r="10" spans="1:29" s="366" customFormat="1" ht="28.8">
      <c r="A10" s="363"/>
      <c r="B10" s="364" t="s">
        <v>1688</v>
      </c>
      <c r="C10" s="3131"/>
      <c r="D10" s="119">
        <v>100</v>
      </c>
      <c r="E10" s="3131"/>
      <c r="F10" s="119">
        <f>SUMIF(66:66,E10,67:67)-SUMIF(66:66,C10,67:67)+100</f>
        <v>100</v>
      </c>
      <c r="G10" s="3131"/>
      <c r="H10" s="119">
        <f>SUMIF(66:66,G10,67:67)-SUMIF(66:66,C10,67:67)+100</f>
        <v>100</v>
      </c>
      <c r="I10" s="3131"/>
      <c r="J10" s="119">
        <f>SUMIF(66:66,I10,67:67)-SUMIF(66:66,C10,67:67)+100</f>
        <v>100</v>
      </c>
      <c r="K10" s="38"/>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27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4"/>
      <c r="Q11" s="530" t="str">
        <f t="shared" si="6"/>
        <v>容积率</v>
      </c>
      <c r="R11" s="664" t="s">
        <v>14</v>
      </c>
      <c r="S11" s="665">
        <f t="shared" si="0"/>
        <v>100</v>
      </c>
      <c r="T11" s="664" t="s">
        <v>14</v>
      </c>
      <c r="U11" s="665">
        <f t="shared" si="1"/>
        <v>100</v>
      </c>
      <c r="V11" s="664" t="s">
        <v>14</v>
      </c>
      <c r="W11" s="665">
        <f t="shared" si="2"/>
        <v>100</v>
      </c>
      <c r="X11" s="666"/>
      <c r="Y11" s="327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3174" t="s">
        <v>3574</v>
      </c>
      <c r="N12" s="2439">
        <v>2011</v>
      </c>
      <c r="O12" s="2439">
        <f>ROUND(1-(1-0)*(2025-2011)/60,2)</f>
        <v>0.77</v>
      </c>
      <c r="P12" s="3414"/>
      <c r="Q12" s="530">
        <f t="shared" si="6"/>
        <v>111</v>
      </c>
      <c r="R12" s="664" t="s">
        <v>14</v>
      </c>
      <c r="S12" s="665">
        <f t="shared" si="0"/>
        <v>100</v>
      </c>
      <c r="T12" s="664" t="s">
        <v>14</v>
      </c>
      <c r="U12" s="665">
        <f t="shared" si="1"/>
        <v>100</v>
      </c>
      <c r="V12" s="664" t="s">
        <v>14</v>
      </c>
      <c r="W12" s="665">
        <f t="shared" si="2"/>
        <v>100</v>
      </c>
      <c r="X12" s="666"/>
      <c r="Y12" s="327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4"/>
      <c r="Q13" s="530">
        <f t="shared" si="6"/>
        <v>111</v>
      </c>
      <c r="R13" s="664" t="s">
        <v>14</v>
      </c>
      <c r="S13" s="665">
        <f t="shared" si="0"/>
        <v>100</v>
      </c>
      <c r="T13" s="664" t="s">
        <v>14</v>
      </c>
      <c r="U13" s="665">
        <f t="shared" si="1"/>
        <v>100</v>
      </c>
      <c r="V13" s="664" t="s">
        <v>14</v>
      </c>
      <c r="W13" s="665">
        <f t="shared" si="2"/>
        <v>100</v>
      </c>
      <c r="X13" s="666"/>
      <c r="Y13" s="327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4"/>
      <c r="Q14" s="530">
        <f t="shared" si="6"/>
        <v>111</v>
      </c>
      <c r="R14" s="664" t="s">
        <v>14</v>
      </c>
      <c r="S14" s="665">
        <f t="shared" si="0"/>
        <v>100</v>
      </c>
      <c r="T14" s="664" t="s">
        <v>14</v>
      </c>
      <c r="U14" s="665">
        <f t="shared" si="1"/>
        <v>100</v>
      </c>
      <c r="V14" s="664" t="s">
        <v>14</v>
      </c>
      <c r="W14" s="665">
        <f t="shared" si="2"/>
        <v>100</v>
      </c>
      <c r="X14" s="666"/>
      <c r="Y14" s="327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103</v>
      </c>
      <c r="G15" s="381"/>
      <c r="H15" s="380">
        <f>SUMIF(77:77,G16,78:78)-SUMIF(77:77,C16,78:78)+100</f>
        <v>100</v>
      </c>
      <c r="I15" s="381"/>
      <c r="J15" s="380">
        <f>SUMIF(77:77,I16,78:78)-SUMIF(77:77,C16,78:78)+100</f>
        <v>103</v>
      </c>
      <c r="K15" s="540">
        <v>3</v>
      </c>
      <c r="L15" s="2491"/>
      <c r="M15" s="2486"/>
      <c r="N15" s="2486"/>
      <c r="O15" s="2486"/>
      <c r="P15" s="3412" t="s">
        <v>1691</v>
      </c>
      <c r="Q15" s="1263" t="str">
        <f t="shared" si="6"/>
        <v>办公集聚程度</v>
      </c>
      <c r="R15" s="667" t="s">
        <v>14</v>
      </c>
      <c r="S15" s="668">
        <f t="shared" si="0"/>
        <v>103</v>
      </c>
      <c r="T15" s="667" t="s">
        <v>14</v>
      </c>
      <c r="U15" s="668">
        <f t="shared" si="1"/>
        <v>100</v>
      </c>
      <c r="V15" s="667" t="s">
        <v>14</v>
      </c>
      <c r="W15" s="668">
        <f t="shared" si="2"/>
        <v>103</v>
      </c>
      <c r="X15" s="1265"/>
      <c r="Y15" s="3405" t="s">
        <v>1691</v>
      </c>
      <c r="Z15" s="1264" t="str">
        <f t="shared" si="7"/>
        <v>办公集聚程度</v>
      </c>
      <c r="AA15" s="1264">
        <f t="shared" si="3"/>
        <v>0.970873786407767</v>
      </c>
      <c r="AB15" s="1264">
        <f t="shared" si="4"/>
        <v>1</v>
      </c>
      <c r="AC15" s="1812">
        <f t="shared" si="5"/>
        <v>0.970873786407767</v>
      </c>
    </row>
    <row r="16" spans="1:29" ht="15">
      <c r="A16" s="367"/>
      <c r="B16" s="555"/>
      <c r="C16" s="1758" t="s">
        <v>3471</v>
      </c>
      <c r="D16" s="387"/>
      <c r="E16" s="1758" t="s">
        <v>3469</v>
      </c>
      <c r="F16" s="387"/>
      <c r="G16" s="1758" t="s">
        <v>3471</v>
      </c>
      <c r="H16" s="389"/>
      <c r="I16" s="1758" t="s">
        <v>3469</v>
      </c>
      <c r="J16" s="387"/>
      <c r="K16" s="541"/>
      <c r="L16" s="2491"/>
      <c r="M16" s="2486"/>
      <c r="N16" s="2486"/>
      <c r="O16" s="2486"/>
      <c r="P16" s="3413"/>
      <c r="Q16" s="1263"/>
      <c r="R16" s="667"/>
      <c r="S16" s="668"/>
      <c r="T16" s="667"/>
      <c r="U16" s="668"/>
      <c r="V16" s="667"/>
      <c r="W16" s="668"/>
      <c r="X16" s="1265"/>
      <c r="Y16" s="3406"/>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13"/>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812">
        <f t="shared" si="5"/>
        <v>1</v>
      </c>
    </row>
    <row r="18" spans="1:29" ht="15">
      <c r="A18" s="367"/>
      <c r="B18" s="401"/>
      <c r="C18" s="1814" t="s">
        <v>3471</v>
      </c>
      <c r="D18" s="389"/>
      <c r="E18" s="1814" t="s">
        <v>3471</v>
      </c>
      <c r="F18" s="389"/>
      <c r="G18" s="1814" t="s">
        <v>3471</v>
      </c>
      <c r="H18" s="387"/>
      <c r="I18" s="1814" t="s">
        <v>3471</v>
      </c>
      <c r="J18" s="387"/>
      <c r="K18" s="541"/>
      <c r="L18" s="2491"/>
      <c r="M18" s="2486"/>
      <c r="N18" s="2486"/>
      <c r="O18" s="2486"/>
      <c r="P18" s="3413"/>
      <c r="Q18" s="1263"/>
      <c r="R18" s="667"/>
      <c r="S18" s="668"/>
      <c r="T18" s="667"/>
      <c r="U18" s="668"/>
      <c r="V18" s="667"/>
      <c r="W18" s="668"/>
      <c r="X18" s="1265"/>
      <c r="Y18" s="3406"/>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13"/>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812">
        <f t="shared" si="5"/>
        <v>1</v>
      </c>
    </row>
    <row r="20" spans="1:29" ht="15">
      <c r="A20" s="367"/>
      <c r="B20" s="401"/>
      <c r="C20" s="1814" t="s">
        <v>3471</v>
      </c>
      <c r="D20" s="387"/>
      <c r="E20" s="1814" t="s">
        <v>3471</v>
      </c>
      <c r="F20" s="387"/>
      <c r="G20" s="1814" t="s">
        <v>3471</v>
      </c>
      <c r="H20" s="387"/>
      <c r="I20" s="1814" t="s">
        <v>3471</v>
      </c>
      <c r="J20" s="387"/>
      <c r="K20" s="541"/>
      <c r="L20" s="2491"/>
      <c r="M20" s="2486"/>
      <c r="N20" s="2486"/>
      <c r="O20" s="2486"/>
      <c r="P20" s="3413"/>
      <c r="Q20" s="1263"/>
      <c r="R20" s="667"/>
      <c r="S20" s="668"/>
      <c r="T20" s="667"/>
      <c r="U20" s="668"/>
      <c r="V20" s="667"/>
      <c r="W20" s="668"/>
      <c r="X20" s="1265"/>
      <c r="Y20" s="340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13"/>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812">
        <f t="shared" ref="AC21" si="10">D21/J21</f>
        <v>1</v>
      </c>
    </row>
    <row r="22" spans="1:29" ht="15">
      <c r="A22" s="367"/>
      <c r="B22" s="557"/>
      <c r="C22" s="1755" t="s">
        <v>3588</v>
      </c>
      <c r="D22" s="387"/>
      <c r="E22" s="1755" t="s">
        <v>3588</v>
      </c>
      <c r="F22" s="387"/>
      <c r="G22" s="1755" t="s">
        <v>3588</v>
      </c>
      <c r="H22" s="387"/>
      <c r="I22" s="1755" t="s">
        <v>3588</v>
      </c>
      <c r="J22" s="387"/>
      <c r="K22" s="1064"/>
      <c r="L22" s="2491"/>
      <c r="M22" s="2486"/>
      <c r="N22" s="2486"/>
      <c r="O22" s="2486"/>
      <c r="P22" s="3413"/>
      <c r="Q22" s="1263"/>
      <c r="R22" s="667"/>
      <c r="S22" s="668"/>
      <c r="T22" s="667"/>
      <c r="U22" s="668"/>
      <c r="V22" s="667"/>
      <c r="W22" s="668"/>
      <c r="X22" s="1265"/>
      <c r="Y22" s="3406"/>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13"/>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812">
        <f t="shared" si="5"/>
        <v>1</v>
      </c>
    </row>
    <row r="24" spans="1:29" ht="15">
      <c r="A24" s="367"/>
      <c r="B24" s="557"/>
      <c r="C24" s="1758" t="s">
        <v>3469</v>
      </c>
      <c r="D24" s="387"/>
      <c r="E24" s="1758" t="s">
        <v>3469</v>
      </c>
      <c r="F24" s="387"/>
      <c r="G24" s="1758" t="s">
        <v>3469</v>
      </c>
      <c r="H24" s="387"/>
      <c r="I24" s="1758" t="s">
        <v>3469</v>
      </c>
      <c r="J24" s="387"/>
      <c r="K24" s="541"/>
      <c r="L24" s="2491"/>
      <c r="M24" s="2486"/>
      <c r="N24" s="2486"/>
      <c r="O24" s="2486"/>
      <c r="P24" s="3413"/>
      <c r="Q24" s="1263"/>
      <c r="R24" s="667"/>
      <c r="S24" s="668"/>
      <c r="T24" s="667"/>
      <c r="U24" s="668"/>
      <c r="V24" s="667"/>
      <c r="W24" s="668"/>
      <c r="X24" s="1265"/>
      <c r="Y24" s="3406"/>
      <c r="Z24" s="1264"/>
      <c r="AA24" s="1264">
        <v>1</v>
      </c>
      <c r="AB24" s="1264">
        <v>1</v>
      </c>
      <c r="AC24" s="1812">
        <v>1</v>
      </c>
    </row>
    <row r="25" spans="1:29" ht="28.8">
      <c r="A25" s="348"/>
      <c r="B25" s="556" t="s">
        <v>1815</v>
      </c>
      <c r="C25" s="1762"/>
      <c r="D25" s="374">
        <v>100</v>
      </c>
      <c r="E25" s="373"/>
      <c r="F25" s="374">
        <f>SUMIF(87:87,E26,88:88)-SUMIF(87:87,C26,88:88)+100</f>
        <v>98</v>
      </c>
      <c r="G25" s="1762"/>
      <c r="H25" s="374">
        <f>SUMIF(87:87,G26,88:88)-SUMIF(87:87,C26,88:88)+100</f>
        <v>100</v>
      </c>
      <c r="I25" s="373"/>
      <c r="J25" s="374">
        <f>SUMIF(87:87,I26,88:88)-SUMIF(87:87,C26,88:88)+100</f>
        <v>98</v>
      </c>
      <c r="K25" s="540">
        <v>2</v>
      </c>
      <c r="L25" s="2491"/>
      <c r="M25" s="2486"/>
      <c r="N25" s="2486"/>
      <c r="O25" s="2486"/>
      <c r="P25" s="3413"/>
      <c r="Q25" s="1263" t="str">
        <f>B25</f>
        <v>毗邻道路的类型与等级</v>
      </c>
      <c r="R25" s="667" t="s">
        <v>14</v>
      </c>
      <c r="S25" s="668">
        <f>F25</f>
        <v>98</v>
      </c>
      <c r="T25" s="667" t="s">
        <v>14</v>
      </c>
      <c r="U25" s="668">
        <f>H25</f>
        <v>100</v>
      </c>
      <c r="V25" s="667" t="s">
        <v>14</v>
      </c>
      <c r="W25" s="668">
        <f>J25</f>
        <v>98</v>
      </c>
      <c r="X25" s="1265"/>
      <c r="Y25" s="3406"/>
      <c r="Z25" s="1264" t="str">
        <f>Q25</f>
        <v>毗邻道路的类型与等级</v>
      </c>
      <c r="AA25" s="1264">
        <f t="shared" si="3"/>
        <v>1.0204081632653061</v>
      </c>
      <c r="AB25" s="1264">
        <f t="shared" si="4"/>
        <v>1</v>
      </c>
      <c r="AC25" s="1812">
        <f t="shared" si="5"/>
        <v>1.0204081632653061</v>
      </c>
    </row>
    <row r="26" spans="1:29" ht="15">
      <c r="A26" s="348"/>
      <c r="B26" s="401"/>
      <c r="C26" s="558" t="s">
        <v>3517</v>
      </c>
      <c r="D26" s="374"/>
      <c r="E26" s="558" t="s">
        <v>3519</v>
      </c>
      <c r="F26" s="374"/>
      <c r="G26" s="558" t="s">
        <v>3517</v>
      </c>
      <c r="H26" s="374"/>
      <c r="I26" s="558" t="s">
        <v>3519</v>
      </c>
      <c r="J26" s="374"/>
      <c r="K26" s="541"/>
      <c r="L26" s="2491"/>
      <c r="M26" s="2486"/>
      <c r="N26" s="2486"/>
      <c r="O26" s="2486"/>
      <c r="P26" s="3413"/>
      <c r="Q26" s="1263"/>
      <c r="R26" s="667"/>
      <c r="S26" s="668"/>
      <c r="T26" s="667"/>
      <c r="U26" s="668"/>
      <c r="V26" s="667"/>
      <c r="W26" s="668"/>
      <c r="X26" s="1265"/>
      <c r="Y26" s="3406"/>
      <c r="Z26" s="1264"/>
      <c r="AA26" s="1264">
        <v>1</v>
      </c>
      <c r="AB26" s="1264">
        <v>1</v>
      </c>
      <c r="AC26" s="1812">
        <v>1</v>
      </c>
    </row>
    <row r="27" spans="1:29" ht="15">
      <c r="A27" s="367"/>
      <c r="B27" s="401" t="s">
        <v>1783</v>
      </c>
      <c r="C27" s="558" t="s">
        <v>3523</v>
      </c>
      <c r="D27" s="374">
        <v>100</v>
      </c>
      <c r="E27" s="3187" t="s">
        <v>3523</v>
      </c>
      <c r="F27" s="374">
        <f>SUMIF(89:89,E27,90:90)-SUMIF(89:89,C27,90:90)+100</f>
        <v>100</v>
      </c>
      <c r="G27" s="558" t="s">
        <v>3521</v>
      </c>
      <c r="H27" s="374">
        <f>SUMIF(89:89,G27,90:90)-SUMIF(89:89,C27,90:90)+100</f>
        <v>101</v>
      </c>
      <c r="I27" s="542" t="s">
        <v>3523</v>
      </c>
      <c r="J27" s="374">
        <f>SUMIF(89:89,I27,90:90)-SUMIF(89:89,C27,90:90)+100</f>
        <v>100</v>
      </c>
      <c r="K27" s="538">
        <v>1</v>
      </c>
      <c r="L27" s="2491"/>
      <c r="M27" s="2486"/>
      <c r="N27" s="2486"/>
      <c r="O27" s="2486"/>
      <c r="P27" s="3413"/>
      <c r="Q27" s="1263" t="str">
        <f t="shared" ref="Q27:Q47" si="11">B27</f>
        <v>楼层</v>
      </c>
      <c r="R27" s="667" t="s">
        <v>14</v>
      </c>
      <c r="S27" s="668">
        <f>F27</f>
        <v>100</v>
      </c>
      <c r="T27" s="667" t="s">
        <v>14</v>
      </c>
      <c r="U27" s="668">
        <f>H27</f>
        <v>101</v>
      </c>
      <c r="V27" s="667" t="s">
        <v>14</v>
      </c>
      <c r="W27" s="668">
        <f>J27</f>
        <v>100</v>
      </c>
      <c r="X27" s="1265"/>
      <c r="Y27" s="3406"/>
      <c r="Z27" s="1264" t="str">
        <f>Q27</f>
        <v>楼层</v>
      </c>
      <c r="AA27" s="1264">
        <f t="shared" si="3"/>
        <v>1</v>
      </c>
      <c r="AB27" s="1264">
        <f t="shared" si="4"/>
        <v>0.99009900990099009</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7"/>
      <c r="M28" s="2439"/>
      <c r="N28" s="2439"/>
      <c r="O28" s="2439"/>
      <c r="P28" s="3413"/>
      <c r="Q28" s="530" t="str">
        <f t="shared" si="11"/>
        <v>朝向</v>
      </c>
      <c r="R28" s="664" t="s">
        <v>14</v>
      </c>
      <c r="S28" s="665">
        <f>F28</f>
        <v>100</v>
      </c>
      <c r="T28" s="664" t="s">
        <v>14</v>
      </c>
      <c r="U28" s="665">
        <f>H28</f>
        <v>100</v>
      </c>
      <c r="V28" s="664" t="s">
        <v>14</v>
      </c>
      <c r="W28" s="665">
        <f>J28</f>
        <v>100</v>
      </c>
      <c r="X28" s="666"/>
      <c r="Y28" s="340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13"/>
      <c r="Q29" s="1263">
        <f t="shared" si="11"/>
        <v>111</v>
      </c>
      <c r="R29" s="667" t="s">
        <v>14</v>
      </c>
      <c r="S29" s="668">
        <f t="shared" ref="S29:S47" si="12">F29</f>
        <v>100</v>
      </c>
      <c r="T29" s="667" t="s">
        <v>14</v>
      </c>
      <c r="U29" s="668">
        <f t="shared" ref="U29:U47" si="13">H29</f>
        <v>100</v>
      </c>
      <c r="V29" s="667" t="s">
        <v>14</v>
      </c>
      <c r="W29" s="668">
        <f t="shared" ref="W29:W47" si="14">J29</f>
        <v>100</v>
      </c>
      <c r="X29" s="1265"/>
      <c r="Y29" s="3406"/>
      <c r="Z29" s="1264">
        <f t="shared" ref="Z29:Z47" si="15">Q29</f>
        <v>111</v>
      </c>
      <c r="AA29" s="1264">
        <f t="shared" si="3"/>
        <v>1</v>
      </c>
      <c r="AB29" s="1264">
        <f t="shared" si="4"/>
        <v>1</v>
      </c>
      <c r="AC29" s="1812">
        <f t="shared" si="5"/>
        <v>1</v>
      </c>
    </row>
    <row r="30" spans="1:29" ht="15">
      <c r="A30" s="367"/>
      <c r="B30" s="1099">
        <v>111</v>
      </c>
      <c r="C30" s="1762"/>
      <c r="D30" s="374">
        <v>100</v>
      </c>
      <c r="E30" s="371" t="s">
        <v>3613</v>
      </c>
      <c r="F30" s="374">
        <f>SUMIF(95:95,E30,96:96)-SUMIF(95:95,C30,96:96)+100</f>
        <v>100</v>
      </c>
      <c r="G30" s="1810"/>
      <c r="H30" s="374">
        <f>SUMIF(95:95,G30,96:96)-SUMIF(95:95,C30,96:96)+100</f>
        <v>100</v>
      </c>
      <c r="I30" s="371"/>
      <c r="J30" s="374">
        <f>SUMIF(95:95,I30,96:96)-SUMIF(95:95,C30,96:96)+100</f>
        <v>100</v>
      </c>
      <c r="K30" s="539"/>
      <c r="L30" s="2491"/>
      <c r="M30" s="2486"/>
      <c r="N30" s="2486"/>
      <c r="O30" s="2486"/>
      <c r="P30" s="3413"/>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13"/>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13"/>
      <c r="Q32" s="1263">
        <f t="shared" si="11"/>
        <v>111</v>
      </c>
      <c r="R32" s="667" t="s">
        <v>14</v>
      </c>
      <c r="S32" s="668">
        <f t="shared" si="12"/>
        <v>100</v>
      </c>
      <c r="T32" s="667" t="s">
        <v>14</v>
      </c>
      <c r="U32" s="668">
        <f t="shared" si="13"/>
        <v>100</v>
      </c>
      <c r="V32" s="667" t="s">
        <v>14</v>
      </c>
      <c r="W32" s="668">
        <f t="shared" si="14"/>
        <v>100</v>
      </c>
      <c r="X32" s="1265"/>
      <c r="Y32" s="3406"/>
      <c r="Z32" s="1264">
        <f t="shared" si="15"/>
        <v>111</v>
      </c>
      <c r="AA32" s="1264">
        <f t="shared" si="3"/>
        <v>1</v>
      </c>
      <c r="AB32" s="1264">
        <f t="shared" si="4"/>
        <v>1</v>
      </c>
      <c r="AC32" s="1812">
        <f t="shared" si="5"/>
        <v>1</v>
      </c>
    </row>
    <row r="33" spans="1:29" ht="15">
      <c r="A33" s="379" t="s">
        <v>1694</v>
      </c>
      <c r="B33" s="60" t="s">
        <v>1817</v>
      </c>
      <c r="C33" s="1764" t="s">
        <v>3609</v>
      </c>
      <c r="D33" s="405">
        <v>100</v>
      </c>
      <c r="E33" s="1764" t="s">
        <v>3609</v>
      </c>
      <c r="F33" s="400">
        <f>SUMIF(101:101,E33,102:102)-SUMIF(101:101,C33,102:102)+100</f>
        <v>100</v>
      </c>
      <c r="G33" s="1764" t="s">
        <v>3609</v>
      </c>
      <c r="H33" s="374">
        <f>SUMIF(101:101,G33,102:102)-SUMIF(101:101,C33,102:102)+100</f>
        <v>100</v>
      </c>
      <c r="I33" s="1764" t="s">
        <v>3609</v>
      </c>
      <c r="J33" s="405">
        <f>SUMIF(101:101,I33,102:102)-SUMIF(101:101,C33,102:102)+100</f>
        <v>100</v>
      </c>
      <c r="K33" s="538">
        <v>2</v>
      </c>
      <c r="L33" s="2491"/>
      <c r="M33" s="2486"/>
      <c r="N33" s="2486"/>
      <c r="O33" s="2486"/>
      <c r="P33" s="3407" t="s">
        <v>1696</v>
      </c>
      <c r="Q33" s="1263" t="str">
        <f t="shared" si="11"/>
        <v>建筑类型</v>
      </c>
      <c r="R33" s="667" t="s">
        <v>14</v>
      </c>
      <c r="S33" s="668">
        <f t="shared" si="12"/>
        <v>100</v>
      </c>
      <c r="T33" s="667" t="s">
        <v>14</v>
      </c>
      <c r="U33" s="668">
        <f t="shared" si="13"/>
        <v>100</v>
      </c>
      <c r="V33" s="667" t="s">
        <v>14</v>
      </c>
      <c r="W33" s="668">
        <f t="shared" si="14"/>
        <v>100</v>
      </c>
      <c r="X33" s="1265"/>
      <c r="Y33" s="3410" t="s">
        <v>1696</v>
      </c>
      <c r="Z33" s="1264" t="str">
        <f t="shared" si="15"/>
        <v>建筑类型</v>
      </c>
      <c r="AA33" s="1264">
        <f t="shared" si="3"/>
        <v>1</v>
      </c>
      <c r="AB33" s="1264">
        <f t="shared" si="4"/>
        <v>1</v>
      </c>
      <c r="AC33" s="1812">
        <f t="shared" si="5"/>
        <v>1</v>
      </c>
    </row>
    <row r="34" spans="1:29" s="408" customFormat="1" ht="15">
      <c r="A34" s="406"/>
      <c r="B34" s="364" t="s">
        <v>1697</v>
      </c>
      <c r="C34" s="407">
        <f>'数据-基础表'!G14</f>
        <v>1209.8</v>
      </c>
      <c r="D34" s="119">
        <v>100</v>
      </c>
      <c r="E34" s="3186">
        <v>5000</v>
      </c>
      <c r="F34" s="364">
        <f>LOOKUP(E34,104:104,105:105)-LOOKUP(C34,104:104,105:105)+100</f>
        <v>97</v>
      </c>
      <c r="G34" s="368">
        <f>办公案例!K14</f>
        <v>1300</v>
      </c>
      <c r="H34" s="119">
        <f>LOOKUP(G34,104:104,105:105)-LOOKUP(C34,104:104,105:105)+100</f>
        <v>100</v>
      </c>
      <c r="I34" s="368">
        <v>1479</v>
      </c>
      <c r="J34" s="119">
        <f>LOOKUP(I34,104:104,105:105)-LOOKUP(C34,104:104,105:105)+100</f>
        <v>100</v>
      </c>
      <c r="K34" s="539"/>
      <c r="L34" s="2490"/>
      <c r="M34" s="2492"/>
      <c r="N34" s="2492"/>
      <c r="O34" s="2492"/>
      <c r="P34" s="3408"/>
      <c r="Q34" s="531" t="str">
        <f t="shared" si="11"/>
        <v>项目建筑规模</v>
      </c>
      <c r="R34" s="669" t="s">
        <v>14</v>
      </c>
      <c r="S34" s="670">
        <f t="shared" si="12"/>
        <v>97</v>
      </c>
      <c r="T34" s="669" t="s">
        <v>14</v>
      </c>
      <c r="U34" s="670">
        <f t="shared" si="13"/>
        <v>100</v>
      </c>
      <c r="V34" s="669" t="s">
        <v>14</v>
      </c>
      <c r="W34" s="670">
        <f t="shared" si="14"/>
        <v>100</v>
      </c>
      <c r="X34" s="671"/>
      <c r="Y34" s="3410"/>
      <c r="Z34" s="672" t="str">
        <f t="shared" si="15"/>
        <v>项目建筑规模</v>
      </c>
      <c r="AA34" s="1264">
        <f t="shared" si="3"/>
        <v>1.0309278350515463</v>
      </c>
      <c r="AB34" s="1264">
        <f t="shared" si="4"/>
        <v>1</v>
      </c>
      <c r="AC34" s="1812">
        <f t="shared" si="5"/>
        <v>1</v>
      </c>
    </row>
    <row r="35" spans="1:29" ht="15">
      <c r="A35" s="409"/>
      <c r="B35" s="364" t="s">
        <v>1698</v>
      </c>
      <c r="C35" s="399" t="s">
        <v>3483</v>
      </c>
      <c r="D35" s="374">
        <v>100</v>
      </c>
      <c r="E35" s="399" t="s">
        <v>3483</v>
      </c>
      <c r="F35" s="400">
        <f>SUMIF(106:106,E35,107:107)-SUMIF(106:106,C35,107:107)+100</f>
        <v>100</v>
      </c>
      <c r="G35" s="399" t="s">
        <v>3483</v>
      </c>
      <c r="H35" s="374">
        <f>SUMIF(106:106,G35,107:107)-SUMIF(106:106,C35,107:107)+100</f>
        <v>100</v>
      </c>
      <c r="I35" s="399" t="s">
        <v>3483</v>
      </c>
      <c r="J35" s="374">
        <f>SUMIF(106:106,I35,107:107)-SUMIF(106:106,C35,107:107)+100</f>
        <v>100</v>
      </c>
      <c r="K35" s="538">
        <v>2</v>
      </c>
      <c r="L35" s="2491"/>
      <c r="M35" s="2486"/>
      <c r="N35" s="2486"/>
      <c r="O35" s="2486"/>
      <c r="P35" s="3408"/>
      <c r="Q35" s="1263" t="str">
        <f t="shared" si="11"/>
        <v>建筑结构</v>
      </c>
      <c r="R35" s="667" t="s">
        <v>14</v>
      </c>
      <c r="S35" s="668">
        <f t="shared" si="12"/>
        <v>100</v>
      </c>
      <c r="T35" s="667" t="s">
        <v>14</v>
      </c>
      <c r="U35" s="668">
        <f t="shared" si="13"/>
        <v>100</v>
      </c>
      <c r="V35" s="667" t="s">
        <v>14</v>
      </c>
      <c r="W35" s="668">
        <f t="shared" si="14"/>
        <v>100</v>
      </c>
      <c r="X35" s="1265"/>
      <c r="Y35" s="341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08"/>
      <c r="Q36" s="1263" t="str">
        <f t="shared" si="11"/>
        <v>公共部分装修</v>
      </c>
      <c r="R36" s="667" t="s">
        <v>14</v>
      </c>
      <c r="S36" s="668">
        <f t="shared" si="12"/>
        <v>100</v>
      </c>
      <c r="T36" s="667" t="s">
        <v>14</v>
      </c>
      <c r="U36" s="668">
        <f t="shared" si="13"/>
        <v>100</v>
      </c>
      <c r="V36" s="667" t="s">
        <v>14</v>
      </c>
      <c r="W36" s="668">
        <f t="shared" si="14"/>
        <v>100</v>
      </c>
      <c r="X36" s="1265"/>
      <c r="Y36" s="3410"/>
      <c r="Z36" s="1264" t="str">
        <f t="shared" si="15"/>
        <v>公共部分装修</v>
      </c>
      <c r="AA36" s="1264">
        <f t="shared" si="3"/>
        <v>1</v>
      </c>
      <c r="AB36" s="1264">
        <f t="shared" si="4"/>
        <v>1</v>
      </c>
      <c r="AC36" s="1812">
        <f t="shared" si="5"/>
        <v>1</v>
      </c>
    </row>
    <row r="37" spans="1:29" ht="15">
      <c r="A37" s="409"/>
      <c r="B37" s="364" t="s">
        <v>1786</v>
      </c>
      <c r="C37" s="411">
        <f>'数据-取费表'!N6</f>
        <v>0.95</v>
      </c>
      <c r="D37" s="374">
        <v>100</v>
      </c>
      <c r="E37" s="3185">
        <v>0.77</v>
      </c>
      <c r="F37" s="400">
        <f>LOOKUP(E37,111:111,112:112)-LOOKUP(C37,111:111,112:112)+100</f>
        <v>98</v>
      </c>
      <c r="G37" s="411">
        <f>C37</f>
        <v>0.95</v>
      </c>
      <c r="H37" s="400">
        <f>LOOKUP(G37,111:111,112:112)-LOOKUP(C37,111:111,112:112)+100</f>
        <v>100</v>
      </c>
      <c r="I37" s="411">
        <f>O12</f>
        <v>0.77</v>
      </c>
      <c r="J37" s="374">
        <f>LOOKUP(I37,111:111,112:112)-LOOKUP(C37,111:111,112:112)+100</f>
        <v>98</v>
      </c>
      <c r="K37" s="538">
        <v>1</v>
      </c>
      <c r="L37" s="2491"/>
      <c r="M37" s="2486"/>
      <c r="N37" s="2486"/>
      <c r="O37" s="2486"/>
      <c r="P37" s="3408"/>
      <c r="Q37" s="1263" t="str">
        <f t="shared" si="11"/>
        <v>成新度</v>
      </c>
      <c r="R37" s="667" t="s">
        <v>14</v>
      </c>
      <c r="S37" s="668">
        <f t="shared" si="12"/>
        <v>98</v>
      </c>
      <c r="T37" s="667" t="s">
        <v>14</v>
      </c>
      <c r="U37" s="668">
        <f t="shared" si="13"/>
        <v>100</v>
      </c>
      <c r="V37" s="667" t="s">
        <v>14</v>
      </c>
      <c r="W37" s="668">
        <f t="shared" si="14"/>
        <v>98</v>
      </c>
      <c r="X37" s="1265"/>
      <c r="Y37" s="3410"/>
      <c r="Z37" s="1264" t="str">
        <f t="shared" si="15"/>
        <v>成新度</v>
      </c>
      <c r="AA37" s="1264">
        <f t="shared" si="3"/>
        <v>1.0204081632653061</v>
      </c>
      <c r="AB37" s="1264">
        <f t="shared" si="4"/>
        <v>1</v>
      </c>
      <c r="AC37" s="1812">
        <f t="shared" si="5"/>
        <v>1.0204081632653061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2">
        <f t="shared" si="5"/>
        <v>1</v>
      </c>
    </row>
    <row r="39" spans="1:29" ht="15">
      <c r="A39" s="409"/>
      <c r="B39" s="364" t="s">
        <v>1819</v>
      </c>
      <c r="C39" s="399" t="s">
        <v>3527</v>
      </c>
      <c r="D39" s="374">
        <v>100</v>
      </c>
      <c r="E39" s="399" t="s">
        <v>3527</v>
      </c>
      <c r="F39" s="400">
        <f>SUMIF(115:115,E39,116:116)-SUMIF(115:115,C39,116:116)+100</f>
        <v>100</v>
      </c>
      <c r="G39" s="399" t="s">
        <v>3527</v>
      </c>
      <c r="H39" s="374">
        <f>SUMIF(115:115,G39,116:116)-SUMIF(115:115,C39,116:116)+100</f>
        <v>100</v>
      </c>
      <c r="I39" s="399" t="s">
        <v>3527</v>
      </c>
      <c r="J39" s="374">
        <f>SUMIF(115:115,I39,116:116)-SUMIF(115:115,C39,116:116)+100</f>
        <v>100</v>
      </c>
      <c r="K39" s="538">
        <v>2</v>
      </c>
      <c r="L39" s="2491"/>
      <c r="M39" s="2486"/>
      <c r="N39" s="2486"/>
      <c r="O39" s="2486"/>
      <c r="P39" s="3408" t="s">
        <v>1696</v>
      </c>
      <c r="Q39" s="1263" t="str">
        <f t="shared" si="11"/>
        <v>物业管理</v>
      </c>
      <c r="R39" s="667" t="s">
        <v>14</v>
      </c>
      <c r="S39" s="668">
        <f t="shared" si="12"/>
        <v>100</v>
      </c>
      <c r="T39" s="667" t="s">
        <v>14</v>
      </c>
      <c r="U39" s="668">
        <f t="shared" si="13"/>
        <v>100</v>
      </c>
      <c r="V39" s="667" t="s">
        <v>14</v>
      </c>
      <c r="W39" s="668">
        <f t="shared" si="14"/>
        <v>100</v>
      </c>
      <c r="X39" s="1265"/>
      <c r="Y39" s="3410" t="s">
        <v>1696</v>
      </c>
      <c r="Z39" s="1264" t="str">
        <f t="shared" si="15"/>
        <v>物业管理</v>
      </c>
      <c r="AA39" s="1264">
        <f t="shared" si="3"/>
        <v>1</v>
      </c>
      <c r="AB39" s="1264">
        <f t="shared" si="4"/>
        <v>1</v>
      </c>
      <c r="AC39" s="1812">
        <f t="shared" si="5"/>
        <v>1</v>
      </c>
    </row>
    <row r="40" spans="1:29" ht="15">
      <c r="A40" s="409"/>
      <c r="B40" s="364" t="s">
        <v>1787</v>
      </c>
      <c r="C40" s="399" t="s">
        <v>3493</v>
      </c>
      <c r="D40" s="374">
        <v>100</v>
      </c>
      <c r="E40" s="399" t="s">
        <v>3493</v>
      </c>
      <c r="F40" s="400">
        <f>SUMIF(117:117,E40,118:118)-SUMIF(117:117,C40,118:118)+100</f>
        <v>100</v>
      </c>
      <c r="G40" s="399" t="s">
        <v>3493</v>
      </c>
      <c r="H40" s="374">
        <f>SUMIF(117:117,G40,118:118)-SUMIF(117:117,C40,118:118)+100</f>
        <v>100</v>
      </c>
      <c r="I40" s="399" t="s">
        <v>3493</v>
      </c>
      <c r="J40" s="374">
        <f>SUMIF(117:117,I40,118:118)-SUMIF(117:117,C40,118:118)+100</f>
        <v>100</v>
      </c>
      <c r="K40" s="538">
        <v>1</v>
      </c>
      <c r="L40" s="2491"/>
      <c r="M40" s="2486"/>
      <c r="N40" s="2486"/>
      <c r="O40" s="2486"/>
      <c r="P40" s="3408"/>
      <c r="Q40" s="1263" t="str">
        <f t="shared" si="11"/>
        <v>市政基础设施</v>
      </c>
      <c r="R40" s="667" t="s">
        <v>14</v>
      </c>
      <c r="S40" s="668">
        <f t="shared" si="12"/>
        <v>100</v>
      </c>
      <c r="T40" s="667" t="s">
        <v>14</v>
      </c>
      <c r="U40" s="668">
        <f t="shared" si="13"/>
        <v>100</v>
      </c>
      <c r="V40" s="667" t="s">
        <v>14</v>
      </c>
      <c r="W40" s="668">
        <f t="shared" si="14"/>
        <v>100</v>
      </c>
      <c r="X40" s="1265"/>
      <c r="Y40" s="3410"/>
      <c r="Z40" s="1264" t="str">
        <f t="shared" si="15"/>
        <v>市政基础设施</v>
      </c>
      <c r="AA40" s="1264">
        <f t="shared" si="3"/>
        <v>1</v>
      </c>
      <c r="AB40" s="1264">
        <f t="shared" si="4"/>
        <v>1</v>
      </c>
      <c r="AC40" s="1812">
        <f t="shared" si="5"/>
        <v>1</v>
      </c>
    </row>
    <row r="41" spans="1:29" ht="15">
      <c r="A41" s="409"/>
      <c r="B41" s="364" t="s">
        <v>1789</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5</v>
      </c>
      <c r="L41" s="2491"/>
      <c r="M41" s="2486"/>
      <c r="N41" s="2486"/>
      <c r="O41" s="2486"/>
      <c r="P41" s="3408"/>
      <c r="Q41" s="1263" t="str">
        <f t="shared" si="11"/>
        <v>层高</v>
      </c>
      <c r="R41" s="667" t="s">
        <v>14</v>
      </c>
      <c r="S41" s="668">
        <f t="shared" si="12"/>
        <v>100</v>
      </c>
      <c r="T41" s="667" t="s">
        <v>14</v>
      </c>
      <c r="U41" s="668">
        <f t="shared" si="13"/>
        <v>100</v>
      </c>
      <c r="V41" s="667" t="s">
        <v>14</v>
      </c>
      <c r="W41" s="668">
        <f t="shared" si="14"/>
        <v>100</v>
      </c>
      <c r="X41" s="1265"/>
      <c r="Y41" s="341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4">
        <f t="shared" si="3"/>
        <v>1</v>
      </c>
      <c r="AB42" s="1264">
        <f t="shared" si="4"/>
        <v>1</v>
      </c>
      <c r="AC42" s="1812">
        <f t="shared" si="5"/>
        <v>1</v>
      </c>
    </row>
    <row r="43" spans="1:29" ht="15">
      <c r="A43" s="409"/>
      <c r="B43" s="364" t="s">
        <v>1792</v>
      </c>
      <c r="C43" s="399" t="s">
        <v>3490</v>
      </c>
      <c r="D43" s="374">
        <v>100</v>
      </c>
      <c r="E43" s="399" t="s">
        <v>3488</v>
      </c>
      <c r="F43" s="400">
        <f>SUMIF(123:123,E43,124:124)-SUMIF(123:123,C43,124:124)+100</f>
        <v>101</v>
      </c>
      <c r="G43" s="399" t="s">
        <v>3486</v>
      </c>
      <c r="H43" s="374">
        <f>SUMIF(123:123,G43,124:124)-SUMIF(123:123,C43,124:124)+100</f>
        <v>102</v>
      </c>
      <c r="I43" s="399" t="s">
        <v>3488</v>
      </c>
      <c r="J43" s="374">
        <f>SUMIF(123:123,I43,124:124)-SUMIF(123:123,C43,124:124)+100</f>
        <v>101</v>
      </c>
      <c r="K43" s="538">
        <v>1</v>
      </c>
      <c r="L43" s="2491"/>
      <c r="M43" s="2486"/>
      <c r="N43" s="2486"/>
      <c r="O43" s="2486"/>
      <c r="P43" s="3408"/>
      <c r="Q43" s="1263" t="str">
        <f t="shared" si="11"/>
        <v>内部装修</v>
      </c>
      <c r="R43" s="667" t="s">
        <v>14</v>
      </c>
      <c r="S43" s="668">
        <f t="shared" si="12"/>
        <v>101</v>
      </c>
      <c r="T43" s="667" t="s">
        <v>14</v>
      </c>
      <c r="U43" s="668">
        <f t="shared" si="13"/>
        <v>102</v>
      </c>
      <c r="V43" s="667" t="s">
        <v>14</v>
      </c>
      <c r="W43" s="668">
        <f t="shared" si="14"/>
        <v>101</v>
      </c>
      <c r="X43" s="1265"/>
      <c r="Y43" s="3410"/>
      <c r="Z43" s="1264" t="str">
        <f t="shared" si="15"/>
        <v>内部装修</v>
      </c>
      <c r="AA43" s="1264">
        <f t="shared" si="3"/>
        <v>0.99009900990099009</v>
      </c>
      <c r="AB43" s="1264">
        <f t="shared" si="4"/>
        <v>0.98039215686274506</v>
      </c>
      <c r="AC43" s="1812">
        <f t="shared" si="5"/>
        <v>0.99009900990099009</v>
      </c>
    </row>
    <row r="44" spans="1:29" ht="28.8">
      <c r="A44" s="409"/>
      <c r="B44" s="364" t="s">
        <v>1707</v>
      </c>
      <c r="C44" s="399" t="s">
        <v>3469</v>
      </c>
      <c r="D44" s="374">
        <v>100</v>
      </c>
      <c r="E44" s="399" t="s">
        <v>3469</v>
      </c>
      <c r="F44" s="400">
        <f>SUMIF(125:125,E44,126:126)-SUMIF(125:125,C44,126:126)+100</f>
        <v>100</v>
      </c>
      <c r="G44" s="399" t="s">
        <v>3469</v>
      </c>
      <c r="H44" s="374">
        <f>SUMIF(125:125,G44,126:126)-SUMIF(125:125,C44,126:126)+100</f>
        <v>100</v>
      </c>
      <c r="I44" s="399" t="s">
        <v>3469</v>
      </c>
      <c r="J44" s="374">
        <f>SUMIF(125:125,I44,126:126)-SUMIF(125:125,C44,126:126)+100</f>
        <v>100</v>
      </c>
      <c r="K44" s="538">
        <v>2</v>
      </c>
      <c r="L44" s="2491"/>
      <c r="M44" s="2486"/>
      <c r="N44" s="2486"/>
      <c r="O44" s="2486"/>
      <c r="P44" s="3408"/>
      <c r="Q44" s="1263" t="str">
        <f t="shared" si="11"/>
        <v>内部装修维护情况</v>
      </c>
      <c r="R44" s="667" t="s">
        <v>14</v>
      </c>
      <c r="S44" s="668">
        <f t="shared" si="12"/>
        <v>100</v>
      </c>
      <c r="T44" s="667" t="s">
        <v>14</v>
      </c>
      <c r="U44" s="668">
        <f t="shared" si="13"/>
        <v>100</v>
      </c>
      <c r="V44" s="667" t="s">
        <v>14</v>
      </c>
      <c r="W44" s="668">
        <f t="shared" si="14"/>
        <v>100</v>
      </c>
      <c r="X44" s="1265"/>
      <c r="Y44" s="341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812">
        <f t="shared" si="5"/>
        <v>1</v>
      </c>
    </row>
    <row r="47" spans="1:29" ht="15.6" thickBot="1">
      <c r="A47" s="415"/>
      <c r="B47" s="1749">
        <v>111</v>
      </c>
      <c r="C47" s="3179" t="s">
        <v>3614</v>
      </c>
      <c r="D47" s="377">
        <v>100</v>
      </c>
      <c r="E47" s="3188" t="s">
        <v>3614</v>
      </c>
      <c r="F47" s="378">
        <f>SUMIF(131:131,E47,132:132)-SUMIF(131:131,C47,132:132)+100</f>
        <v>100</v>
      </c>
      <c r="G47" s="3188" t="s">
        <v>3614</v>
      </c>
      <c r="H47" s="377">
        <f>SUMIF(131:131,G47,132:132)-SUMIF(131:131,C47,132:132)+100</f>
        <v>100</v>
      </c>
      <c r="I47" s="3188" t="s">
        <v>3614</v>
      </c>
      <c r="J47" s="377">
        <f>SUMIF(131:131,I47,132:132)-SUMIF(131:131,C47,132:132)+100</f>
        <v>100</v>
      </c>
      <c r="K47" s="539"/>
      <c r="L47" s="2491"/>
      <c r="M47" s="2486"/>
      <c r="N47" s="2486"/>
      <c r="O47" s="2486"/>
      <c r="P47" s="3409"/>
      <c r="Q47" s="1263">
        <f t="shared" si="11"/>
        <v>111</v>
      </c>
      <c r="R47" s="667" t="s">
        <v>14</v>
      </c>
      <c r="S47" s="668">
        <f t="shared" si="12"/>
        <v>100</v>
      </c>
      <c r="T47" s="667" t="s">
        <v>14</v>
      </c>
      <c r="U47" s="668">
        <f t="shared" si="13"/>
        <v>100</v>
      </c>
      <c r="V47" s="667" t="s">
        <v>14</v>
      </c>
      <c r="W47" s="668">
        <f t="shared" si="14"/>
        <v>100</v>
      </c>
      <c r="X47" s="1265"/>
      <c r="Y47" s="3411"/>
      <c r="Z47" s="1264">
        <f t="shared" si="15"/>
        <v>111</v>
      </c>
      <c r="AA47" s="1264">
        <f t="shared" si="3"/>
        <v>1</v>
      </c>
      <c r="AB47" s="1264">
        <f t="shared" si="4"/>
        <v>1</v>
      </c>
      <c r="AC47" s="1812">
        <f t="shared" si="5"/>
        <v>1</v>
      </c>
    </row>
    <row r="48" spans="1:29" ht="14.4">
      <c r="A48" s="416" t="s">
        <v>1708</v>
      </c>
      <c r="B48" s="417"/>
      <c r="C48" s="1081" t="s">
        <v>0</v>
      </c>
      <c r="D48" s="418"/>
      <c r="E48" s="419">
        <f>办公案例!L13</f>
        <v>2.5</v>
      </c>
      <c r="F48" s="420"/>
      <c r="G48" s="421">
        <f>办公案例!L16</f>
        <v>2.8</v>
      </c>
      <c r="H48" s="422"/>
      <c r="I48" s="419">
        <v>2.8</v>
      </c>
      <c r="J48" s="422"/>
      <c r="K48" s="674"/>
      <c r="L48" s="2493"/>
      <c r="M48" s="2486"/>
      <c r="N48" s="2486"/>
      <c r="O48" s="2486"/>
      <c r="P48" s="3414" t="str">
        <f>A48</f>
        <v>成交单价（元/平方米）</v>
      </c>
      <c r="Q48" s="3403"/>
      <c r="R48" s="3404">
        <f>E48</f>
        <v>2.5</v>
      </c>
      <c r="S48" s="3404"/>
      <c r="T48" s="3404">
        <f>G48</f>
        <v>2.8</v>
      </c>
      <c r="U48" s="3404"/>
      <c r="V48" s="3404">
        <f>I48</f>
        <v>2.8</v>
      </c>
      <c r="W48" s="3404"/>
      <c r="X48" s="385"/>
      <c r="Y48" s="673"/>
      <c r="Z48" s="385"/>
      <c r="AA48" s="385"/>
      <c r="AB48" s="385"/>
      <c r="AC48" s="555"/>
    </row>
    <row r="49" spans="1:29" ht="15" thickBot="1">
      <c r="A49" s="423" t="s">
        <v>1793</v>
      </c>
      <c r="B49" s="424"/>
      <c r="C49" s="1082">
        <f>R50</f>
        <v>2.7</v>
      </c>
      <c r="D49" s="2141" t="s">
        <v>2135</v>
      </c>
      <c r="E49" s="1083">
        <f>R49</f>
        <v>2.6</v>
      </c>
      <c r="F49" s="2142"/>
      <c r="G49" s="1082">
        <f>T49</f>
        <v>2.7</v>
      </c>
      <c r="H49" s="2142"/>
      <c r="I49" s="1083">
        <f>V49</f>
        <v>2.8</v>
      </c>
      <c r="J49" s="2142"/>
      <c r="K49" s="2144">
        <f>F49+H49+J49</f>
        <v>0</v>
      </c>
      <c r="L49" s="2493"/>
      <c r="M49" s="2486"/>
      <c r="N49" s="2486"/>
      <c r="O49" s="2486"/>
      <c r="P49" s="3414" t="str">
        <f>A49</f>
        <v>比较价值（元/平方米）</v>
      </c>
      <c r="Q49" s="3403"/>
      <c r="R49" s="3404">
        <f>IF(F1="售价",ROUND(PRODUCT(R48,AA7:AA47),0),ROUND(PRODUCT(R48,AA7:AA47),1))</f>
        <v>2.6</v>
      </c>
      <c r="S49" s="3404"/>
      <c r="T49" s="3404">
        <f>IF(F1="售价",ROUND(PRODUCT(T48,AB7:AB47),0),ROUND(PRODUCT(T48,AB7:AB47),1))</f>
        <v>2.7</v>
      </c>
      <c r="U49" s="3404"/>
      <c r="V49" s="3404">
        <f>IF(F1="售价",ROUND(PRODUCT(V48,AC7:AC47),0),ROUND(PRODUCT(V48,AC7:AC47),1))</f>
        <v>2.8</v>
      </c>
      <c r="W49" s="3404"/>
      <c r="X49" s="385"/>
      <c r="Y49" s="385"/>
      <c r="Z49" s="385"/>
      <c r="AA49" s="385"/>
      <c r="AB49" s="385"/>
      <c r="AC49" s="555"/>
    </row>
    <row r="50" spans="1:29" ht="15" thickBot="1">
      <c r="A50" s="427" t="s">
        <v>1794</v>
      </c>
      <c r="B50" s="428"/>
      <c r="C50" s="351">
        <f>R50</f>
        <v>2.7</v>
      </c>
      <c r="D50" s="351"/>
      <c r="E50" s="351"/>
      <c r="F50" s="351"/>
      <c r="G50" s="351"/>
      <c r="H50" s="351"/>
      <c r="I50" s="351"/>
      <c r="J50" s="429"/>
      <c r="K50" s="675"/>
      <c r="L50" s="2493"/>
      <c r="M50" s="2486"/>
      <c r="N50" s="2486"/>
      <c r="O50" s="2486"/>
      <c r="P50" s="3446" t="str">
        <f>A50</f>
        <v>估价对象XX用房的比较价值（楼面单价，元/平方米）</v>
      </c>
      <c r="Q50" s="3447"/>
      <c r="R50" s="3448">
        <f>IF(F1="售价",ROUND(IF(D49="简单平均",AVERAGE(R49:V49),R49*F49+T49*H49+V49*J49),0),ROUND(IF(D49="简单平均",AVERAGE(R49:V49),R49*F49+T49*H49+V49*J49),2))</f>
        <v>2.7</v>
      </c>
      <c r="S50" s="3448"/>
      <c r="T50" s="3448"/>
      <c r="U50" s="3448"/>
      <c r="V50" s="3448"/>
      <c r="W50" s="344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4.0000000000000036E-2</v>
      </c>
      <c r="F53" s="435" t="str">
        <f>IF(OR(E53&gt;=0.3,E53&lt;=-0.3),"超过30%","")</f>
        <v/>
      </c>
      <c r="G53" s="434">
        <f>IF(G48&lt;G49,G49/G48-1,G48/G49-1)</f>
        <v>3.7037037037036979E-2</v>
      </c>
      <c r="H53" s="435" t="str">
        <f>IF(OR(G53&gt;=0.3,G53&lt;=-0.3),"超过30%","")</f>
        <v/>
      </c>
      <c r="I53" s="434">
        <f>IF(I48&lt;I49,I49/I48-1,I48/I49-1)</f>
        <v>0</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3.8461538461538547E-2</v>
      </c>
      <c r="F54" s="435" t="str">
        <f>IF(OR(E54&gt;=0.2,E54&lt;=-0.2),"超过20%","")</f>
        <v/>
      </c>
      <c r="G54" s="434">
        <f>IF(G49&lt;I49,I49/G49-1,G49/I49-1)</f>
        <v>3.7037037037036979E-2</v>
      </c>
      <c r="H54" s="435" t="str">
        <f>IF(OR(G54&gt;=0.2,G54&lt;=-0.2),"超过20%","")</f>
        <v/>
      </c>
      <c r="I54" s="434">
        <f>IF(I49&lt;E49,E49/I49-1,I49/E49-1)</f>
        <v>7.6923076923076872E-2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0.11999999999999988</v>
      </c>
      <c r="F55" s="435" t="str">
        <f>IF(OR(E55&gt;=0.3,E55&lt;=-0.3),"超过30%","")</f>
        <v/>
      </c>
      <c r="G55" s="434">
        <f>IF(G48&lt;I48,I48/G48-1,G48/I48-1)</f>
        <v>0</v>
      </c>
      <c r="H55" s="435" t="str">
        <f>IF(OR(G55&gt;=0.3,G55&lt;=-0.3),"超过30%","")</f>
        <v/>
      </c>
      <c r="I55" s="434">
        <f>IF(I48&lt;E48,E48/I48-1,I48/E48-1)</f>
        <v>0.11999999999999988</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1" t="s">
        <v>3513</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3184">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3164" t="s">
        <v>3611</v>
      </c>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v>97</v>
      </c>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3463</v>
      </c>
      <c r="D66" s="513" t="s">
        <v>3464</v>
      </c>
      <c r="E66" s="513" t="s">
        <v>3465</v>
      </c>
      <c r="F66" s="513" t="s">
        <v>3466</v>
      </c>
      <c r="G66" s="513" t="s">
        <v>3467</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6" t="s">
        <v>3515</v>
      </c>
      <c r="D87" s="3162" t="s">
        <v>3516</v>
      </c>
      <c r="E87" s="3162" t="s">
        <v>3518</v>
      </c>
      <c r="F87" s="3162" t="s">
        <v>3520</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2" t="s">
        <v>3522</v>
      </c>
      <c r="D89" s="3162" t="s">
        <v>3524</v>
      </c>
      <c r="E89" s="3162" t="s">
        <v>3525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98</v>
      </c>
      <c r="E92" s="475">
        <f t="shared" si="21"/>
        <v>96</v>
      </c>
      <c r="F92" s="475">
        <f t="shared" si="21"/>
        <v>94</v>
      </c>
      <c r="G92" s="475">
        <f t="shared" si="21"/>
        <v>92</v>
      </c>
      <c r="H92" s="475">
        <f t="shared" si="21"/>
        <v>90</v>
      </c>
      <c r="I92" s="475">
        <f t="shared" si="21"/>
        <v>88</v>
      </c>
      <c r="J92" s="475">
        <f t="shared" si="21"/>
        <v>86</v>
      </c>
      <c r="K92" s="475">
        <f t="shared" si="21"/>
        <v>84</v>
      </c>
      <c r="L92" s="475">
        <f t="shared" si="21"/>
        <v>82</v>
      </c>
      <c r="M92" s="475">
        <f t="shared" si="21"/>
        <v>80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4" t="s">
        <v>3610</v>
      </c>
      <c r="D101" s="3164"/>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1500(含)-2000</v>
      </c>
      <c r="H103" s="509" t="str">
        <f t="shared" si="23"/>
        <v>2000(含)-1500</v>
      </c>
      <c r="I103" s="509" t="str">
        <f t="shared" si="23"/>
        <v>1500(含)-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1000</v>
      </c>
      <c r="G104" s="6">
        <v>1500</v>
      </c>
      <c r="H104" s="6">
        <v>2000</v>
      </c>
      <c r="I104" s="6">
        <v>1500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f>D105-1</f>
        <v>99</v>
      </c>
      <c r="D105" s="467">
        <v>100</v>
      </c>
      <c r="E105" s="467">
        <f>D105-1</f>
        <v>99</v>
      </c>
      <c r="F105" s="467">
        <f t="shared" ref="F105:I105" si="24">E105-1</f>
        <v>98</v>
      </c>
      <c r="G105" s="467">
        <f t="shared" si="24"/>
        <v>97</v>
      </c>
      <c r="H105" s="467">
        <f t="shared" si="24"/>
        <v>96</v>
      </c>
      <c r="I105" s="467">
        <f t="shared" si="24"/>
        <v>95</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2" t="s">
        <v>3526</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62" t="s">
        <v>3534</v>
      </c>
      <c r="D108" s="3162" t="s">
        <v>3535</v>
      </c>
      <c r="E108" s="3162" t="s">
        <v>3536</v>
      </c>
      <c r="F108" s="3165" t="s">
        <v>3537</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2" t="s">
        <v>3528</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2" t="s">
        <v>3529</v>
      </c>
      <c r="D117" s="3162" t="s">
        <v>3530</v>
      </c>
      <c r="E117" s="3162" t="s">
        <v>3531</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5" t="s">
        <v>3533</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2" t="s">
        <v>3534</v>
      </c>
      <c r="D123" s="3162" t="s">
        <v>3535</v>
      </c>
      <c r="E123" s="3162" t="s">
        <v>3536</v>
      </c>
      <c r="F123" s="3165" t="s">
        <v>3537</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algorithmName="SHA-512" hashValue="TfNF8u2s3LXJ+5gbxMIL7WT2JMWmjdc2SP/daLK/sQbM7mRGdmKiyLNgrOwLgwkwehBSXXQAej3Ml0LkTP4MbQ==" saltValue="snyl3zZ5IywCcbdLyWMepA=="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受贵公司委托，我公司对北京市昌平区文智路15号院7号楼1层103、3层301、4层401、5层501进行了预评估。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文智路15号院7号楼1层103、3层301、4层401、5层501房地产，为北京招商局铭嘉房地产开发有限公司所有。根据《国有土地使用证》[]，估价对象（分摊）出让国有建设用地使用权面积为0平方米，建筑面积为3490.93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3490.93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2025年2月18日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tabSelected="1" zoomScale="70" zoomScaleNormal="70" workbookViewId="0">
      <pane ySplit="24" topLeftCell="A25" activePane="bottomLeft" state="frozen"/>
      <selection activeCell="C50" sqref="C50"/>
      <selection pane="bottomLeft" activeCell="V24" sqref="V24"/>
    </sheetView>
  </sheetViews>
  <sheetFormatPr defaultColWidth="9" defaultRowHeight="13.2"/>
  <cols>
    <col min="1" max="1" width="11.44140625" style="122" customWidth="1"/>
    <col min="2" max="2" width="9.21875" style="24" customWidth="1"/>
    <col min="3" max="3" width="8.21875" style="24" customWidth="1"/>
    <col min="4" max="4" width="9" style="24"/>
    <col min="5" max="5" width="7"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ht="39.6">
      <c r="A2" s="930"/>
      <c r="B2" s="622" t="s">
        <v>2086</v>
      </c>
      <c r="C2" s="14" t="str">
        <f t="shared" ref="C2:L2" si="0">C3&amp;"(含)"&amp;"-"&amp;D3</f>
        <v>0(含)-300</v>
      </c>
      <c r="D2" s="623" t="str">
        <f t="shared" si="0"/>
        <v>300(含)-500</v>
      </c>
      <c r="E2" s="623" t="str">
        <f t="shared" si="0"/>
        <v>500(含)-1000</v>
      </c>
      <c r="F2" s="623" t="str">
        <f t="shared" si="0"/>
        <v>1000(含)-1500</v>
      </c>
      <c r="G2" s="623" t="str">
        <f t="shared" si="0"/>
        <v>1500(含)-2000</v>
      </c>
      <c r="H2" s="623" t="str">
        <f t="shared" si="0"/>
        <v>2000(含)-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1000</v>
      </c>
      <c r="G3" s="627">
        <f>'比较法-办公'!G104</f>
        <v>1500</v>
      </c>
      <c r="H3" s="627">
        <f>'比较法-办公'!H104</f>
        <v>2000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99</v>
      </c>
      <c r="D4" s="627">
        <f>'比较法-办公'!D105</f>
        <v>100</v>
      </c>
      <c r="E4" s="627">
        <f>'比较法-办公'!E105</f>
        <v>99</v>
      </c>
      <c r="F4" s="627">
        <f>'比较法-办公'!F105</f>
        <v>98</v>
      </c>
      <c r="G4" s="627">
        <f>'比较法-办公'!G105</f>
        <v>97</v>
      </c>
      <c r="H4" s="627">
        <f>'比较法-办公'!H105</f>
        <v>96</v>
      </c>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5" t="s">
        <v>3584</v>
      </c>
      <c r="C5" s="940" t="str">
        <f>'比较法-办公'!C89</f>
        <v>高楼层</v>
      </c>
      <c r="D5" s="940" t="str">
        <f>'比较法-办公'!D89</f>
        <v>中楼层</v>
      </c>
      <c r="E5" s="940" t="str">
        <f>'比较法-办公'!E89</f>
        <v>低楼层</v>
      </c>
      <c r="F5" s="1227"/>
      <c r="G5" s="1227"/>
      <c r="H5" s="1227"/>
      <c r="I5" s="1227"/>
      <c r="J5" s="1227"/>
      <c r="K5" s="1227"/>
      <c r="L5" s="1228"/>
      <c r="M5" s="1229"/>
      <c r="N5" s="1229"/>
      <c r="O5" s="1227"/>
      <c r="P5" s="1227"/>
      <c r="Q5" s="1227"/>
      <c r="R5" s="1227"/>
      <c r="S5" s="1230"/>
      <c r="T5" s="943">
        <f>'比较法-办公'!K27</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6.4">
      <c r="A7" s="925"/>
      <c r="B7" s="3176" t="s">
        <v>3585</v>
      </c>
      <c r="C7" s="851" t="str">
        <f>'比较法-办公'!C123</f>
        <v>精装修</v>
      </c>
      <c r="D7" s="851" t="str">
        <f>'比较法-办公'!D123</f>
        <v>普通装修</v>
      </c>
      <c r="E7" s="851" t="str">
        <f>'比较法-办公'!E123</f>
        <v>简单装修</v>
      </c>
      <c r="F7" s="851" t="str">
        <f>'比较法-办公'!F123</f>
        <v>毛坯</v>
      </c>
      <c r="G7" s="1232"/>
      <c r="H7" s="1232"/>
      <c r="I7" s="1232"/>
      <c r="J7" s="1232"/>
      <c r="K7" s="1232"/>
      <c r="L7" s="1232"/>
      <c r="M7" s="1233"/>
      <c r="N7" s="1234"/>
      <c r="O7" s="1235"/>
      <c r="P7" s="1235"/>
      <c r="Q7" s="1236"/>
      <c r="R7" s="1237"/>
      <c r="S7" s="1238"/>
      <c r="T7" s="631">
        <f>'比较法-办公'!K43</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99</v>
      </c>
      <c r="E8" s="849">
        <f t="shared" ref="E8:S8" si="8">D8-$T7</f>
        <v>98</v>
      </c>
      <c r="F8" s="1231">
        <f t="shared" si="8"/>
        <v>97</v>
      </c>
      <c r="G8" s="1231">
        <f t="shared" si="8"/>
        <v>96</v>
      </c>
      <c r="H8" s="1231">
        <f t="shared" si="8"/>
        <v>95</v>
      </c>
      <c r="I8" s="1231">
        <f t="shared" si="8"/>
        <v>94</v>
      </c>
      <c r="J8" s="1231">
        <f t="shared" si="8"/>
        <v>93</v>
      </c>
      <c r="K8" s="1231">
        <f t="shared" si="8"/>
        <v>92</v>
      </c>
      <c r="L8" s="1231">
        <f t="shared" si="8"/>
        <v>91</v>
      </c>
      <c r="M8" s="1231">
        <f t="shared" si="8"/>
        <v>90</v>
      </c>
      <c r="N8" s="1231">
        <f t="shared" si="8"/>
        <v>89</v>
      </c>
      <c r="O8" s="1231">
        <f t="shared" si="8"/>
        <v>88</v>
      </c>
      <c r="P8" s="1231">
        <f t="shared" si="8"/>
        <v>87</v>
      </c>
      <c r="Q8" s="1231">
        <f t="shared" si="8"/>
        <v>86</v>
      </c>
      <c r="R8" s="1231">
        <f t="shared" si="8"/>
        <v>85</v>
      </c>
      <c r="S8" s="1231">
        <f t="shared" si="8"/>
        <v>84</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2" thickBot="1">
      <c r="A20" s="632" t="s">
        <v>2094</v>
      </c>
      <c r="B20" s="286">
        <f>IF(D20="——",S22,S22-F20)</f>
        <v>0</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6">
      <c r="A21" s="632" t="s">
        <v>2096</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2831.38</v>
      </c>
      <c r="C22" s="3462" t="s">
        <v>27</v>
      </c>
      <c r="D22" s="3463"/>
      <c r="E22" s="3463"/>
      <c r="F22" s="3463"/>
      <c r="G22" s="3463"/>
      <c r="H22" s="3463"/>
      <c r="I22" s="3463"/>
      <c r="J22" s="3463"/>
      <c r="K22" s="3463"/>
      <c r="L22" s="3463"/>
      <c r="M22" s="3463"/>
      <c r="N22" s="3463"/>
      <c r="O22" s="3463"/>
      <c r="P22" s="3463"/>
      <c r="Q22" s="3464"/>
      <c r="R22" s="3182">
        <f>ROUND((R24*B24+R25*B25+R26*B26)/B22,2)</f>
        <v>2.72</v>
      </c>
      <c r="S22" s="21">
        <f>SUM(S24:S10000)</f>
        <v>0</v>
      </c>
    </row>
    <row r="23" spans="1:45" s="9" customFormat="1" ht="24">
      <c r="A23" s="8" t="s">
        <v>2098</v>
      </c>
      <c r="B23" s="8" t="s">
        <v>2099</v>
      </c>
      <c r="C23" s="8" t="s">
        <v>2100</v>
      </c>
      <c r="D23" s="8" t="str">
        <f>B5</f>
        <v>楼层</v>
      </c>
      <c r="E23" s="8" t="s">
        <v>2100</v>
      </c>
      <c r="F23" s="8" t="str">
        <f>B7</f>
        <v>装修状况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301</v>
      </c>
      <c r="B24" s="633">
        <f>'数据-汇总表'!E20</f>
        <v>1209.8</v>
      </c>
      <c r="C24" s="2569">
        <v>1</v>
      </c>
      <c r="D24" s="2570" t="s">
        <v>3523</v>
      </c>
      <c r="E24" s="2569">
        <v>1</v>
      </c>
      <c r="F24" s="2570" t="s">
        <v>3490</v>
      </c>
      <c r="G24" s="2569">
        <v>1</v>
      </c>
      <c r="H24" s="2570"/>
      <c r="I24" s="2569">
        <v>1</v>
      </c>
      <c r="J24" s="2570"/>
      <c r="K24" s="2569">
        <v>1</v>
      </c>
      <c r="L24" s="2570"/>
      <c r="M24" s="2569">
        <v>1</v>
      </c>
      <c r="N24" s="2570"/>
      <c r="O24" s="2569">
        <v>1</v>
      </c>
      <c r="P24" s="2570"/>
      <c r="Q24" s="2569">
        <v>1</v>
      </c>
      <c r="R24" s="633">
        <f>'比较法-办公'!C49</f>
        <v>2.7</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'数据-汇总表'!C21</f>
        <v>401</v>
      </c>
      <c r="B25" s="633">
        <f>'数据-汇总表'!E21</f>
        <v>1188.8599999999999</v>
      </c>
      <c r="C25" s="21">
        <f>IF(B25="",1,(LOOKUP(B25,$3:$3,$4:$4)-LOOKUP($B$24,$3:$3,$4:$4)+100)/100)</f>
        <v>1</v>
      </c>
      <c r="D25" s="635" t="s">
        <v>3521</v>
      </c>
      <c r="E25" s="21">
        <f>(SUMIF($5:$5,D25,$6:$6)-SUMIF($5:$5,$D$24,$6:$6)+100)/100</f>
        <v>1.01</v>
      </c>
      <c r="F25" s="635" t="s">
        <v>3490</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3182">
        <f>IF(B25="",0,ROUND($R$24*C25*E25*G25*I25*K25*M25*O25*Q25,2))</f>
        <v>2.73</v>
      </c>
      <c r="S25" s="308">
        <f t="shared" si="11"/>
        <v>0</v>
      </c>
    </row>
    <row r="26" spans="1:45">
      <c r="A26" s="142">
        <f>'数据-汇总表'!C22</f>
        <v>201</v>
      </c>
      <c r="B26" s="633">
        <f>'数据-汇总表'!E22</f>
        <v>432.72</v>
      </c>
      <c r="C26" s="21">
        <f t="shared" ref="C26:C89" si="12">IF(B26="",1,(LOOKUP(B26,$3:$3,$4:$4)-LOOKUP($B$24,$3:$3,$4:$4)+100)/100)</f>
        <v>1.02</v>
      </c>
      <c r="D26" s="635" t="s">
        <v>3615</v>
      </c>
      <c r="E26" s="21">
        <f t="shared" ref="E26:E89" si="13">(SUMIF($5:$5,D26,$6:$6)-SUMIF($5:$5,$D$24,$6:$6)+100)/100</f>
        <v>0.99</v>
      </c>
      <c r="F26" s="635" t="s">
        <v>3490</v>
      </c>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3182">
        <f>IF(B26="",0,ROUND($R$24*C26*E26*G26*I26*K26*M26*O26*Q26,2))</f>
        <v>2.73</v>
      </c>
      <c r="S26" s="308">
        <f t="shared" si="11"/>
        <v>0</v>
      </c>
    </row>
    <row r="27" spans="1:45">
      <c r="A27" s="142"/>
      <c r="B27" s="52"/>
      <c r="C27" s="21">
        <f t="shared" si="12"/>
        <v>1</v>
      </c>
      <c r="D27" s="635"/>
      <c r="E27" s="21">
        <f t="shared" si="13"/>
        <v>0.01</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ref="R27:R89" si="20">IF(B27="",0,ROUND($R$24*C27*E27*G27*I27*K27*M27*O27*Q27,0))</f>
        <v>0</v>
      </c>
      <c r="S27" s="308">
        <f t="shared" si="11"/>
        <v>0</v>
      </c>
    </row>
    <row r="28" spans="1:45">
      <c r="A28" s="142"/>
      <c r="B28" s="52"/>
      <c r="C28" s="21">
        <f t="shared" si="12"/>
        <v>1</v>
      </c>
      <c r="D28" s="635"/>
      <c r="E28" s="21">
        <f t="shared" si="13"/>
        <v>0.01</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0.01</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0.01</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0.01</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0.01</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0.01</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0.01</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0.01</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0.01</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0.01</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0.01</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0.01</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0.01</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0.01</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0.01</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0.01</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0.01</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0.01</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0.01</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0.01</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0.01</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0.01</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0.01</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0.01</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0.01</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0.01</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0.01</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0.01</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0.01</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0.01</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0.01</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0.01</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0.01</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0.01</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0.01</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0.01</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0.01</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0.01</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0.01</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0.01</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0.01</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0.01</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0.01</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0.01</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0.01</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0.01</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0.01</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0.01</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0.01</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0.01</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0.01</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0.01</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0.01</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0.01</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0.01</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0.01</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0.01</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0.01</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0.01</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0.01</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0.01</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0.01</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0.01</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0.01</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0.01</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0.01</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0.01</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0.01</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0.01</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0.01</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0.01</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0.01</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0.01</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0.01</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0.01</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0.01</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0.01</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0.01</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0.01</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0.01</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0.01</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0.01</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0.01</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0.01</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0.01</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0.01</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0.01</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0.01</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0.01</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0.01</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0.01</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0.01</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0.01</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0.01</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0.01</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0.01</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0.01</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0.01</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0.01</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0.01</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0.01</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0.01</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0.01</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0.01</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0.01</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0.01</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0.01</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0.01</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0.01</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0.01</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0.01</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0.01</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0.01</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0.01</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0.01</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0.01</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0.01</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0.01</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0.01</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0.01</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0.01</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0.01</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0.01</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0.01</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0.01</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0.01</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0.01</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0.01</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0.01</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0.01</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0.01</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0.01</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0.01</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0.01</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0.01</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0.01</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0.01</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0.01</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0.01</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0.01</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0.01</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0.01</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0.01</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0.01</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0.01</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0.01</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0.01</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0.01</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0.01</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0.01</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0.01</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0.01</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0.01</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0.01</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0.01</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0.01</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0.01</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0.01</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0.01</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0.01</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0.01</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0.01</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0.01</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0.01</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0.01</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0.01</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0.01</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0.01</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0.01</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0.01</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0.01</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0.01</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0.01</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0.01</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0.01</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0.01</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0.01</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0.01</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0.01</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0.01</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0.01</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0.01</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0.01</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0.01</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0.01</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0.01</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0.01</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0.01</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0.01</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0.01</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0.01</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0.01</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0.01</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0.01</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0.01</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0.01</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0.01</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0.01</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0.01</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0.01</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0.01</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0.01</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0.01</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0.01</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0.01</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0.01</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0.01</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0.01</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0.01</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0.01</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0.01</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0.01</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0.01</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0.01</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0.01</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0.01</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0.01</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0.01</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0.01</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0.01</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0.01</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0.01</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0.01</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0.01</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0.01</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0.01</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0.01</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0.01</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0.01</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0.01</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0.01</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0.01</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0.01</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0.01</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0.01</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0.01</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0.01</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0.01</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0.01</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0.01</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0.01</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0.01</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0.01</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0.01</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0.01</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0.01</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0.01</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0.01</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0.01</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0.01</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0.01</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0.01</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0.01</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0.01</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0.01</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0.01</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0.01</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0.01</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0.01</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0.01</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0.01</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0.01</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0.01</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0.01</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0.01</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0.01</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0.01</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0.01</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0.01</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0.01</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0.01</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0.01</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0.01</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0.01</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0.01</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0.01</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0.01</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0.01</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0.01</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0.01</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0.01</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0.01</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0.01</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0.01</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0.01</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0.01</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0.01</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0.01</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0.01</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0.01</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0.01</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0.01</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0.01</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0.01</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0.01</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0.01</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0.01</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0.01</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0.01</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0.01</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0.01</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0.01</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0.01</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0.01</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0.01</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0.01</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0.01</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0.01</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0.01</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0.01</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0.01</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0.01</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0.01</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0.01</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0.01</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0.01</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0.01</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0.01</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0.01</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0.01</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0.01</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0.01</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0.01</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0.01</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0.01</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0.01</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0.01</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0.01</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0.01</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0.01</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0.01</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0.01</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0.01</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0.01</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0.01</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0.01</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0.01</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0.01</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0.01</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0.01</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0.01</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0.01</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0.01</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0.01</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0.01</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0.01</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0.01</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0.01</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0.01</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0.01</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0.01</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0.01</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0.01</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0.01</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0.01</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0.01</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0.01</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0.01</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0.01</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0.01</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0.01</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0.01</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0.01</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0.01</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0.01</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0.01</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0.01</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0.01</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0.01</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0.01</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0.01</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0.01</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0.01</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0.01</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0.01</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0.01</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0.01</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0.01</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0.01</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0.01</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0.01</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0.01</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0.01</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0.01</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0.01</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0.01</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0.01</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0.01</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0.01</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0.01</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0.01</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0.01</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0.01</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0.01</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0.01</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0.01</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0.01</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0.01</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0.01</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0.01</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0.01</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0.01</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0.01</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0.01</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0.01</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0.01</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0.01</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0.01</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0.01</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0.01</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0.01</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0.01</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0.01</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0.01</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0.01</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0.01</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0.01</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0.01</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0.01</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0.01</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0.01</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0.01</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0.01</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0.01</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0.01</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0.01</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0.01</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0.01</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0.01</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0.01</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0.01</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0.01</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0.01</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0.01</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0.01</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0.01</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0.01</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0.01</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0.01</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0.01</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0.01</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0.01</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0.01</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0.01</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0.01</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0.01</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0.01</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0.01</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0.01</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0.01</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0.01</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0.01</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0.01</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0.01</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0.01</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0.01</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0.01</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0.01</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0.01</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0.01</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0.01</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0.01</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0.01</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0.01</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0.01</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0.01</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0.01</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0.01</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0.01</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0.01</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0.01</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0.01</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0.01</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0.01</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0.01</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0.01</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0.01</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0.01</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0.01</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0.01</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0.01</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0.01</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0.01</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0.01</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0.01</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0.01</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0.01</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0.01</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0.01</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0.01</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0.01</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0.01</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0.01</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0.01</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0.01</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0.01</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0.01</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LT4Wc9enmtrY8U6cQaqfg/g7+REXmz2pyonlaKgvQcEtTean5Bznm41WluvG7qt/3aM5I2ZCvF6c/Xk/gWasgg==" saltValue="IStrCwo7e35Ft7lgKTiTvw=="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N4:O7"/>
  <sheetViews>
    <sheetView workbookViewId="0">
      <selection activeCell="J8" sqref="J8"/>
    </sheetView>
  </sheetViews>
  <sheetFormatPr defaultRowHeight="14.4"/>
  <sheetData>
    <row r="4" spans="14:15">
      <c r="N4" s="1405" t="s">
        <v>3402</v>
      </c>
      <c r="O4">
        <v>659.55</v>
      </c>
    </row>
    <row r="5" spans="14:15">
      <c r="N5" s="1405" t="s">
        <v>3403</v>
      </c>
      <c r="O5">
        <v>1209.8</v>
      </c>
    </row>
    <row r="6" spans="14:15">
      <c r="N6" s="1405" t="s">
        <v>3404</v>
      </c>
      <c r="O6">
        <v>1188.8599999999999</v>
      </c>
    </row>
    <row r="7" spans="14:15">
      <c r="N7" s="1405" t="s">
        <v>3405</v>
      </c>
      <c r="O7">
        <v>1188.8599999999999</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Q32"/>
  <sheetViews>
    <sheetView topLeftCell="A37" workbookViewId="0">
      <selection activeCell="L47" sqref="L47"/>
    </sheetView>
  </sheetViews>
  <sheetFormatPr defaultRowHeight="14.4"/>
  <sheetData>
    <row r="1" spans="1:17">
      <c r="A1" t="s">
        <v>3541</v>
      </c>
      <c r="N1" s="1405" t="s">
        <v>3598</v>
      </c>
    </row>
    <row r="2" spans="1:17">
      <c r="A2" t="s">
        <v>3542</v>
      </c>
      <c r="N2" s="1405" t="s">
        <v>3599</v>
      </c>
      <c r="O2" s="1405" t="s">
        <v>3600</v>
      </c>
      <c r="P2" s="1405" t="s">
        <v>3602</v>
      </c>
    </row>
    <row r="3" spans="1:17">
      <c r="A3" t="s">
        <v>3543</v>
      </c>
      <c r="M3" s="1405" t="s">
        <v>3606</v>
      </c>
      <c r="N3" s="1405" t="s">
        <v>3604</v>
      </c>
      <c r="O3">
        <v>1000</v>
      </c>
      <c r="P3" s="1405" t="s">
        <v>3601</v>
      </c>
      <c r="Q3" s="1405" t="s">
        <v>3603</v>
      </c>
    </row>
    <row r="4" spans="1:17">
      <c r="A4" t="s">
        <v>3544</v>
      </c>
      <c r="N4" s="1405" t="s">
        <v>3605</v>
      </c>
      <c r="O4">
        <v>300</v>
      </c>
    </row>
    <row r="5" spans="1:17">
      <c r="A5" t="s">
        <v>3545</v>
      </c>
    </row>
    <row r="6" spans="1:17">
      <c r="A6" t="s">
        <v>3546</v>
      </c>
    </row>
    <row r="7" spans="1:17">
      <c r="A7" t="s">
        <v>3547</v>
      </c>
    </row>
    <row r="8" spans="1:17">
      <c r="A8" t="s">
        <v>3548</v>
      </c>
    </row>
    <row r="9" spans="1:17">
      <c r="A9" t="s">
        <v>3549</v>
      </c>
    </row>
    <row r="10" spans="1:17">
      <c r="A10" t="s">
        <v>3550</v>
      </c>
    </row>
    <row r="11" spans="1:17">
      <c r="A11" t="s">
        <v>3551</v>
      </c>
    </row>
    <row r="12" spans="1:17">
      <c r="A12" t="s">
        <v>3552</v>
      </c>
      <c r="K12" s="1405" t="s">
        <v>3589</v>
      </c>
      <c r="L12" s="1405" t="s">
        <v>3590</v>
      </c>
      <c r="M12" s="1405" t="s">
        <v>3591</v>
      </c>
    </row>
    <row r="13" spans="1:17">
      <c r="A13" t="s">
        <v>3553</v>
      </c>
      <c r="G13" s="1405" t="s">
        <v>3575</v>
      </c>
      <c r="H13">
        <v>2.5</v>
      </c>
      <c r="K13">
        <v>1400</v>
      </c>
      <c r="L13">
        <v>2.5</v>
      </c>
      <c r="M13" s="3180" t="s">
        <v>3592</v>
      </c>
    </row>
    <row r="14" spans="1:17">
      <c r="A14" t="s">
        <v>3554</v>
      </c>
      <c r="K14">
        <v>1300</v>
      </c>
      <c r="L14">
        <v>2.5</v>
      </c>
      <c r="M14" s="3180" t="s">
        <v>3592</v>
      </c>
    </row>
    <row r="15" spans="1:17">
      <c r="A15" t="s">
        <v>3555</v>
      </c>
      <c r="L15">
        <v>3.3</v>
      </c>
      <c r="M15" s="1405" t="s">
        <v>3608</v>
      </c>
    </row>
    <row r="16" spans="1:17">
      <c r="A16" t="s">
        <v>3556</v>
      </c>
      <c r="L16">
        <f>L15-0.5</f>
        <v>2.8</v>
      </c>
    </row>
    <row r="17" spans="1:1">
      <c r="A17" t="s">
        <v>3557</v>
      </c>
    </row>
    <row r="18" spans="1:1">
      <c r="A18" t="s">
        <v>3558</v>
      </c>
    </row>
    <row r="19" spans="1:1">
      <c r="A19" t="s">
        <v>3559</v>
      </c>
    </row>
    <row r="20" spans="1:1">
      <c r="A20" t="s">
        <v>3560</v>
      </c>
    </row>
    <row r="21" spans="1:1">
      <c r="A21" t="s">
        <v>3561</v>
      </c>
    </row>
    <row r="22" spans="1:1">
      <c r="A22" t="s">
        <v>3562</v>
      </c>
    </row>
    <row r="23" spans="1:1">
      <c r="A23" t="s">
        <v>3563</v>
      </c>
    </row>
    <row r="24" spans="1:1">
      <c r="A24" t="s">
        <v>3564</v>
      </c>
    </row>
    <row r="25" spans="1:1">
      <c r="A25" t="s">
        <v>3565</v>
      </c>
    </row>
    <row r="26" spans="1:1">
      <c r="A26" t="s">
        <v>3566</v>
      </c>
    </row>
    <row r="27" spans="1:1">
      <c r="A27" t="s">
        <v>3567</v>
      </c>
    </row>
    <row r="28" spans="1:1">
      <c r="A28" t="s">
        <v>3568</v>
      </c>
    </row>
    <row r="29" spans="1:1">
      <c r="A29" t="s">
        <v>3569</v>
      </c>
    </row>
    <row r="30" spans="1:1">
      <c r="A30" t="s">
        <v>3570</v>
      </c>
    </row>
    <row r="31" spans="1:1">
      <c r="A31" t="s">
        <v>3571</v>
      </c>
    </row>
    <row r="32" spans="1:1">
      <c r="A32" t="s">
        <v>3572</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3490.9300000000003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860"/>
      <c r="M4" s="861"/>
      <c r="N4" s="861"/>
      <c r="O4" s="861"/>
      <c r="P4" s="3422" t="s">
        <v>1775</v>
      </c>
      <c r="Q4" s="3423"/>
      <c r="R4" s="3428" t="s">
        <v>1771</v>
      </c>
      <c r="S4" s="3429"/>
      <c r="T4" s="3428" t="s">
        <v>1772</v>
      </c>
      <c r="U4" s="3429"/>
      <c r="V4" s="3404" t="s">
        <v>1773</v>
      </c>
      <c r="W4" s="3404"/>
      <c r="X4" s="1265"/>
      <c r="Y4" s="3428" t="s">
        <v>1775</v>
      </c>
      <c r="Z4" s="3429"/>
      <c r="AA4" s="3415" t="s">
        <v>1771</v>
      </c>
      <c r="AB4" s="3416" t="s">
        <v>1772</v>
      </c>
      <c r="AC4" s="3415" t="s">
        <v>1773</v>
      </c>
    </row>
    <row r="5" spans="1:29">
      <c r="A5" s="348"/>
      <c r="B5" s="349"/>
      <c r="C5" s="3436" t="s">
        <v>1673</v>
      </c>
      <c r="D5" s="3437"/>
      <c r="E5" s="3443" t="s">
        <v>1674</v>
      </c>
      <c r="F5" s="3444"/>
      <c r="G5" s="3436" t="s">
        <v>1675</v>
      </c>
      <c r="H5" s="3437"/>
      <c r="I5" s="3436" t="s">
        <v>1676</v>
      </c>
      <c r="J5" s="3437"/>
      <c r="K5" s="537"/>
      <c r="L5" s="860"/>
      <c r="M5" s="861"/>
      <c r="N5" s="861"/>
      <c r="O5" s="861"/>
      <c r="P5" s="3424"/>
      <c r="Q5" s="3425"/>
      <c r="R5" s="3430"/>
      <c r="S5" s="3431"/>
      <c r="T5" s="3430"/>
      <c r="U5" s="3431"/>
      <c r="V5" s="3404"/>
      <c r="W5" s="3404"/>
      <c r="X5" s="1265"/>
      <c r="Y5" s="3430"/>
      <c r="Z5" s="3431"/>
      <c r="AA5" s="3416"/>
      <c r="AB5" s="3416"/>
      <c r="AC5" s="3416"/>
    </row>
    <row r="6" spans="1:29" ht="15" thickBot="1">
      <c r="A6" s="350"/>
      <c r="B6" s="351"/>
      <c r="C6" s="3434" t="s">
        <v>1677</v>
      </c>
      <c r="D6" s="3435"/>
      <c r="E6" s="3441" t="s">
        <v>1677</v>
      </c>
      <c r="F6" s="3442"/>
      <c r="G6" s="3434" t="s">
        <v>1677</v>
      </c>
      <c r="H6" s="3435"/>
      <c r="I6" s="3434" t="s">
        <v>1677</v>
      </c>
      <c r="J6" s="3435"/>
      <c r="K6" s="537" t="s">
        <v>1678</v>
      </c>
      <c r="L6" s="860"/>
      <c r="M6" s="861"/>
      <c r="N6" s="861"/>
      <c r="O6" s="861"/>
      <c r="P6" s="3426"/>
      <c r="Q6" s="3427"/>
      <c r="R6" s="3430"/>
      <c r="S6" s="3431"/>
      <c r="T6" s="3432"/>
      <c r="U6" s="3433"/>
      <c r="V6" s="3404"/>
      <c r="W6" s="3404"/>
      <c r="X6" s="1265"/>
      <c r="Y6" s="3432"/>
      <c r="Z6" s="3433"/>
      <c r="AA6" s="3417"/>
      <c r="AB6" s="3417"/>
      <c r="AC6" s="3417"/>
    </row>
    <row r="7" spans="1:29" s="102" customFormat="1" ht="15" thickBot="1">
      <c r="A7" s="352" t="s">
        <v>1679</v>
      </c>
      <c r="B7" s="353"/>
      <c r="C7" s="354">
        <f>'数据-取费表'!B2</f>
        <v>45706</v>
      </c>
      <c r="D7" s="355">
        <v>100</v>
      </c>
      <c r="E7" s="356"/>
      <c r="F7" s="357">
        <f>SUMIF(52:52,YEAR(E7)&amp;"-"&amp;MONTH(E7),53:53)</f>
        <v>0</v>
      </c>
      <c r="G7" s="356"/>
      <c r="H7" s="355">
        <f>SUMIF(52:52,YEAR(G7)&amp;"-"&amp;MONTH(G7),53:53)</f>
        <v>0</v>
      </c>
      <c r="I7" s="356"/>
      <c r="J7" s="355">
        <f>SUMIF(52:52,YEAR(I7)&amp;"-"&amp;MONTH(I7),53:53)</f>
        <v>0</v>
      </c>
      <c r="K7" s="38"/>
      <c r="L7" s="862"/>
      <c r="M7" s="863"/>
      <c r="N7" s="863"/>
      <c r="O7" s="863"/>
      <c r="P7" s="3438" t="s">
        <v>1680</v>
      </c>
      <c r="Q7" s="3440"/>
      <c r="R7" s="664" t="s">
        <v>14</v>
      </c>
      <c r="S7" s="665">
        <f t="shared" ref="S7:S15" si="0">F7</f>
        <v>0</v>
      </c>
      <c r="T7" s="664" t="s">
        <v>14</v>
      </c>
      <c r="U7" s="665">
        <f t="shared" ref="U7:U15" si="1">H7</f>
        <v>0</v>
      </c>
      <c r="V7" s="664" t="s">
        <v>14</v>
      </c>
      <c r="W7" s="665">
        <f t="shared" ref="W7:W15" si="2">J7</f>
        <v>0</v>
      </c>
      <c r="X7" s="666"/>
      <c r="Y7" s="3438" t="s">
        <v>1680</v>
      </c>
      <c r="Z7" s="343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8" t="s">
        <v>1683</v>
      </c>
      <c r="Q8" s="3439"/>
      <c r="R8" s="664" t="s">
        <v>14</v>
      </c>
      <c r="S8" s="665">
        <f t="shared" si="0"/>
        <v>100</v>
      </c>
      <c r="T8" s="664" t="s">
        <v>14</v>
      </c>
      <c r="U8" s="665">
        <f t="shared" si="1"/>
        <v>100</v>
      </c>
      <c r="V8" s="664" t="s">
        <v>14</v>
      </c>
      <c r="W8" s="665">
        <f t="shared" si="2"/>
        <v>100</v>
      </c>
      <c r="X8" s="666"/>
      <c r="Y8" s="3438" t="s">
        <v>1683</v>
      </c>
      <c r="Z8" s="343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27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27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27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27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27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27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6"/>
      <c r="Q16" s="1263"/>
      <c r="R16" s="667"/>
      <c r="S16" s="668"/>
      <c r="T16" s="667"/>
      <c r="U16" s="668"/>
      <c r="V16" s="667"/>
      <c r="W16" s="668"/>
      <c r="X16" s="1265"/>
      <c r="Y16" s="340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6"/>
      <c r="Q18" s="1263"/>
      <c r="R18" s="667"/>
      <c r="S18" s="668"/>
      <c r="T18" s="667"/>
      <c r="U18" s="668"/>
      <c r="V18" s="667"/>
      <c r="W18" s="668"/>
      <c r="X18" s="1265"/>
      <c r="Y18" s="340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6"/>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6"/>
      <c r="Q20" s="1263"/>
      <c r="R20" s="667"/>
      <c r="S20" s="668"/>
      <c r="T20" s="667"/>
      <c r="U20" s="668"/>
      <c r="V20" s="667"/>
      <c r="W20" s="668"/>
      <c r="X20" s="1265"/>
      <c r="Y20" s="340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6"/>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6"/>
      <c r="Q22" s="1263"/>
      <c r="R22" s="667"/>
      <c r="S22" s="668"/>
      <c r="T22" s="667"/>
      <c r="U22" s="668"/>
      <c r="V22" s="667"/>
      <c r="W22" s="668"/>
      <c r="X22" s="1265"/>
      <c r="Y22" s="340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6"/>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6"/>
      <c r="Q24" s="1263"/>
      <c r="R24" s="667"/>
      <c r="S24" s="668"/>
      <c r="T24" s="667"/>
      <c r="U24" s="668"/>
      <c r="V24" s="667"/>
      <c r="W24" s="668"/>
      <c r="X24" s="1265"/>
      <c r="Y24" s="340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6"/>
      <c r="Q25" s="1263">
        <f>B25</f>
        <v>111</v>
      </c>
      <c r="R25" s="667" t="s">
        <v>14</v>
      </c>
      <c r="S25" s="668">
        <f>F25</f>
        <v>100</v>
      </c>
      <c r="T25" s="667" t="s">
        <v>14</v>
      </c>
      <c r="U25" s="668">
        <f>H25</f>
        <v>100</v>
      </c>
      <c r="V25" s="667" t="s">
        <v>14</v>
      </c>
      <c r="W25" s="668">
        <f>J25</f>
        <v>100</v>
      </c>
      <c r="X25" s="1265"/>
      <c r="Y25" s="340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6"/>
      <c r="Q26" s="1263">
        <f t="shared" ref="Q26:Q40" si="11">B26</f>
        <v>111</v>
      </c>
      <c r="R26" s="667" t="s">
        <v>14</v>
      </c>
      <c r="S26" s="668">
        <f>F26</f>
        <v>100</v>
      </c>
      <c r="T26" s="667" t="s">
        <v>14</v>
      </c>
      <c r="U26" s="668">
        <f>H26</f>
        <v>100</v>
      </c>
      <c r="V26" s="667" t="s">
        <v>14</v>
      </c>
      <c r="W26" s="668">
        <f>J26</f>
        <v>100</v>
      </c>
      <c r="X26" s="1265"/>
      <c r="Y26" s="340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6"/>
      <c r="Q27" s="530">
        <f t="shared" si="11"/>
        <v>111</v>
      </c>
      <c r="R27" s="664" t="s">
        <v>14</v>
      </c>
      <c r="S27" s="665">
        <f>F27</f>
        <v>100</v>
      </c>
      <c r="T27" s="664" t="s">
        <v>14</v>
      </c>
      <c r="U27" s="665">
        <f>H27</f>
        <v>100</v>
      </c>
      <c r="V27" s="664" t="s">
        <v>14</v>
      </c>
      <c r="W27" s="665">
        <f>J27</f>
        <v>100</v>
      </c>
      <c r="X27" s="666"/>
      <c r="Y27" s="340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6"/>
      <c r="Q28" s="1263">
        <f t="shared" si="11"/>
        <v>111</v>
      </c>
      <c r="R28" s="667" t="s">
        <v>14</v>
      </c>
      <c r="S28" s="668">
        <f t="shared" ref="S28:S40" si="12">F28</f>
        <v>100</v>
      </c>
      <c r="T28" s="667" t="s">
        <v>14</v>
      </c>
      <c r="U28" s="668">
        <f t="shared" ref="U28:U40" si="13">H28</f>
        <v>100</v>
      </c>
      <c r="V28" s="667" t="s">
        <v>14</v>
      </c>
      <c r="W28" s="668">
        <f t="shared" ref="W28:W40" si="14">J28</f>
        <v>100</v>
      </c>
      <c r="X28" s="1265"/>
      <c r="Y28" s="340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8" t="s">
        <v>1696</v>
      </c>
      <c r="Q29" s="1263" t="str">
        <f t="shared" si="11"/>
        <v>建筑类型</v>
      </c>
      <c r="R29" s="667" t="s">
        <v>14</v>
      </c>
      <c r="S29" s="668">
        <f t="shared" si="12"/>
        <v>100</v>
      </c>
      <c r="T29" s="667" t="s">
        <v>14</v>
      </c>
      <c r="U29" s="668">
        <f t="shared" si="13"/>
        <v>100</v>
      </c>
      <c r="V29" s="667" t="s">
        <v>14</v>
      </c>
      <c r="W29" s="668">
        <f t="shared" si="14"/>
        <v>100</v>
      </c>
      <c r="X29" s="1265"/>
      <c r="Y29" s="341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0"/>
      <c r="Q31" s="1263" t="str">
        <f t="shared" si="11"/>
        <v>建筑结构</v>
      </c>
      <c r="R31" s="667" t="s">
        <v>14</v>
      </c>
      <c r="S31" s="668">
        <f t="shared" si="12"/>
        <v>100</v>
      </c>
      <c r="T31" s="667" t="s">
        <v>14</v>
      </c>
      <c r="U31" s="668">
        <f t="shared" si="13"/>
        <v>100</v>
      </c>
      <c r="V31" s="667" t="s">
        <v>14</v>
      </c>
      <c r="W31" s="668">
        <f t="shared" si="14"/>
        <v>100</v>
      </c>
      <c r="X31" s="1265"/>
      <c r="Y31" s="341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0"/>
      <c r="Q32" s="1263" t="str">
        <f t="shared" si="11"/>
        <v>公共部分装修</v>
      </c>
      <c r="R32" s="667" t="s">
        <v>14</v>
      </c>
      <c r="S32" s="668">
        <f t="shared" si="12"/>
        <v>100</v>
      </c>
      <c r="T32" s="667" t="s">
        <v>14</v>
      </c>
      <c r="U32" s="668">
        <f t="shared" si="13"/>
        <v>100</v>
      </c>
      <c r="V32" s="667" t="s">
        <v>14</v>
      </c>
      <c r="W32" s="668">
        <f t="shared" si="14"/>
        <v>100</v>
      </c>
      <c r="X32" s="1265"/>
      <c r="Y32" s="341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0"/>
      <c r="Q33" s="1263" t="str">
        <f t="shared" si="11"/>
        <v>成新度</v>
      </c>
      <c r="R33" s="667" t="s">
        <v>14</v>
      </c>
      <c r="S33" s="668" t="e">
        <f t="shared" si="12"/>
        <v>#N/A</v>
      </c>
      <c r="T33" s="667" t="s">
        <v>14</v>
      </c>
      <c r="U33" s="668" t="e">
        <f t="shared" si="13"/>
        <v>#N/A</v>
      </c>
      <c r="V33" s="667" t="s">
        <v>14</v>
      </c>
      <c r="W33" s="668" t="e">
        <f t="shared" si="14"/>
        <v>#N/A</v>
      </c>
      <c r="X33" s="1265"/>
      <c r="Y33" s="341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0" t="s">
        <v>1696</v>
      </c>
      <c r="Q35" s="1263" t="str">
        <f t="shared" si="11"/>
        <v>市政基础设施</v>
      </c>
      <c r="R35" s="667" t="s">
        <v>14</v>
      </c>
      <c r="S35" s="668">
        <f t="shared" si="12"/>
        <v>100</v>
      </c>
      <c r="T35" s="667" t="s">
        <v>14</v>
      </c>
      <c r="U35" s="668">
        <f t="shared" si="13"/>
        <v>100</v>
      </c>
      <c r="V35" s="667" t="s">
        <v>14</v>
      </c>
      <c r="W35" s="668">
        <f t="shared" si="14"/>
        <v>100</v>
      </c>
      <c r="X35" s="1265"/>
      <c r="Y35" s="341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0"/>
      <c r="Q36" s="1263" t="str">
        <f t="shared" si="11"/>
        <v>内部装修</v>
      </c>
      <c r="R36" s="667" t="s">
        <v>14</v>
      </c>
      <c r="S36" s="668">
        <f t="shared" si="12"/>
        <v>100</v>
      </c>
      <c r="T36" s="667" t="s">
        <v>14</v>
      </c>
      <c r="U36" s="668">
        <f t="shared" si="13"/>
        <v>100</v>
      </c>
      <c r="V36" s="667" t="s">
        <v>14</v>
      </c>
      <c r="W36" s="668">
        <f t="shared" si="14"/>
        <v>100</v>
      </c>
      <c r="X36" s="1265"/>
      <c r="Y36" s="341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0"/>
      <c r="Q37" s="1263" t="str">
        <f t="shared" si="11"/>
        <v>内部装修状况</v>
      </c>
      <c r="R37" s="667" t="s">
        <v>14</v>
      </c>
      <c r="S37" s="668">
        <f t="shared" si="12"/>
        <v>100</v>
      </c>
      <c r="T37" s="667" t="s">
        <v>14</v>
      </c>
      <c r="U37" s="668">
        <f t="shared" si="13"/>
        <v>100</v>
      </c>
      <c r="V37" s="667" t="s">
        <v>14</v>
      </c>
      <c r="W37" s="668">
        <f t="shared" si="14"/>
        <v>100</v>
      </c>
      <c r="X37" s="1265"/>
      <c r="Y37" s="341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0"/>
      <c r="Q39" s="1263">
        <f t="shared" si="11"/>
        <v>111</v>
      </c>
      <c r="R39" s="667" t="s">
        <v>14</v>
      </c>
      <c r="S39" s="668">
        <f t="shared" si="12"/>
        <v>100</v>
      </c>
      <c r="T39" s="667" t="s">
        <v>14</v>
      </c>
      <c r="U39" s="668">
        <f t="shared" si="13"/>
        <v>100</v>
      </c>
      <c r="V39" s="667" t="s">
        <v>14</v>
      </c>
      <c r="W39" s="668">
        <f t="shared" si="14"/>
        <v>100</v>
      </c>
      <c r="X39" s="1265"/>
      <c r="Y39" s="341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1"/>
      <c r="Q40" s="1263">
        <f t="shared" si="11"/>
        <v>111</v>
      </c>
      <c r="R40" s="667" t="s">
        <v>14</v>
      </c>
      <c r="S40" s="668">
        <f t="shared" si="12"/>
        <v>100</v>
      </c>
      <c r="T40" s="667" t="s">
        <v>14</v>
      </c>
      <c r="U40" s="668">
        <f t="shared" si="13"/>
        <v>100</v>
      </c>
      <c r="V40" s="667" t="s">
        <v>14</v>
      </c>
      <c r="W40" s="668">
        <f t="shared" si="14"/>
        <v>100</v>
      </c>
      <c r="X40" s="1265"/>
      <c r="Y40" s="341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3" t="str">
        <f>A41</f>
        <v>成交单价（元/平方米）</v>
      </c>
      <c r="Q41" s="3403"/>
      <c r="R41" s="3404">
        <f>E41</f>
        <v>0</v>
      </c>
      <c r="S41" s="3404"/>
      <c r="T41" s="3404">
        <f>G41</f>
        <v>0</v>
      </c>
      <c r="U41" s="3404"/>
      <c r="V41" s="3404">
        <f>I41</f>
        <v>0</v>
      </c>
      <c r="W41" s="3404"/>
      <c r="X41" s="385"/>
      <c r="Y41" s="673"/>
      <c r="Z41" s="385"/>
      <c r="AA41" s="385"/>
      <c r="AB41" s="385"/>
      <c r="AC41" s="385"/>
    </row>
    <row r="42" spans="1:29" ht="15" thickBot="1">
      <c r="A42" s="423" t="s">
        <v>1793</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403" t="str">
        <f>A42</f>
        <v>比较价值（元/平方米）</v>
      </c>
      <c r="Q42" s="340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28" t="s">
        <v>1771</v>
      </c>
      <c r="S4" s="3429"/>
      <c r="T4" s="3428" t="s">
        <v>1772</v>
      </c>
      <c r="U4" s="3429"/>
      <c r="V4" s="3404" t="s">
        <v>1773</v>
      </c>
      <c r="W4" s="3404"/>
      <c r="X4" s="1265"/>
      <c r="Y4" s="3428" t="s">
        <v>1775</v>
      </c>
      <c r="Z4" s="3429"/>
      <c r="AA4" s="3415" t="s">
        <v>1771</v>
      </c>
      <c r="AB4" s="3416" t="s">
        <v>1772</v>
      </c>
      <c r="AC4" s="3415" t="s">
        <v>1773</v>
      </c>
    </row>
    <row r="5" spans="1:29">
      <c r="A5" s="348"/>
      <c r="B5" s="349"/>
      <c r="C5" s="3436" t="s">
        <v>1673</v>
      </c>
      <c r="D5" s="3437"/>
      <c r="E5" s="3443" t="s">
        <v>1674</v>
      </c>
      <c r="F5" s="3444"/>
      <c r="G5" s="3436" t="s">
        <v>1675</v>
      </c>
      <c r="H5" s="3437"/>
      <c r="I5" s="3436" t="s">
        <v>1676</v>
      </c>
      <c r="J5" s="3437"/>
      <c r="K5" s="537"/>
      <c r="L5" s="2485"/>
      <c r="M5" s="2486"/>
      <c r="N5" s="2486"/>
      <c r="O5" s="2486"/>
      <c r="P5" s="3424"/>
      <c r="Q5" s="3425"/>
      <c r="R5" s="3430"/>
      <c r="S5" s="3431"/>
      <c r="T5" s="3430"/>
      <c r="U5" s="3431"/>
      <c r="V5" s="3404"/>
      <c r="W5" s="3404"/>
      <c r="X5" s="1265"/>
      <c r="Y5" s="3430"/>
      <c r="Z5" s="3431"/>
      <c r="AA5" s="3416"/>
      <c r="AB5" s="3416"/>
      <c r="AC5" s="3416"/>
    </row>
    <row r="6" spans="1:29" ht="15" thickBot="1">
      <c r="A6" s="350"/>
      <c r="B6" s="351"/>
      <c r="C6" s="3434" t="s">
        <v>1677</v>
      </c>
      <c r="D6" s="3435"/>
      <c r="E6" s="3441" t="s">
        <v>1677</v>
      </c>
      <c r="F6" s="3442"/>
      <c r="G6" s="3434" t="s">
        <v>1677</v>
      </c>
      <c r="H6" s="3435"/>
      <c r="I6" s="3434" t="s">
        <v>1677</v>
      </c>
      <c r="J6" s="3435"/>
      <c r="K6" s="537" t="s">
        <v>1678</v>
      </c>
      <c r="L6" s="2485"/>
      <c r="M6" s="2486"/>
      <c r="N6" s="2486"/>
      <c r="O6" s="2486"/>
      <c r="P6" s="3426"/>
      <c r="Q6" s="3427"/>
      <c r="R6" s="3430"/>
      <c r="S6" s="3431"/>
      <c r="T6" s="3432"/>
      <c r="U6" s="3433"/>
      <c r="V6" s="3404"/>
      <c r="W6" s="3404"/>
      <c r="X6" s="1265"/>
      <c r="Y6" s="3432"/>
      <c r="Z6" s="3433"/>
      <c r="AA6" s="3417"/>
      <c r="AB6" s="3417"/>
      <c r="AC6" s="3417"/>
    </row>
    <row r="7" spans="1:29" s="102" customFormat="1" ht="15" thickBot="1">
      <c r="A7" s="352" t="s">
        <v>1679</v>
      </c>
      <c r="B7" s="353"/>
      <c r="C7" s="354">
        <f>'数据-取费表'!B2</f>
        <v>45706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8" t="s">
        <v>1680</v>
      </c>
      <c r="Q7" s="3440"/>
      <c r="R7" s="664" t="s">
        <v>14</v>
      </c>
      <c r="S7" s="665">
        <f t="shared" ref="S7:S14" si="0">F7</f>
        <v>0</v>
      </c>
      <c r="T7" s="664" t="s">
        <v>14</v>
      </c>
      <c r="U7" s="665">
        <f t="shared" ref="U7:U14" si="1">H7</f>
        <v>0</v>
      </c>
      <c r="V7" s="664" t="s">
        <v>14</v>
      </c>
      <c r="W7" s="665">
        <f t="shared" ref="W7:W14" si="2">J7</f>
        <v>0</v>
      </c>
      <c r="X7" s="666"/>
      <c r="Y7" s="3438" t="s">
        <v>1680</v>
      </c>
      <c r="Z7" s="343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8" t="s">
        <v>1683</v>
      </c>
      <c r="Q8" s="3439"/>
      <c r="R8" s="664" t="s">
        <v>14</v>
      </c>
      <c r="S8" s="665">
        <f t="shared" si="0"/>
        <v>100</v>
      </c>
      <c r="T8" s="664" t="s">
        <v>14</v>
      </c>
      <c r="U8" s="665">
        <f t="shared" si="1"/>
        <v>100</v>
      </c>
      <c r="V8" s="664" t="s">
        <v>14</v>
      </c>
      <c r="W8" s="665">
        <f t="shared" si="2"/>
        <v>100</v>
      </c>
      <c r="X8" s="666"/>
      <c r="Y8" s="3438" t="s">
        <v>1683</v>
      </c>
      <c r="Z8" s="343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3" t="s">
        <v>1686</v>
      </c>
      <c r="Q9" s="530" t="str">
        <f t="shared" ref="Q9:Q14" si="6">B9</f>
        <v>用途</v>
      </c>
      <c r="R9" s="664" t="s">
        <v>14</v>
      </c>
      <c r="S9" s="665">
        <f t="shared" si="0"/>
        <v>100</v>
      </c>
      <c r="T9" s="664" t="s">
        <v>14</v>
      </c>
      <c r="U9" s="665">
        <f t="shared" si="1"/>
        <v>100</v>
      </c>
      <c r="V9" s="664" t="s">
        <v>14</v>
      </c>
      <c r="W9" s="665">
        <f t="shared" si="2"/>
        <v>100</v>
      </c>
      <c r="X9" s="666"/>
      <c r="Y9" s="327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3"/>
      <c r="Q10" s="530" t="str">
        <f t="shared" si="6"/>
        <v>土地使用年限（年）</v>
      </c>
      <c r="R10" s="664" t="s">
        <v>14</v>
      </c>
      <c r="S10" s="665">
        <f t="shared" si="0"/>
        <v>100</v>
      </c>
      <c r="T10" s="664" t="s">
        <v>14</v>
      </c>
      <c r="U10" s="665">
        <f t="shared" si="1"/>
        <v>100</v>
      </c>
      <c r="V10" s="664" t="s">
        <v>14</v>
      </c>
      <c r="W10" s="665">
        <f t="shared" si="2"/>
        <v>100</v>
      </c>
      <c r="X10" s="666"/>
      <c r="Y10" s="327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3"/>
      <c r="Q11" s="530">
        <f t="shared" si="6"/>
        <v>111</v>
      </c>
      <c r="R11" s="664" t="s">
        <v>14</v>
      </c>
      <c r="S11" s="665">
        <f t="shared" si="0"/>
        <v>100</v>
      </c>
      <c r="T11" s="664" t="s">
        <v>14</v>
      </c>
      <c r="U11" s="665">
        <f t="shared" si="1"/>
        <v>100</v>
      </c>
      <c r="V11" s="664" t="s">
        <v>14</v>
      </c>
      <c r="W11" s="665">
        <f t="shared" si="2"/>
        <v>100</v>
      </c>
      <c r="X11" s="666"/>
      <c r="Y11" s="327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3"/>
      <c r="Q12" s="530">
        <f t="shared" si="6"/>
        <v>111</v>
      </c>
      <c r="R12" s="664" t="s">
        <v>14</v>
      </c>
      <c r="S12" s="665">
        <f t="shared" si="0"/>
        <v>100</v>
      </c>
      <c r="T12" s="664" t="s">
        <v>14</v>
      </c>
      <c r="U12" s="665">
        <f t="shared" si="1"/>
        <v>100</v>
      </c>
      <c r="V12" s="664" t="s">
        <v>14</v>
      </c>
      <c r="W12" s="665">
        <f t="shared" si="2"/>
        <v>100</v>
      </c>
      <c r="X12" s="666"/>
      <c r="Y12" s="327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3"/>
      <c r="Q13" s="530">
        <f t="shared" si="6"/>
        <v>111</v>
      </c>
      <c r="R13" s="664" t="s">
        <v>14</v>
      </c>
      <c r="S13" s="665">
        <f t="shared" si="0"/>
        <v>100</v>
      </c>
      <c r="T13" s="664" t="s">
        <v>14</v>
      </c>
      <c r="U13" s="665">
        <f t="shared" si="1"/>
        <v>100</v>
      </c>
      <c r="V13" s="664" t="s">
        <v>14</v>
      </c>
      <c r="W13" s="665">
        <f t="shared" si="2"/>
        <v>100</v>
      </c>
      <c r="X13" s="666"/>
      <c r="Y13" s="327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6"/>
      <c r="Q15" s="1263"/>
      <c r="R15" s="667"/>
      <c r="S15" s="668"/>
      <c r="T15" s="667"/>
      <c r="U15" s="668"/>
      <c r="V15" s="667"/>
      <c r="W15" s="668"/>
      <c r="X15" s="1265"/>
      <c r="Y15" s="3406"/>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6"/>
      <c r="Q17" s="1263"/>
      <c r="R17" s="667"/>
      <c r="S17" s="668"/>
      <c r="T17" s="667"/>
      <c r="U17" s="668"/>
      <c r="V17" s="667"/>
      <c r="W17" s="668"/>
      <c r="X17" s="1265"/>
      <c r="Y17" s="340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6"/>
      <c r="Q19" s="1263"/>
      <c r="R19" s="667"/>
      <c r="S19" s="668"/>
      <c r="T19" s="667"/>
      <c r="U19" s="668"/>
      <c r="V19" s="667"/>
      <c r="W19" s="668"/>
      <c r="X19" s="1265"/>
      <c r="Y19" s="3406"/>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6"/>
      <c r="Q21" s="1263"/>
      <c r="R21" s="667"/>
      <c r="S21" s="668"/>
      <c r="T21" s="667"/>
      <c r="U21" s="668"/>
      <c r="V21" s="667"/>
      <c r="W21" s="668"/>
      <c r="X21" s="1265"/>
      <c r="Y21" s="340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6"/>
      <c r="Q24" s="1263">
        <f t="shared" ref="Q24:Q36"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0"/>
      <c r="Q28" s="1263" t="str">
        <f t="shared" si="11"/>
        <v>公共部分装修</v>
      </c>
      <c r="R28" s="667" t="s">
        <v>14</v>
      </c>
      <c r="S28" s="668">
        <f t="shared" si="12"/>
        <v>100</v>
      </c>
      <c r="T28" s="667" t="s">
        <v>14</v>
      </c>
      <c r="U28" s="668">
        <f t="shared" si="13"/>
        <v>100</v>
      </c>
      <c r="V28" s="667" t="s">
        <v>14</v>
      </c>
      <c r="W28" s="668">
        <f t="shared" si="14"/>
        <v>100</v>
      </c>
      <c r="X28" s="1265"/>
      <c r="Y28" s="341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0"/>
      <c r="Q29" s="1263" t="str">
        <f t="shared" si="11"/>
        <v>成新率</v>
      </c>
      <c r="R29" s="667" t="s">
        <v>14</v>
      </c>
      <c r="S29" s="668" t="e">
        <f t="shared" si="12"/>
        <v>#N/A</v>
      </c>
      <c r="T29" s="667" t="s">
        <v>14</v>
      </c>
      <c r="U29" s="668" t="e">
        <f t="shared" si="13"/>
        <v>#N/A</v>
      </c>
      <c r="V29" s="667" t="s">
        <v>14</v>
      </c>
      <c r="W29" s="668" t="e">
        <f t="shared" si="14"/>
        <v>#N/A</v>
      </c>
      <c r="X29" s="1265"/>
      <c r="Y29" s="341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0"/>
      <c r="Q30" s="1263" t="str">
        <f t="shared" si="11"/>
        <v>物业等级</v>
      </c>
      <c r="R30" s="667" t="s">
        <v>14</v>
      </c>
      <c r="S30" s="668">
        <f t="shared" si="12"/>
        <v>100</v>
      </c>
      <c r="T30" s="667" t="s">
        <v>14</v>
      </c>
      <c r="U30" s="668">
        <f t="shared" si="13"/>
        <v>100</v>
      </c>
      <c r="V30" s="667" t="s">
        <v>14</v>
      </c>
      <c r="W30" s="668">
        <f t="shared" si="14"/>
        <v>100</v>
      </c>
      <c r="X30" s="1265"/>
      <c r="Y30" s="341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0" t="s">
        <v>1696</v>
      </c>
      <c r="Q32" s="1263" t="str">
        <f t="shared" si="11"/>
        <v>车位类型</v>
      </c>
      <c r="R32" s="667" t="s">
        <v>14</v>
      </c>
      <c r="S32" s="668">
        <f t="shared" si="12"/>
        <v>100</v>
      </c>
      <c r="T32" s="667" t="s">
        <v>14</v>
      </c>
      <c r="U32" s="668">
        <f t="shared" si="13"/>
        <v>100</v>
      </c>
      <c r="V32" s="667" t="s">
        <v>14</v>
      </c>
      <c r="W32" s="668">
        <f t="shared" si="14"/>
        <v>100</v>
      </c>
      <c r="X32" s="1265"/>
      <c r="Y32" s="341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0"/>
      <c r="Q33" s="1263" t="str">
        <f t="shared" si="11"/>
        <v>是否直接入户</v>
      </c>
      <c r="R33" s="667" t="s">
        <v>14</v>
      </c>
      <c r="S33" s="668">
        <f t="shared" si="12"/>
        <v>100</v>
      </c>
      <c r="T33" s="667" t="s">
        <v>14</v>
      </c>
      <c r="U33" s="668">
        <f t="shared" si="13"/>
        <v>100</v>
      </c>
      <c r="V33" s="667" t="s">
        <v>14</v>
      </c>
      <c r="W33" s="668">
        <f t="shared" si="14"/>
        <v>100</v>
      </c>
      <c r="X33" s="1265"/>
      <c r="Y33" s="341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0"/>
      <c r="Q36" s="1263">
        <f t="shared" si="11"/>
        <v>111</v>
      </c>
      <c r="R36" s="667" t="s">
        <v>14</v>
      </c>
      <c r="S36" s="668">
        <f t="shared" si="12"/>
        <v>100</v>
      </c>
      <c r="T36" s="667" t="s">
        <v>14</v>
      </c>
      <c r="U36" s="668">
        <f t="shared" si="13"/>
        <v>100</v>
      </c>
      <c r="V36" s="667" t="s">
        <v>14</v>
      </c>
      <c r="W36" s="668">
        <f t="shared" si="14"/>
        <v>100</v>
      </c>
      <c r="X36" s="1265"/>
      <c r="Y36" s="3410"/>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403" t="str">
        <f>A37</f>
        <v>成交单价</v>
      </c>
      <c r="Q37" s="3403"/>
      <c r="R37" s="3404">
        <f>E37</f>
        <v>0</v>
      </c>
      <c r="S37" s="3404"/>
      <c r="T37" s="3404">
        <f>G37</f>
        <v>0</v>
      </c>
      <c r="U37" s="3404"/>
      <c r="V37" s="3404">
        <f>I37</f>
        <v>0</v>
      </c>
      <c r="W37" s="3404"/>
      <c r="X37" s="385"/>
      <c r="Y37" s="673"/>
      <c r="Z37" s="385"/>
      <c r="AA37" s="385"/>
      <c r="AB37" s="385"/>
      <c r="AC37" s="385"/>
    </row>
    <row r="38" spans="1:29" ht="15" thickBot="1">
      <c r="A38" s="423" t="s">
        <v>1845</v>
      </c>
      <c r="B38" s="424" t="str">
        <f>B37</f>
        <v>元/平方米</v>
      </c>
      <c r="C38" s="1082" t="e">
        <f>R39</f>
        <v>#DIV/0!</v>
      </c>
      <c r="D38" s="2141" t="s">
        <v>2135</v>
      </c>
      <c r="E38" s="1083" t="e">
        <f>R38</f>
        <v>#DIV/0!</v>
      </c>
      <c r="F38" s="2142"/>
      <c r="G38" s="1082" t="e">
        <f>T38</f>
        <v>#DIV/0!</v>
      </c>
      <c r="H38" s="2142"/>
      <c r="I38" s="1083" t="e">
        <f>V38</f>
        <v>#DIV/0!</v>
      </c>
      <c r="J38" s="2142"/>
      <c r="K38" s="2144">
        <f>F38+H38+J38</f>
        <v>0</v>
      </c>
      <c r="L38" s="2493"/>
      <c r="M38" s="2486"/>
      <c r="N38" s="2486"/>
      <c r="O38" s="2486"/>
      <c r="P38" s="3403" t="str">
        <f>A38</f>
        <v>比较价值（元/平方米）</v>
      </c>
      <c r="Q38" s="340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0" t="str">
        <f>A39</f>
        <v>估价对象XX用房的比较价值（楼面单价，元/平方米）</v>
      </c>
      <c r="Q39" s="3401"/>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28" t="s">
        <v>1771</v>
      </c>
      <c r="S4" s="3429"/>
      <c r="T4" s="3428" t="s">
        <v>1772</v>
      </c>
      <c r="U4" s="3429"/>
      <c r="V4" s="3404" t="s">
        <v>1773</v>
      </c>
      <c r="W4" s="3404"/>
      <c r="X4" s="1265"/>
      <c r="Y4" s="3428" t="s">
        <v>1775</v>
      </c>
      <c r="Z4" s="3429"/>
      <c r="AA4" s="3415" t="s">
        <v>1771</v>
      </c>
      <c r="AB4" s="3416" t="s">
        <v>1772</v>
      </c>
      <c r="AC4" s="3415" t="s">
        <v>1773</v>
      </c>
    </row>
    <row r="5" spans="1:29">
      <c r="A5" s="348"/>
      <c r="B5" s="349"/>
      <c r="C5" s="3436" t="s">
        <v>1673</v>
      </c>
      <c r="D5" s="3437"/>
      <c r="E5" s="3443" t="s">
        <v>1674</v>
      </c>
      <c r="F5" s="3444"/>
      <c r="G5" s="3436" t="s">
        <v>1675</v>
      </c>
      <c r="H5" s="3437"/>
      <c r="I5" s="3436" t="s">
        <v>1676</v>
      </c>
      <c r="J5" s="3437"/>
      <c r="K5" s="537"/>
      <c r="L5" s="2485"/>
      <c r="M5" s="2486"/>
      <c r="N5" s="2486"/>
      <c r="O5" s="2486"/>
      <c r="P5" s="3424"/>
      <c r="Q5" s="3425"/>
      <c r="R5" s="3430"/>
      <c r="S5" s="3431"/>
      <c r="T5" s="3430"/>
      <c r="U5" s="3431"/>
      <c r="V5" s="3404"/>
      <c r="W5" s="3404"/>
      <c r="X5" s="1265"/>
      <c r="Y5" s="3430"/>
      <c r="Z5" s="3431"/>
      <c r="AA5" s="3416"/>
      <c r="AB5" s="3416"/>
      <c r="AC5" s="3416"/>
    </row>
    <row r="6" spans="1:29" ht="15" thickBot="1">
      <c r="A6" s="350"/>
      <c r="B6" s="351"/>
      <c r="C6" s="3434" t="s">
        <v>1677</v>
      </c>
      <c r="D6" s="3435"/>
      <c r="E6" s="3441" t="s">
        <v>1677</v>
      </c>
      <c r="F6" s="3442"/>
      <c r="G6" s="3434" t="s">
        <v>1677</v>
      </c>
      <c r="H6" s="3435"/>
      <c r="I6" s="3434" t="s">
        <v>1677</v>
      </c>
      <c r="J6" s="3435"/>
      <c r="K6" s="537" t="s">
        <v>1678</v>
      </c>
      <c r="L6" s="2485"/>
      <c r="M6" s="2486"/>
      <c r="N6" s="2486"/>
      <c r="O6" s="2486"/>
      <c r="P6" s="3426"/>
      <c r="Q6" s="3427"/>
      <c r="R6" s="3430"/>
      <c r="S6" s="3431"/>
      <c r="T6" s="3432"/>
      <c r="U6" s="3433"/>
      <c r="V6" s="3404"/>
      <c r="W6" s="3404"/>
      <c r="X6" s="1265"/>
      <c r="Y6" s="3432"/>
      <c r="Z6" s="3433"/>
      <c r="AA6" s="3417"/>
      <c r="AB6" s="3417"/>
      <c r="AC6" s="3417"/>
    </row>
    <row r="7" spans="1:29" s="102" customFormat="1" ht="15" thickBot="1">
      <c r="A7" s="352" t="s">
        <v>1679</v>
      </c>
      <c r="B7" s="353"/>
      <c r="C7" s="354">
        <f>'数据-取费表'!B2</f>
        <v>45706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38" t="s">
        <v>1680</v>
      </c>
      <c r="Q7" s="3440"/>
      <c r="R7" s="664" t="s">
        <v>14</v>
      </c>
      <c r="S7" s="665">
        <f t="shared" ref="S7:S14" si="0">F7</f>
        <v>0</v>
      </c>
      <c r="T7" s="664" t="s">
        <v>14</v>
      </c>
      <c r="U7" s="665">
        <f t="shared" ref="U7:U14" si="1">H7</f>
        <v>0</v>
      </c>
      <c r="V7" s="664" t="s">
        <v>14</v>
      </c>
      <c r="W7" s="665">
        <f t="shared" ref="W7:W14" si="2">J7</f>
        <v>0</v>
      </c>
      <c r="X7" s="666"/>
      <c r="Y7" s="3438" t="s">
        <v>1680</v>
      </c>
      <c r="Z7" s="343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8" t="s">
        <v>1683</v>
      </c>
      <c r="Q8" s="3439"/>
      <c r="R8" s="664" t="s">
        <v>14</v>
      </c>
      <c r="S8" s="665">
        <f t="shared" si="0"/>
        <v>100</v>
      </c>
      <c r="T8" s="664" t="s">
        <v>14</v>
      </c>
      <c r="U8" s="665">
        <f t="shared" si="1"/>
        <v>100</v>
      </c>
      <c r="V8" s="664" t="s">
        <v>14</v>
      </c>
      <c r="W8" s="665">
        <f t="shared" si="2"/>
        <v>100</v>
      </c>
      <c r="X8" s="666"/>
      <c r="Y8" s="3438" t="s">
        <v>1683</v>
      </c>
      <c r="Z8" s="343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3" t="s">
        <v>1686</v>
      </c>
      <c r="Q9" s="530" t="str">
        <f t="shared" ref="Q9:Q14" si="6">B9</f>
        <v>用途</v>
      </c>
      <c r="R9" s="664" t="s">
        <v>14</v>
      </c>
      <c r="S9" s="665">
        <f t="shared" si="0"/>
        <v>100</v>
      </c>
      <c r="T9" s="664" t="s">
        <v>14</v>
      </c>
      <c r="U9" s="665">
        <f t="shared" si="1"/>
        <v>100</v>
      </c>
      <c r="V9" s="664" t="s">
        <v>14</v>
      </c>
      <c r="W9" s="665">
        <f t="shared" si="2"/>
        <v>100</v>
      </c>
      <c r="X9" s="666"/>
      <c r="Y9" s="327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3"/>
      <c r="Q10" s="530" t="str">
        <f t="shared" si="6"/>
        <v>土地使用年限（年）</v>
      </c>
      <c r="R10" s="664" t="s">
        <v>14</v>
      </c>
      <c r="S10" s="665">
        <f t="shared" si="0"/>
        <v>100</v>
      </c>
      <c r="T10" s="664" t="s">
        <v>14</v>
      </c>
      <c r="U10" s="665">
        <f t="shared" si="1"/>
        <v>100</v>
      </c>
      <c r="V10" s="664" t="s">
        <v>14</v>
      </c>
      <c r="W10" s="665">
        <f t="shared" si="2"/>
        <v>100</v>
      </c>
      <c r="X10" s="666"/>
      <c r="Y10" s="327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3"/>
      <c r="Q11" s="530">
        <f t="shared" si="6"/>
        <v>111</v>
      </c>
      <c r="R11" s="664" t="s">
        <v>14</v>
      </c>
      <c r="S11" s="665">
        <f t="shared" si="0"/>
        <v>100</v>
      </c>
      <c r="T11" s="664" t="s">
        <v>14</v>
      </c>
      <c r="U11" s="665">
        <f t="shared" si="1"/>
        <v>100</v>
      </c>
      <c r="V11" s="664" t="s">
        <v>14</v>
      </c>
      <c r="W11" s="665">
        <f t="shared" si="2"/>
        <v>100</v>
      </c>
      <c r="X11" s="666"/>
      <c r="Y11" s="327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3"/>
      <c r="Q12" s="530">
        <f t="shared" si="6"/>
        <v>111</v>
      </c>
      <c r="R12" s="664" t="s">
        <v>14</v>
      </c>
      <c r="S12" s="665">
        <f t="shared" si="0"/>
        <v>100</v>
      </c>
      <c r="T12" s="664" t="s">
        <v>14</v>
      </c>
      <c r="U12" s="665">
        <f t="shared" si="1"/>
        <v>100</v>
      </c>
      <c r="V12" s="664" t="s">
        <v>14</v>
      </c>
      <c r="W12" s="665">
        <f t="shared" si="2"/>
        <v>100</v>
      </c>
      <c r="X12" s="666"/>
      <c r="Y12" s="327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3"/>
      <c r="Q13" s="530">
        <f t="shared" si="6"/>
        <v>111</v>
      </c>
      <c r="R13" s="664" t="s">
        <v>14</v>
      </c>
      <c r="S13" s="665">
        <f t="shared" si="0"/>
        <v>100</v>
      </c>
      <c r="T13" s="664" t="s">
        <v>14</v>
      </c>
      <c r="U13" s="665">
        <f t="shared" si="1"/>
        <v>100</v>
      </c>
      <c r="V13" s="664" t="s">
        <v>14</v>
      </c>
      <c r="W13" s="665">
        <f t="shared" si="2"/>
        <v>100</v>
      </c>
      <c r="X13" s="666"/>
      <c r="Y13" s="327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6"/>
      <c r="Q15" s="1263"/>
      <c r="R15" s="667"/>
      <c r="S15" s="668"/>
      <c r="T15" s="667"/>
      <c r="U15" s="668"/>
      <c r="V15" s="667"/>
      <c r="W15" s="668"/>
      <c r="X15" s="1265"/>
      <c r="Y15" s="3406"/>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6"/>
      <c r="Q17" s="1263"/>
      <c r="R17" s="667"/>
      <c r="S17" s="668"/>
      <c r="T17" s="667"/>
      <c r="U17" s="668"/>
      <c r="V17" s="667"/>
      <c r="W17" s="668"/>
      <c r="X17" s="1265"/>
      <c r="Y17" s="340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6"/>
      <c r="Q19" s="1263"/>
      <c r="R19" s="667"/>
      <c r="S19" s="668"/>
      <c r="T19" s="667"/>
      <c r="U19" s="668"/>
      <c r="V19" s="667"/>
      <c r="W19" s="668"/>
      <c r="X19" s="1265"/>
      <c r="Y19" s="3406"/>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6"/>
      <c r="Q21" s="1263"/>
      <c r="R21" s="667"/>
      <c r="S21" s="668"/>
      <c r="T21" s="667"/>
      <c r="U21" s="668"/>
      <c r="V21" s="667"/>
      <c r="W21" s="668"/>
      <c r="X21" s="1265"/>
      <c r="Y21" s="340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6"/>
      <c r="Q24" s="1263">
        <f t="shared" ref="Q24:Q34"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0"/>
      <c r="Q28" s="1263" t="str">
        <f t="shared" si="11"/>
        <v>物业等级</v>
      </c>
      <c r="R28" s="667" t="s">
        <v>14</v>
      </c>
      <c r="S28" s="668">
        <f t="shared" si="12"/>
        <v>100</v>
      </c>
      <c r="T28" s="667" t="s">
        <v>14</v>
      </c>
      <c r="U28" s="668">
        <f t="shared" si="13"/>
        <v>100</v>
      </c>
      <c r="V28" s="667" t="s">
        <v>14</v>
      </c>
      <c r="W28" s="668">
        <f t="shared" si="14"/>
        <v>100</v>
      </c>
      <c r="X28" s="1265"/>
      <c r="Y28" s="341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0"/>
      <c r="Q29" s="1263" t="str">
        <f t="shared" si="11"/>
        <v>有无电梯</v>
      </c>
      <c r="R29" s="667" t="s">
        <v>14</v>
      </c>
      <c r="S29" s="668">
        <f t="shared" si="12"/>
        <v>100</v>
      </c>
      <c r="T29" s="667" t="s">
        <v>14</v>
      </c>
      <c r="U29" s="668">
        <f t="shared" si="13"/>
        <v>100</v>
      </c>
      <c r="V29" s="667" t="s">
        <v>14</v>
      </c>
      <c r="W29" s="668">
        <f t="shared" si="14"/>
        <v>100</v>
      </c>
      <c r="X29" s="1265"/>
      <c r="Y29" s="341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0"/>
      <c r="Q30" s="1263" t="str">
        <f t="shared" si="11"/>
        <v>建筑面积</v>
      </c>
      <c r="R30" s="667" t="s">
        <v>14</v>
      </c>
      <c r="S30" s="668" t="e">
        <f t="shared" si="12"/>
        <v>#N/A</v>
      </c>
      <c r="T30" s="667" t="s">
        <v>14</v>
      </c>
      <c r="U30" s="668" t="e">
        <f t="shared" si="13"/>
        <v>#N/A</v>
      </c>
      <c r="V30" s="667" t="s">
        <v>14</v>
      </c>
      <c r="W30" s="668" t="e">
        <f t="shared" si="14"/>
        <v>#N/A</v>
      </c>
      <c r="X30" s="1265"/>
      <c r="Y30" s="341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0" t="s">
        <v>1696</v>
      </c>
      <c r="Q32" s="1263">
        <f t="shared" si="11"/>
        <v>111</v>
      </c>
      <c r="R32" s="667" t="s">
        <v>14</v>
      </c>
      <c r="S32" s="668">
        <f t="shared" si="12"/>
        <v>100</v>
      </c>
      <c r="T32" s="667" t="s">
        <v>14</v>
      </c>
      <c r="U32" s="668">
        <f t="shared" si="13"/>
        <v>100</v>
      </c>
      <c r="V32" s="667" t="s">
        <v>14</v>
      </c>
      <c r="W32" s="668">
        <f t="shared" si="14"/>
        <v>100</v>
      </c>
      <c r="X32" s="1265"/>
      <c r="Y32" s="341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0"/>
      <c r="Q33" s="1263">
        <f t="shared" si="11"/>
        <v>111</v>
      </c>
      <c r="R33" s="667" t="s">
        <v>14</v>
      </c>
      <c r="S33" s="668">
        <f t="shared" si="12"/>
        <v>100</v>
      </c>
      <c r="T33" s="667" t="s">
        <v>14</v>
      </c>
      <c r="U33" s="668">
        <f t="shared" si="13"/>
        <v>100</v>
      </c>
      <c r="V33" s="667" t="s">
        <v>14</v>
      </c>
      <c r="W33" s="668">
        <f t="shared" si="14"/>
        <v>100</v>
      </c>
      <c r="X33" s="1265"/>
      <c r="Y33" s="341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3" t="str">
        <f>A35</f>
        <v>成交单价（元/平方米）</v>
      </c>
      <c r="Q35" s="3403"/>
      <c r="R35" s="3404">
        <f>E35</f>
        <v>0</v>
      </c>
      <c r="S35" s="3404"/>
      <c r="T35" s="3404">
        <f>G35</f>
        <v>0</v>
      </c>
      <c r="U35" s="3404"/>
      <c r="V35" s="3404">
        <f>I35</f>
        <v>0</v>
      </c>
      <c r="W35" s="3404"/>
      <c r="X35" s="385"/>
      <c r="Y35" s="673"/>
      <c r="Z35" s="385"/>
      <c r="AA35" s="385"/>
      <c r="AB35" s="385"/>
      <c r="AC35" s="385"/>
    </row>
    <row r="36" spans="1:30" ht="15" thickBot="1">
      <c r="A36" s="423" t="s">
        <v>1793</v>
      </c>
      <c r="B36" s="424"/>
      <c r="C36" s="1082" t="e">
        <f>R37</f>
        <v>#DIV/0!</v>
      </c>
      <c r="D36" s="2141" t="s">
        <v>2135</v>
      </c>
      <c r="E36" s="1083" t="e">
        <f>R36</f>
        <v>#DIV/0!</v>
      </c>
      <c r="F36" s="2142"/>
      <c r="G36" s="1082" t="e">
        <f>T36</f>
        <v>#DIV/0!</v>
      </c>
      <c r="H36" s="2142"/>
      <c r="I36" s="1083" t="e">
        <f>V36</f>
        <v>#DIV/0!</v>
      </c>
      <c r="J36" s="2142"/>
      <c r="K36" s="2144">
        <f>F36+H36+J36</f>
        <v>0</v>
      </c>
      <c r="L36" s="2493"/>
      <c r="M36" s="2486"/>
      <c r="N36" s="2486"/>
      <c r="O36" s="2486"/>
      <c r="P36" s="3403" t="str">
        <f>A36</f>
        <v>比较价值（元/平方米）</v>
      </c>
      <c r="Q36" s="340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0" t="str">
        <f>A37</f>
        <v>估价对象XX用房的比较价值（楼面单价，元/平方米）</v>
      </c>
      <c r="Q37" s="3401"/>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28" t="s">
        <v>1771</v>
      </c>
      <c r="S4" s="3429"/>
      <c r="T4" s="3428" t="s">
        <v>1772</v>
      </c>
      <c r="U4" s="3429"/>
      <c r="V4" s="3404" t="s">
        <v>1773</v>
      </c>
      <c r="W4" s="3404"/>
      <c r="X4" s="1265"/>
      <c r="Y4" s="3428" t="s">
        <v>1775</v>
      </c>
      <c r="Z4" s="3429"/>
      <c r="AA4" s="3415" t="s">
        <v>1771</v>
      </c>
      <c r="AB4" s="3416" t="s">
        <v>1772</v>
      </c>
      <c r="AC4" s="3415" t="s">
        <v>1773</v>
      </c>
    </row>
    <row r="5" spans="1:29">
      <c r="A5" s="348"/>
      <c r="B5" s="349"/>
      <c r="C5" s="3436" t="s">
        <v>1673</v>
      </c>
      <c r="D5" s="3437"/>
      <c r="E5" s="3443" t="s">
        <v>1674</v>
      </c>
      <c r="F5" s="3444"/>
      <c r="G5" s="3436" t="s">
        <v>1675</v>
      </c>
      <c r="H5" s="3437"/>
      <c r="I5" s="3436" t="s">
        <v>1676</v>
      </c>
      <c r="J5" s="3437"/>
      <c r="K5" s="537"/>
      <c r="L5" s="2485"/>
      <c r="M5" s="2486"/>
      <c r="N5" s="2486"/>
      <c r="O5" s="2486"/>
      <c r="P5" s="3424"/>
      <c r="Q5" s="3425"/>
      <c r="R5" s="3430"/>
      <c r="S5" s="3431"/>
      <c r="T5" s="3430"/>
      <c r="U5" s="3431"/>
      <c r="V5" s="3404"/>
      <c r="W5" s="3404"/>
      <c r="X5" s="1265"/>
      <c r="Y5" s="3430"/>
      <c r="Z5" s="3431"/>
      <c r="AA5" s="3416"/>
      <c r="AB5" s="3416"/>
      <c r="AC5" s="3416"/>
    </row>
    <row r="6" spans="1:29" ht="15" thickBot="1">
      <c r="A6" s="350"/>
      <c r="B6" s="351"/>
      <c r="C6" s="3434" t="s">
        <v>1677</v>
      </c>
      <c r="D6" s="3435"/>
      <c r="E6" s="3441" t="s">
        <v>1677</v>
      </c>
      <c r="F6" s="3442"/>
      <c r="G6" s="3434" t="s">
        <v>1677</v>
      </c>
      <c r="H6" s="3435"/>
      <c r="I6" s="3434" t="s">
        <v>1677</v>
      </c>
      <c r="J6" s="3435"/>
      <c r="K6" s="537" t="s">
        <v>1678</v>
      </c>
      <c r="L6" s="2485"/>
      <c r="M6" s="2486"/>
      <c r="N6" s="2486"/>
      <c r="O6" s="2486"/>
      <c r="P6" s="3426"/>
      <c r="Q6" s="3427"/>
      <c r="R6" s="3430"/>
      <c r="S6" s="3431"/>
      <c r="T6" s="3432"/>
      <c r="U6" s="3433"/>
      <c r="V6" s="3404"/>
      <c r="W6" s="3404"/>
      <c r="X6" s="1265"/>
      <c r="Y6" s="3432"/>
      <c r="Z6" s="3433"/>
      <c r="AA6" s="3417"/>
      <c r="AB6" s="3417"/>
      <c r="AC6" s="3417"/>
    </row>
    <row r="7" spans="1:29" s="102" customFormat="1" ht="15" thickBot="1">
      <c r="A7" s="352" t="s">
        <v>1679</v>
      </c>
      <c r="B7" s="353"/>
      <c r="C7" s="354">
        <f>'数据-取费表'!B2</f>
        <v>45706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38" t="s">
        <v>1680</v>
      </c>
      <c r="Q7" s="3440"/>
      <c r="R7" s="664" t="s">
        <v>14</v>
      </c>
      <c r="S7" s="665">
        <f t="shared" ref="S7:S15" si="0">F7</f>
        <v>0</v>
      </c>
      <c r="T7" s="664" t="s">
        <v>14</v>
      </c>
      <c r="U7" s="665">
        <f t="shared" ref="U7:U15" si="1">H7</f>
        <v>0</v>
      </c>
      <c r="V7" s="664" t="s">
        <v>14</v>
      </c>
      <c r="W7" s="665">
        <f t="shared" ref="W7:W15" si="2">J7</f>
        <v>0</v>
      </c>
      <c r="X7" s="666"/>
      <c r="Y7" s="3438" t="s">
        <v>1680</v>
      </c>
      <c r="Z7" s="343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8" t="s">
        <v>1683</v>
      </c>
      <c r="Q8" s="3439"/>
      <c r="R8" s="664" t="s">
        <v>14</v>
      </c>
      <c r="S8" s="665">
        <f t="shared" si="0"/>
        <v>0</v>
      </c>
      <c r="T8" s="664" t="s">
        <v>14</v>
      </c>
      <c r="U8" s="665">
        <f t="shared" si="1"/>
        <v>0</v>
      </c>
      <c r="V8" s="664" t="s">
        <v>14</v>
      </c>
      <c r="W8" s="665">
        <f t="shared" si="2"/>
        <v>0</v>
      </c>
      <c r="X8" s="666"/>
      <c r="Y8" s="3438" t="s">
        <v>1683</v>
      </c>
      <c r="Z8" s="343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3" t="s">
        <v>1686</v>
      </c>
      <c r="Q9" s="530" t="str">
        <f t="shared" ref="Q9:Q15" si="6">B9</f>
        <v>用途</v>
      </c>
      <c r="R9" s="664" t="s">
        <v>14</v>
      </c>
      <c r="S9" s="665">
        <f t="shared" si="0"/>
        <v>100</v>
      </c>
      <c r="T9" s="664" t="s">
        <v>14</v>
      </c>
      <c r="U9" s="665">
        <f t="shared" si="1"/>
        <v>100</v>
      </c>
      <c r="V9" s="664" t="s">
        <v>14</v>
      </c>
      <c r="W9" s="665">
        <f t="shared" si="2"/>
        <v>100</v>
      </c>
      <c r="X9" s="666"/>
      <c r="Y9" s="327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403"/>
      <c r="Q10" s="530" t="str">
        <f t="shared" si="6"/>
        <v>土地使用年限（年）</v>
      </c>
      <c r="R10" s="664" t="s">
        <v>14</v>
      </c>
      <c r="S10" s="665">
        <f t="shared" si="0"/>
        <v>106</v>
      </c>
      <c r="T10" s="664" t="s">
        <v>14</v>
      </c>
      <c r="U10" s="665">
        <f t="shared" si="1"/>
        <v>106</v>
      </c>
      <c r="V10" s="664" t="s">
        <v>14</v>
      </c>
      <c r="W10" s="665">
        <f t="shared" si="2"/>
        <v>106</v>
      </c>
      <c r="X10" s="666"/>
      <c r="Y10" s="3278"/>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3"/>
      <c r="Q11" s="530" t="str">
        <f t="shared" si="6"/>
        <v>容积率</v>
      </c>
      <c r="R11" s="664" t="s">
        <v>14</v>
      </c>
      <c r="S11" s="665" t="e">
        <f t="shared" si="0"/>
        <v>#N/A</v>
      </c>
      <c r="T11" s="664" t="s">
        <v>14</v>
      </c>
      <c r="U11" s="665" t="e">
        <f t="shared" si="1"/>
        <v>#N/A</v>
      </c>
      <c r="V11" s="664" t="s">
        <v>14</v>
      </c>
      <c r="W11" s="665" t="e">
        <f t="shared" si="2"/>
        <v>#N/A</v>
      </c>
      <c r="X11" s="666"/>
      <c r="Y11" s="327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3"/>
      <c r="Q12" s="530" t="str">
        <f t="shared" si="6"/>
        <v>配建</v>
      </c>
      <c r="R12" s="664" t="s">
        <v>14</v>
      </c>
      <c r="S12" s="665">
        <f t="shared" si="0"/>
        <v>100</v>
      </c>
      <c r="T12" s="664" t="s">
        <v>14</v>
      </c>
      <c r="U12" s="665">
        <f t="shared" si="1"/>
        <v>100</v>
      </c>
      <c r="V12" s="664" t="s">
        <v>14</v>
      </c>
      <c r="W12" s="665">
        <f t="shared" si="2"/>
        <v>100</v>
      </c>
      <c r="X12" s="666"/>
      <c r="Y12" s="327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3"/>
      <c r="Q13" s="530">
        <f t="shared" si="6"/>
        <v>111</v>
      </c>
      <c r="R13" s="664" t="s">
        <v>14</v>
      </c>
      <c r="S13" s="665">
        <f t="shared" si="0"/>
        <v>100</v>
      </c>
      <c r="T13" s="664" t="s">
        <v>14</v>
      </c>
      <c r="U13" s="665">
        <f t="shared" si="1"/>
        <v>100</v>
      </c>
      <c r="V13" s="664" t="s">
        <v>14</v>
      </c>
      <c r="W13" s="665">
        <f t="shared" si="2"/>
        <v>100</v>
      </c>
      <c r="X13" s="666"/>
      <c r="Y13" s="327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3"/>
      <c r="Q14" s="530">
        <f t="shared" si="6"/>
        <v>111</v>
      </c>
      <c r="R14" s="664" t="s">
        <v>14</v>
      </c>
      <c r="S14" s="665">
        <f t="shared" si="0"/>
        <v>100</v>
      </c>
      <c r="T14" s="664" t="s">
        <v>14</v>
      </c>
      <c r="U14" s="665">
        <f t="shared" si="1"/>
        <v>100</v>
      </c>
      <c r="V14" s="664" t="s">
        <v>14</v>
      </c>
      <c r="W14" s="665">
        <f t="shared" si="2"/>
        <v>100</v>
      </c>
      <c r="X14" s="666"/>
      <c r="Y14" s="327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5" t="s">
        <v>1691</v>
      </c>
      <c r="Q15" s="1263" t="str">
        <f t="shared" si="6"/>
        <v>居住社区成熟度</v>
      </c>
      <c r="R15" s="667" t="s">
        <v>14</v>
      </c>
      <c r="S15" s="668">
        <f t="shared" si="0"/>
        <v>100</v>
      </c>
      <c r="T15" s="667" t="s">
        <v>14</v>
      </c>
      <c r="U15" s="668">
        <f t="shared" si="1"/>
        <v>100</v>
      </c>
      <c r="V15" s="667" t="s">
        <v>14</v>
      </c>
      <c r="W15" s="668">
        <f t="shared" si="2"/>
        <v>100</v>
      </c>
      <c r="X15" s="1265"/>
      <c r="Y15" s="340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6"/>
      <c r="Q16" s="1263"/>
      <c r="R16" s="667"/>
      <c r="S16" s="668"/>
      <c r="T16" s="667"/>
      <c r="U16" s="668"/>
      <c r="V16" s="667"/>
      <c r="W16" s="668"/>
      <c r="X16" s="1265"/>
      <c r="Y16" s="340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6"/>
      <c r="Q17" s="1263" t="str">
        <f>B17</f>
        <v>商业繁华度</v>
      </c>
      <c r="R17" s="667" t="s">
        <v>14</v>
      </c>
      <c r="S17" s="668">
        <f>F17</f>
        <v>100</v>
      </c>
      <c r="T17" s="667" t="s">
        <v>14</v>
      </c>
      <c r="U17" s="668">
        <f>H17</f>
        <v>100</v>
      </c>
      <c r="V17" s="667" t="s">
        <v>14</v>
      </c>
      <c r="W17" s="668">
        <f>J17</f>
        <v>100</v>
      </c>
      <c r="X17" s="1265"/>
      <c r="Y17" s="340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6"/>
      <c r="Q18" s="1263"/>
      <c r="R18" s="667"/>
      <c r="S18" s="668"/>
      <c r="T18" s="667"/>
      <c r="U18" s="668"/>
      <c r="V18" s="667"/>
      <c r="W18" s="668"/>
      <c r="X18" s="1265"/>
      <c r="Y18" s="340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6"/>
      <c r="Q19" s="1263" t="str">
        <f>B19</f>
        <v>办公集聚程度</v>
      </c>
      <c r="R19" s="667" t="s">
        <v>14</v>
      </c>
      <c r="S19" s="668">
        <f>F19</f>
        <v>100</v>
      </c>
      <c r="T19" s="667" t="s">
        <v>14</v>
      </c>
      <c r="U19" s="668">
        <f>H19</f>
        <v>100</v>
      </c>
      <c r="V19" s="667" t="s">
        <v>14</v>
      </c>
      <c r="W19" s="668">
        <f>J19</f>
        <v>100</v>
      </c>
      <c r="X19" s="1265"/>
      <c r="Y19" s="340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6"/>
      <c r="Q20" s="1263"/>
      <c r="R20" s="667"/>
      <c r="S20" s="668"/>
      <c r="T20" s="667"/>
      <c r="U20" s="668"/>
      <c r="V20" s="667"/>
      <c r="W20" s="668"/>
      <c r="X20" s="1265"/>
      <c r="Y20" s="3406"/>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6"/>
      <c r="Q21" s="1263" t="str">
        <f>B21</f>
        <v>交通便捷度</v>
      </c>
      <c r="R21" s="667" t="s">
        <v>14</v>
      </c>
      <c r="S21" s="668">
        <f>F21</f>
        <v>100</v>
      </c>
      <c r="T21" s="667" t="s">
        <v>14</v>
      </c>
      <c r="U21" s="668">
        <f>H21</f>
        <v>100</v>
      </c>
      <c r="V21" s="667" t="s">
        <v>14</v>
      </c>
      <c r="W21" s="668">
        <f>J21</f>
        <v>100</v>
      </c>
      <c r="X21" s="1265"/>
      <c r="Y21" s="340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6"/>
      <c r="Q22" s="1263"/>
      <c r="R22" s="667"/>
      <c r="S22" s="668"/>
      <c r="T22" s="667"/>
      <c r="U22" s="668"/>
      <c r="V22" s="667"/>
      <c r="W22" s="668"/>
      <c r="X22" s="1265"/>
      <c r="Y22" s="340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6"/>
      <c r="Q23" s="1263" t="str">
        <f t="shared" ref="Q23:Q37" si="8">B23</f>
        <v>区域土地利用方向</v>
      </c>
      <c r="R23" s="667" t="s">
        <v>14</v>
      </c>
      <c r="S23" s="668">
        <f>F23</f>
        <v>100</v>
      </c>
      <c r="T23" s="667" t="s">
        <v>14</v>
      </c>
      <c r="U23" s="668">
        <f>H23</f>
        <v>100</v>
      </c>
      <c r="V23" s="667" t="s">
        <v>14</v>
      </c>
      <c r="W23" s="668">
        <f>J23</f>
        <v>100</v>
      </c>
      <c r="X23" s="1265"/>
      <c r="Y23" s="340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6"/>
      <c r="Q24" s="1263"/>
      <c r="R24" s="667"/>
      <c r="S24" s="668"/>
      <c r="T24" s="667"/>
      <c r="U24" s="668"/>
      <c r="V24" s="667"/>
      <c r="W24" s="668"/>
      <c r="X24" s="1265"/>
      <c r="Y24" s="3406"/>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6"/>
      <c r="Q25" s="1263" t="str">
        <f t="shared" si="8"/>
        <v>自然及人文环境状况</v>
      </c>
      <c r="R25" s="667" t="s">
        <v>14</v>
      </c>
      <c r="S25" s="668">
        <f>F25</f>
        <v>100</v>
      </c>
      <c r="T25" s="667" t="s">
        <v>14</v>
      </c>
      <c r="U25" s="668">
        <f>H25</f>
        <v>100</v>
      </c>
      <c r="V25" s="667" t="s">
        <v>14</v>
      </c>
      <c r="W25" s="668">
        <f>J25</f>
        <v>100</v>
      </c>
      <c r="X25" s="1265"/>
      <c r="Y25" s="340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6"/>
      <c r="Q26" s="1263"/>
      <c r="R26" s="667"/>
      <c r="S26" s="668"/>
      <c r="T26" s="667"/>
      <c r="U26" s="668"/>
      <c r="V26" s="667"/>
      <c r="W26" s="668"/>
      <c r="X26" s="1265"/>
      <c r="Y26" s="3406"/>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6"/>
      <c r="Q28" s="530"/>
      <c r="R28" s="664"/>
      <c r="S28" s="665"/>
      <c r="T28" s="664"/>
      <c r="U28" s="665"/>
      <c r="V28" s="664"/>
      <c r="W28" s="665"/>
      <c r="X28" s="666"/>
      <c r="Y28" s="340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6"/>
      <c r="Q30" s="530"/>
      <c r="R30" s="664"/>
      <c r="S30" s="665"/>
      <c r="T30" s="664"/>
      <c r="U30" s="665"/>
      <c r="V30" s="664"/>
      <c r="W30" s="665"/>
      <c r="X30" s="666"/>
      <c r="Y30" s="340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6"/>
      <c r="Q32" s="1263" t="str">
        <f t="shared" si="8"/>
        <v>毗邻道路的类型与等级</v>
      </c>
      <c r="R32" s="667" t="s">
        <v>14</v>
      </c>
      <c r="S32" s="668">
        <f t="shared" si="10"/>
        <v>100</v>
      </c>
      <c r="T32" s="667" t="s">
        <v>14</v>
      </c>
      <c r="U32" s="668">
        <f t="shared" si="11"/>
        <v>100</v>
      </c>
      <c r="V32" s="667" t="s">
        <v>14</v>
      </c>
      <c r="W32" s="668">
        <f t="shared" si="12"/>
        <v>100</v>
      </c>
      <c r="X32" s="1265"/>
      <c r="Y32" s="340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6"/>
      <c r="Q33" s="1263"/>
      <c r="R33" s="667"/>
      <c r="S33" s="668"/>
      <c r="T33" s="667"/>
      <c r="U33" s="668"/>
      <c r="V33" s="667"/>
      <c r="W33" s="668"/>
      <c r="X33" s="1265"/>
      <c r="Y33" s="340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6"/>
      <c r="Q34" s="1263" t="str">
        <f t="shared" si="8"/>
        <v>土地级别</v>
      </c>
      <c r="R34" s="667" t="s">
        <v>14</v>
      </c>
      <c r="S34" s="668">
        <f t="shared" si="10"/>
        <v>100</v>
      </c>
      <c r="T34" s="667" t="s">
        <v>14</v>
      </c>
      <c r="U34" s="668">
        <f t="shared" si="11"/>
        <v>100</v>
      </c>
      <c r="V34" s="667" t="s">
        <v>14</v>
      </c>
      <c r="W34" s="668">
        <f t="shared" si="12"/>
        <v>100</v>
      </c>
      <c r="X34" s="1265"/>
      <c r="Y34" s="340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6"/>
      <c r="Q35" s="1263">
        <f t="shared" si="8"/>
        <v>111</v>
      </c>
      <c r="R35" s="667" t="s">
        <v>14</v>
      </c>
      <c r="S35" s="668">
        <f t="shared" si="10"/>
        <v>100</v>
      </c>
      <c r="T35" s="667" t="s">
        <v>14</v>
      </c>
      <c r="U35" s="668">
        <f t="shared" si="11"/>
        <v>100</v>
      </c>
      <c r="V35" s="667" t="s">
        <v>14</v>
      </c>
      <c r="W35" s="668">
        <f t="shared" si="12"/>
        <v>100</v>
      </c>
      <c r="X35" s="1265"/>
      <c r="Y35" s="340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8" t="s">
        <v>1696</v>
      </c>
      <c r="Q36" s="1263">
        <f t="shared" si="8"/>
        <v>111</v>
      </c>
      <c r="R36" s="667" t="s">
        <v>14</v>
      </c>
      <c r="S36" s="668">
        <f t="shared" si="10"/>
        <v>100</v>
      </c>
      <c r="T36" s="667" t="s">
        <v>14</v>
      </c>
      <c r="U36" s="668">
        <f t="shared" si="11"/>
        <v>100</v>
      </c>
      <c r="V36" s="667" t="s">
        <v>14</v>
      </c>
      <c r="W36" s="668">
        <f t="shared" si="12"/>
        <v>100</v>
      </c>
      <c r="X36" s="1265"/>
      <c r="Y36" s="341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0"/>
      <c r="Q37" s="1263">
        <f t="shared" si="8"/>
        <v>111</v>
      </c>
      <c r="R37" s="669" t="s">
        <v>14</v>
      </c>
      <c r="S37" s="670">
        <f t="shared" si="10"/>
        <v>100</v>
      </c>
      <c r="T37" s="669" t="s">
        <v>14</v>
      </c>
      <c r="U37" s="670">
        <f t="shared" si="11"/>
        <v>100</v>
      </c>
      <c r="V37" s="669" t="s">
        <v>14</v>
      </c>
      <c r="W37" s="670">
        <f t="shared" si="12"/>
        <v>100</v>
      </c>
      <c r="X37" s="671"/>
      <c r="Y37" s="341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0"/>
      <c r="Q38" s="1263" t="str">
        <f>B38</f>
        <v>宗地面积</v>
      </c>
      <c r="R38" s="667" t="s">
        <v>14</v>
      </c>
      <c r="S38" s="668" t="e">
        <f t="shared" si="10"/>
        <v>#N/A</v>
      </c>
      <c r="T38" s="667" t="s">
        <v>14</v>
      </c>
      <c r="U38" s="668" t="e">
        <f t="shared" si="11"/>
        <v>#N/A</v>
      </c>
      <c r="V38" s="667" t="s">
        <v>14</v>
      </c>
      <c r="W38" s="668" t="e">
        <f t="shared" si="12"/>
        <v>#N/A</v>
      </c>
      <c r="X38" s="1265"/>
      <c r="Y38" s="341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0"/>
      <c r="Q39" s="1263" t="str">
        <f t="shared" ref="Q39:Q45" si="14">B39</f>
        <v>宗地形状</v>
      </c>
      <c r="R39" s="667" t="s">
        <v>14</v>
      </c>
      <c r="S39" s="668">
        <f t="shared" si="10"/>
        <v>100</v>
      </c>
      <c r="T39" s="667" t="s">
        <v>14</v>
      </c>
      <c r="U39" s="668">
        <f t="shared" si="11"/>
        <v>100</v>
      </c>
      <c r="V39" s="667" t="s">
        <v>14</v>
      </c>
      <c r="W39" s="668">
        <f t="shared" si="12"/>
        <v>100</v>
      </c>
      <c r="X39" s="1265"/>
      <c r="Y39" s="341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0"/>
      <c r="Q40" s="1263" t="str">
        <f t="shared" si="14"/>
        <v>临街宽度及深度</v>
      </c>
      <c r="R40" s="667" t="s">
        <v>14</v>
      </c>
      <c r="S40" s="668">
        <f t="shared" si="10"/>
        <v>100</v>
      </c>
      <c r="T40" s="667" t="s">
        <v>14</v>
      </c>
      <c r="U40" s="668">
        <f t="shared" si="11"/>
        <v>100</v>
      </c>
      <c r="V40" s="667" t="s">
        <v>14</v>
      </c>
      <c r="W40" s="668">
        <f t="shared" si="12"/>
        <v>100</v>
      </c>
      <c r="X40" s="1265"/>
      <c r="Y40" s="341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0"/>
      <c r="Q41" s="1263"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0" t="s">
        <v>1696</v>
      </c>
      <c r="Q42" s="1263" t="str">
        <f t="shared" si="14"/>
        <v>工程地质条件</v>
      </c>
      <c r="R42" s="667" t="s">
        <v>14</v>
      </c>
      <c r="S42" s="668">
        <f t="shared" si="10"/>
        <v>100</v>
      </c>
      <c r="T42" s="667" t="s">
        <v>14</v>
      </c>
      <c r="U42" s="668">
        <f t="shared" si="11"/>
        <v>100</v>
      </c>
      <c r="V42" s="667" t="s">
        <v>14</v>
      </c>
      <c r="W42" s="668">
        <f t="shared" si="12"/>
        <v>100</v>
      </c>
      <c r="X42" s="1265"/>
      <c r="Y42" s="341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0"/>
      <c r="Q43" s="1263">
        <f t="shared" si="14"/>
        <v>111</v>
      </c>
      <c r="R43" s="667" t="s">
        <v>14</v>
      </c>
      <c r="S43" s="668">
        <f t="shared" si="10"/>
        <v>100</v>
      </c>
      <c r="T43" s="667" t="s">
        <v>14</v>
      </c>
      <c r="U43" s="668">
        <f t="shared" si="11"/>
        <v>100</v>
      </c>
      <c r="V43" s="667" t="s">
        <v>14</v>
      </c>
      <c r="W43" s="668">
        <f t="shared" si="12"/>
        <v>100</v>
      </c>
      <c r="X43" s="1265"/>
      <c r="Y43" s="341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0"/>
      <c r="Q44" s="1263">
        <f t="shared" si="14"/>
        <v>111</v>
      </c>
      <c r="R44" s="667" t="s">
        <v>14</v>
      </c>
      <c r="S44" s="668">
        <f t="shared" si="10"/>
        <v>100</v>
      </c>
      <c r="T44" s="667" t="s">
        <v>14</v>
      </c>
      <c r="U44" s="668">
        <f t="shared" si="11"/>
        <v>100</v>
      </c>
      <c r="V44" s="667" t="s">
        <v>14</v>
      </c>
      <c r="W44" s="668">
        <f t="shared" si="12"/>
        <v>100</v>
      </c>
      <c r="X44" s="1265"/>
      <c r="Y44" s="341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0"/>
      <c r="Q45" s="1263">
        <f t="shared" si="14"/>
        <v>111</v>
      </c>
      <c r="R45" s="669" t="s">
        <v>14</v>
      </c>
      <c r="S45" s="670">
        <f t="shared" si="10"/>
        <v>100</v>
      </c>
      <c r="T45" s="669" t="s">
        <v>14</v>
      </c>
      <c r="U45" s="670">
        <f t="shared" si="11"/>
        <v>100</v>
      </c>
      <c r="V45" s="669" t="s">
        <v>14</v>
      </c>
      <c r="W45" s="670">
        <f t="shared" si="12"/>
        <v>100</v>
      </c>
      <c r="X45" s="671"/>
      <c r="Y45" s="341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3" t="str">
        <f>A46</f>
        <v>成交单价</v>
      </c>
      <c r="Q46" s="3403"/>
      <c r="R46" s="3404">
        <f>E46</f>
        <v>0</v>
      </c>
      <c r="S46" s="3404"/>
      <c r="T46" s="3404">
        <f>G46</f>
        <v>0</v>
      </c>
      <c r="U46" s="3404"/>
      <c r="V46" s="3404">
        <f>I46</f>
        <v>0</v>
      </c>
      <c r="W46" s="3404"/>
      <c r="X46" s="385"/>
      <c r="Y46" s="673"/>
      <c r="Z46" s="385"/>
      <c r="AA46" s="385"/>
      <c r="AB46" s="385"/>
      <c r="AC46" s="385"/>
    </row>
    <row r="47" spans="1:29" ht="15" thickBot="1">
      <c r="A47" s="423" t="s">
        <v>1793</v>
      </c>
      <c r="B47" s="603"/>
      <c r="C47" s="426" t="e">
        <f>R48</f>
        <v>#DIV/0!</v>
      </c>
      <c r="D47" s="2141" t="s">
        <v>2135</v>
      </c>
      <c r="E47" s="426" t="e">
        <f>R47</f>
        <v>#DIV/0!</v>
      </c>
      <c r="F47" s="2142"/>
      <c r="G47" s="425" t="e">
        <f>T47</f>
        <v>#DIV/0!</v>
      </c>
      <c r="H47" s="2142"/>
      <c r="I47" s="426" t="e">
        <f>V47</f>
        <v>#DIV/0!</v>
      </c>
      <c r="J47" s="2142"/>
      <c r="K47" s="2144">
        <f>F47+H47+J47</f>
        <v>0</v>
      </c>
      <c r="L47" s="2493"/>
      <c r="M47" s="2486"/>
      <c r="N47" s="2486"/>
      <c r="O47" s="2486"/>
      <c r="P47" s="3403" t="str">
        <f>A47</f>
        <v>比较价值（元/平方米）</v>
      </c>
      <c r="Q47" s="3403"/>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0" t="str">
        <f>A48</f>
        <v>估价对象XX用房的比较价值（楼面单价，元/平方米）</v>
      </c>
      <c r="Q48" s="3401"/>
      <c r="R48" s="3471" t="e">
        <f>ROUND(IF(D47="简单平均",AVERAGE(R47:W47),R47*F47+T47*H47+V47*J47),0)</f>
        <v>#DIV/0!</v>
      </c>
      <c r="S48" s="3471"/>
      <c r="T48" s="3471"/>
      <c r="U48" s="3471"/>
      <c r="V48" s="3471"/>
      <c r="W48" s="347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8" t="s">
        <v>1887</v>
      </c>
      <c r="H55" s="347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3490.9300000000003</v>
      </c>
      <c r="F56" s="833" t="e">
        <f t="shared" ref="F56:F64" si="15">ROUND(B56*E56/10000,0)</f>
        <v>#DIV/0!</v>
      </c>
      <c r="G56" s="3414"/>
      <c r="H56" s="340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3490.9300000000003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8" t="s">
        <v>1770</v>
      </c>
      <c r="D4" s="3419"/>
      <c r="E4" s="3420" t="s">
        <v>1771</v>
      </c>
      <c r="F4" s="3421"/>
      <c r="G4" s="3418" t="s">
        <v>1772</v>
      </c>
      <c r="H4" s="3419"/>
      <c r="I4" s="3418" t="s">
        <v>1773</v>
      </c>
      <c r="J4" s="3419"/>
      <c r="K4" s="537" t="s">
        <v>1774</v>
      </c>
      <c r="L4" s="2485"/>
      <c r="M4" s="2486"/>
      <c r="N4" s="2486"/>
      <c r="O4" s="2486"/>
      <c r="P4" s="3422" t="s">
        <v>1775</v>
      </c>
      <c r="Q4" s="3423"/>
      <c r="R4" s="3428" t="s">
        <v>1771</v>
      </c>
      <c r="S4" s="3429"/>
      <c r="T4" s="3428" t="s">
        <v>1772</v>
      </c>
      <c r="U4" s="3429"/>
      <c r="V4" s="3404" t="s">
        <v>1773</v>
      </c>
      <c r="W4" s="3404"/>
      <c r="X4" s="1265"/>
      <c r="Y4" s="3428" t="s">
        <v>1775</v>
      </c>
      <c r="Z4" s="3429"/>
      <c r="AA4" s="3415" t="s">
        <v>1771</v>
      </c>
      <c r="AB4" s="3416" t="s">
        <v>1772</v>
      </c>
      <c r="AC4" s="3415" t="s">
        <v>1773</v>
      </c>
    </row>
    <row r="5" spans="1:29">
      <c r="A5" s="348"/>
      <c r="B5" s="349"/>
      <c r="C5" s="3436" t="s">
        <v>1673</v>
      </c>
      <c r="D5" s="3437"/>
      <c r="E5" s="3443" t="s">
        <v>1674</v>
      </c>
      <c r="F5" s="3444"/>
      <c r="G5" s="3436" t="s">
        <v>1675</v>
      </c>
      <c r="H5" s="3437"/>
      <c r="I5" s="3436" t="s">
        <v>1676</v>
      </c>
      <c r="J5" s="3437"/>
      <c r="K5" s="537"/>
      <c r="L5" s="2485"/>
      <c r="M5" s="2486"/>
      <c r="N5" s="2486"/>
      <c r="O5" s="2486"/>
      <c r="P5" s="3424"/>
      <c r="Q5" s="3425"/>
      <c r="R5" s="3430"/>
      <c r="S5" s="3431"/>
      <c r="T5" s="3430"/>
      <c r="U5" s="3431"/>
      <c r="V5" s="3404"/>
      <c r="W5" s="3404"/>
      <c r="X5" s="1265"/>
      <c r="Y5" s="3430"/>
      <c r="Z5" s="3431"/>
      <c r="AA5" s="3416"/>
      <c r="AB5" s="3416"/>
      <c r="AC5" s="3416"/>
    </row>
    <row r="6" spans="1:29" ht="15" thickBot="1">
      <c r="A6" s="350"/>
      <c r="B6" s="351"/>
      <c r="C6" s="3473" t="s">
        <v>1919</v>
      </c>
      <c r="D6" s="3474"/>
      <c r="E6" s="3475" t="s">
        <v>1919</v>
      </c>
      <c r="F6" s="3476"/>
      <c r="G6" s="3473" t="s">
        <v>1919</v>
      </c>
      <c r="H6" s="3474"/>
      <c r="I6" s="3473" t="s">
        <v>1919</v>
      </c>
      <c r="J6" s="3474"/>
      <c r="K6" s="537" t="s">
        <v>1678</v>
      </c>
      <c r="L6" s="2485"/>
      <c r="M6" s="2486"/>
      <c r="N6" s="2486"/>
      <c r="O6" s="2486"/>
      <c r="P6" s="3426"/>
      <c r="Q6" s="3427"/>
      <c r="R6" s="3430"/>
      <c r="S6" s="3431"/>
      <c r="T6" s="3432"/>
      <c r="U6" s="3433"/>
      <c r="V6" s="3404"/>
      <c r="W6" s="3404"/>
      <c r="X6" s="1265"/>
      <c r="Y6" s="3432"/>
      <c r="Z6" s="3433"/>
      <c r="AA6" s="3417"/>
      <c r="AB6" s="3417"/>
      <c r="AC6" s="3417"/>
    </row>
    <row r="7" spans="1:29" s="102" customFormat="1" ht="15" thickBot="1">
      <c r="A7" s="352" t="s">
        <v>1679</v>
      </c>
      <c r="B7" s="353"/>
      <c r="C7" s="354">
        <f>'数据-取费表'!B2</f>
        <v>45706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38" t="s">
        <v>1680</v>
      </c>
      <c r="Q7" s="3440"/>
      <c r="R7" s="664" t="s">
        <v>14</v>
      </c>
      <c r="S7" s="665">
        <f t="shared" ref="S7:S15" si="0">F7</f>
        <v>0</v>
      </c>
      <c r="T7" s="664" t="s">
        <v>14</v>
      </c>
      <c r="U7" s="665">
        <f t="shared" ref="U7:U15" si="1">H7</f>
        <v>0</v>
      </c>
      <c r="V7" s="664" t="s">
        <v>14</v>
      </c>
      <c r="W7" s="665">
        <f t="shared" ref="W7:W15" si="2">J7</f>
        <v>0</v>
      </c>
      <c r="X7" s="666"/>
      <c r="Y7" s="3438" t="s">
        <v>1680</v>
      </c>
      <c r="Z7" s="343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8" t="s">
        <v>1683</v>
      </c>
      <c r="Q8" s="3439"/>
      <c r="R8" s="664" t="s">
        <v>14</v>
      </c>
      <c r="S8" s="665">
        <f t="shared" si="0"/>
        <v>0</v>
      </c>
      <c r="T8" s="664" t="s">
        <v>14</v>
      </c>
      <c r="U8" s="665">
        <f t="shared" si="1"/>
        <v>0</v>
      </c>
      <c r="V8" s="664" t="s">
        <v>14</v>
      </c>
      <c r="W8" s="665">
        <f t="shared" si="2"/>
        <v>0</v>
      </c>
      <c r="X8" s="666"/>
      <c r="Y8" s="3438" t="s">
        <v>1683</v>
      </c>
      <c r="Z8" s="343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3" t="s">
        <v>1686</v>
      </c>
      <c r="Q9" s="530" t="str">
        <f t="shared" ref="Q9:Q15" si="6">B9</f>
        <v>用途</v>
      </c>
      <c r="R9" s="664" t="s">
        <v>14</v>
      </c>
      <c r="S9" s="665">
        <f t="shared" si="0"/>
        <v>100</v>
      </c>
      <c r="T9" s="664" t="s">
        <v>14</v>
      </c>
      <c r="U9" s="665">
        <f t="shared" si="1"/>
        <v>100</v>
      </c>
      <c r="V9" s="664" t="s">
        <v>14</v>
      </c>
      <c r="W9" s="665">
        <f t="shared" si="2"/>
        <v>100</v>
      </c>
      <c r="X9" s="666"/>
      <c r="Y9" s="327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403"/>
      <c r="Q10" s="530" t="str">
        <f t="shared" si="6"/>
        <v>土地使用年限（年）</v>
      </c>
      <c r="R10" s="664" t="s">
        <v>14</v>
      </c>
      <c r="S10" s="665">
        <f t="shared" si="0"/>
        <v>106</v>
      </c>
      <c r="T10" s="664" t="s">
        <v>14</v>
      </c>
      <c r="U10" s="665">
        <f t="shared" si="1"/>
        <v>106</v>
      </c>
      <c r="V10" s="664" t="s">
        <v>14</v>
      </c>
      <c r="W10" s="665">
        <f t="shared" si="2"/>
        <v>106</v>
      </c>
      <c r="X10" s="666"/>
      <c r="Y10" s="3278"/>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3"/>
      <c r="Q11" s="530" t="str">
        <f t="shared" si="6"/>
        <v>容积率</v>
      </c>
      <c r="R11" s="664" t="s">
        <v>14</v>
      </c>
      <c r="S11" s="665" t="e">
        <f t="shared" si="0"/>
        <v>#N/A</v>
      </c>
      <c r="T11" s="664" t="s">
        <v>14</v>
      </c>
      <c r="U11" s="665" t="e">
        <f t="shared" si="1"/>
        <v>#N/A</v>
      </c>
      <c r="V11" s="664" t="s">
        <v>14</v>
      </c>
      <c r="W11" s="665" t="e">
        <f t="shared" si="2"/>
        <v>#N/A</v>
      </c>
      <c r="X11" s="666"/>
      <c r="Y11" s="327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3"/>
      <c r="Q12" s="530">
        <f t="shared" si="6"/>
        <v>111</v>
      </c>
      <c r="R12" s="664" t="s">
        <v>14</v>
      </c>
      <c r="S12" s="665">
        <f t="shared" si="0"/>
        <v>100</v>
      </c>
      <c r="T12" s="664" t="s">
        <v>14</v>
      </c>
      <c r="U12" s="665">
        <f t="shared" si="1"/>
        <v>100</v>
      </c>
      <c r="V12" s="664" t="s">
        <v>14</v>
      </c>
      <c r="W12" s="665">
        <f t="shared" si="2"/>
        <v>100</v>
      </c>
      <c r="X12" s="666"/>
      <c r="Y12" s="327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3"/>
      <c r="Q13" s="530">
        <f t="shared" si="6"/>
        <v>111</v>
      </c>
      <c r="R13" s="664" t="s">
        <v>14</v>
      </c>
      <c r="S13" s="665">
        <f t="shared" si="0"/>
        <v>100</v>
      </c>
      <c r="T13" s="664" t="s">
        <v>14</v>
      </c>
      <c r="U13" s="665">
        <f t="shared" si="1"/>
        <v>100</v>
      </c>
      <c r="V13" s="664" t="s">
        <v>14</v>
      </c>
      <c r="W13" s="665">
        <f t="shared" si="2"/>
        <v>100</v>
      </c>
      <c r="X13" s="666"/>
      <c r="Y13" s="327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3"/>
      <c r="Q14" s="530">
        <f t="shared" si="6"/>
        <v>111</v>
      </c>
      <c r="R14" s="664" t="s">
        <v>14</v>
      </c>
      <c r="S14" s="665">
        <f t="shared" si="0"/>
        <v>100</v>
      </c>
      <c r="T14" s="664" t="s">
        <v>14</v>
      </c>
      <c r="U14" s="665">
        <f t="shared" si="1"/>
        <v>100</v>
      </c>
      <c r="V14" s="664" t="s">
        <v>14</v>
      </c>
      <c r="W14" s="665">
        <f t="shared" si="2"/>
        <v>100</v>
      </c>
      <c r="X14" s="666"/>
      <c r="Y14" s="327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6"/>
      <c r="Q16" s="1263"/>
      <c r="R16" s="667"/>
      <c r="S16" s="668"/>
      <c r="T16" s="667"/>
      <c r="U16" s="668"/>
      <c r="V16" s="667"/>
      <c r="W16" s="668"/>
      <c r="X16" s="1265"/>
      <c r="Y16" s="340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6"/>
      <c r="Q18" s="1263"/>
      <c r="R18" s="667"/>
      <c r="S18" s="668"/>
      <c r="T18" s="667"/>
      <c r="U18" s="668"/>
      <c r="V18" s="667"/>
      <c r="W18" s="668"/>
      <c r="X18" s="1265"/>
      <c r="Y18" s="340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6"/>
      <c r="Q19" s="1263" t="str">
        <f t="shared" ref="Q19:Q33" si="8">B19</f>
        <v>区域土地利用方向</v>
      </c>
      <c r="R19" s="667" t="s">
        <v>14</v>
      </c>
      <c r="S19" s="668">
        <f>F19</f>
        <v>100</v>
      </c>
      <c r="T19" s="667" t="s">
        <v>14</v>
      </c>
      <c r="U19" s="668">
        <f>H19</f>
        <v>100</v>
      </c>
      <c r="V19" s="667" t="s">
        <v>14</v>
      </c>
      <c r="W19" s="668">
        <f>J19</f>
        <v>100</v>
      </c>
      <c r="X19" s="1265"/>
      <c r="Y19" s="340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6"/>
      <c r="Q20" s="1263"/>
      <c r="R20" s="667"/>
      <c r="S20" s="668"/>
      <c r="T20" s="667"/>
      <c r="U20" s="668"/>
      <c r="V20" s="667"/>
      <c r="W20" s="668"/>
      <c r="X20" s="1265"/>
      <c r="Y20" s="340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6"/>
      <c r="Q21" s="1263" t="str">
        <f t="shared" si="8"/>
        <v>环境状况</v>
      </c>
      <c r="R21" s="667" t="s">
        <v>14</v>
      </c>
      <c r="S21" s="668">
        <f>F21</f>
        <v>100</v>
      </c>
      <c r="T21" s="667" t="s">
        <v>14</v>
      </c>
      <c r="U21" s="668">
        <f>H21</f>
        <v>100</v>
      </c>
      <c r="V21" s="667" t="s">
        <v>14</v>
      </c>
      <c r="W21" s="668">
        <f>J21</f>
        <v>100</v>
      </c>
      <c r="X21" s="1265"/>
      <c r="Y21" s="340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6"/>
      <c r="Q22" s="1263"/>
      <c r="R22" s="667"/>
      <c r="S22" s="668"/>
      <c r="T22" s="667"/>
      <c r="U22" s="668"/>
      <c r="V22" s="667"/>
      <c r="W22" s="668"/>
      <c r="X22" s="1265"/>
      <c r="Y22" s="340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6"/>
      <c r="Q24" s="530"/>
      <c r="R24" s="664"/>
      <c r="S24" s="665"/>
      <c r="T24" s="664"/>
      <c r="U24" s="665"/>
      <c r="V24" s="664"/>
      <c r="W24" s="665"/>
      <c r="X24" s="666"/>
      <c r="Y24" s="340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6"/>
      <c r="Q26" s="530"/>
      <c r="R26" s="664"/>
      <c r="S26" s="665"/>
      <c r="T26" s="664"/>
      <c r="U26" s="665"/>
      <c r="V26" s="664"/>
      <c r="W26" s="665"/>
      <c r="X26" s="666"/>
      <c r="Y26" s="340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6"/>
      <c r="Q28" s="1263" t="str">
        <f t="shared" si="8"/>
        <v>毗邻道路的类型与等级</v>
      </c>
      <c r="R28" s="667" t="s">
        <v>14</v>
      </c>
      <c r="S28" s="668">
        <f t="shared" si="10"/>
        <v>100</v>
      </c>
      <c r="T28" s="667" t="s">
        <v>14</v>
      </c>
      <c r="U28" s="668">
        <f t="shared" si="11"/>
        <v>100</v>
      </c>
      <c r="V28" s="667" t="s">
        <v>14</v>
      </c>
      <c r="W28" s="668">
        <f t="shared" si="12"/>
        <v>100</v>
      </c>
      <c r="X28" s="1265"/>
      <c r="Y28" s="340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6"/>
      <c r="Q29" s="1263"/>
      <c r="R29" s="667"/>
      <c r="S29" s="668"/>
      <c r="T29" s="667"/>
      <c r="U29" s="668"/>
      <c r="V29" s="667"/>
      <c r="W29" s="668"/>
      <c r="X29" s="1265"/>
      <c r="Y29" s="340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6"/>
      <c r="Q30" s="1263" t="str">
        <f t="shared" si="8"/>
        <v>土地级别</v>
      </c>
      <c r="R30" s="667" t="s">
        <v>14</v>
      </c>
      <c r="S30" s="668">
        <f t="shared" si="10"/>
        <v>100</v>
      </c>
      <c r="T30" s="667" t="s">
        <v>14</v>
      </c>
      <c r="U30" s="668">
        <f t="shared" si="11"/>
        <v>100</v>
      </c>
      <c r="V30" s="667" t="s">
        <v>14</v>
      </c>
      <c r="W30" s="668">
        <f t="shared" si="12"/>
        <v>100</v>
      </c>
      <c r="X30" s="1265"/>
      <c r="Y30" s="340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6"/>
      <c r="Q31" s="1263">
        <f t="shared" si="8"/>
        <v>111</v>
      </c>
      <c r="R31" s="667" t="s">
        <v>14</v>
      </c>
      <c r="S31" s="668">
        <f t="shared" si="10"/>
        <v>100</v>
      </c>
      <c r="T31" s="667" t="s">
        <v>14</v>
      </c>
      <c r="U31" s="668">
        <f t="shared" si="11"/>
        <v>100</v>
      </c>
      <c r="V31" s="667" t="s">
        <v>14</v>
      </c>
      <c r="W31" s="668">
        <f t="shared" si="12"/>
        <v>100</v>
      </c>
      <c r="X31" s="1265"/>
      <c r="Y31" s="340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8" t="s">
        <v>1696</v>
      </c>
      <c r="Q32" s="1263">
        <f t="shared" si="8"/>
        <v>111</v>
      </c>
      <c r="R32" s="667" t="s">
        <v>14</v>
      </c>
      <c r="S32" s="668">
        <f t="shared" si="10"/>
        <v>100</v>
      </c>
      <c r="T32" s="667" t="s">
        <v>14</v>
      </c>
      <c r="U32" s="668">
        <f t="shared" si="11"/>
        <v>100</v>
      </c>
      <c r="V32" s="667" t="s">
        <v>14</v>
      </c>
      <c r="W32" s="668">
        <f t="shared" si="12"/>
        <v>100</v>
      </c>
      <c r="X32" s="1265"/>
      <c r="Y32" s="341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0"/>
      <c r="Q33" s="1263">
        <f t="shared" si="8"/>
        <v>111</v>
      </c>
      <c r="R33" s="669" t="s">
        <v>14</v>
      </c>
      <c r="S33" s="670">
        <f t="shared" si="10"/>
        <v>100</v>
      </c>
      <c r="T33" s="669" t="s">
        <v>14</v>
      </c>
      <c r="U33" s="670">
        <f t="shared" si="11"/>
        <v>100</v>
      </c>
      <c r="V33" s="669" t="s">
        <v>14</v>
      </c>
      <c r="W33" s="670">
        <f t="shared" si="12"/>
        <v>100</v>
      </c>
      <c r="X33" s="671"/>
      <c r="Y33" s="341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0"/>
      <c r="Q34" s="1263" t="str">
        <f>B34</f>
        <v>宗地面积</v>
      </c>
      <c r="R34" s="667" t="s">
        <v>14</v>
      </c>
      <c r="S34" s="668" t="e">
        <f t="shared" si="10"/>
        <v>#N/A</v>
      </c>
      <c r="T34" s="667" t="s">
        <v>14</v>
      </c>
      <c r="U34" s="668" t="e">
        <f t="shared" si="11"/>
        <v>#N/A</v>
      </c>
      <c r="V34" s="667" t="s">
        <v>14</v>
      </c>
      <c r="W34" s="668" t="e">
        <f t="shared" si="12"/>
        <v>#N/A</v>
      </c>
      <c r="X34" s="1265"/>
      <c r="Y34" s="341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0"/>
      <c r="Q35" s="1263" t="str">
        <f t="shared" ref="Q35:Q40" si="14">B35</f>
        <v>宗地形状</v>
      </c>
      <c r="R35" s="667" t="s">
        <v>14</v>
      </c>
      <c r="S35" s="668">
        <f t="shared" si="10"/>
        <v>100</v>
      </c>
      <c r="T35" s="667" t="s">
        <v>14</v>
      </c>
      <c r="U35" s="668">
        <f t="shared" si="11"/>
        <v>100</v>
      </c>
      <c r="V35" s="667" t="s">
        <v>14</v>
      </c>
      <c r="W35" s="668">
        <f t="shared" si="12"/>
        <v>100</v>
      </c>
      <c r="X35" s="1265"/>
      <c r="Y35" s="341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0"/>
      <c r="Q36" s="1263" t="str">
        <f t="shared" si="14"/>
        <v>宗地开发程度</v>
      </c>
      <c r="R36" s="664" t="s">
        <v>14</v>
      </c>
      <c r="S36" s="665">
        <f t="shared" si="10"/>
        <v>100</v>
      </c>
      <c r="T36" s="664" t="s">
        <v>14</v>
      </c>
      <c r="U36" s="665">
        <f t="shared" si="11"/>
        <v>100</v>
      </c>
      <c r="V36" s="664" t="s">
        <v>14</v>
      </c>
      <c r="W36" s="665">
        <f t="shared" si="12"/>
        <v>100</v>
      </c>
      <c r="X36" s="666"/>
      <c r="Y36" s="341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0" t="s">
        <v>1696</v>
      </c>
      <c r="Q37" s="1263" t="str">
        <f t="shared" si="14"/>
        <v>工程地质条件</v>
      </c>
      <c r="R37" s="667" t="s">
        <v>14</v>
      </c>
      <c r="S37" s="668">
        <f t="shared" si="10"/>
        <v>100</v>
      </c>
      <c r="T37" s="667" t="s">
        <v>14</v>
      </c>
      <c r="U37" s="668">
        <f t="shared" si="11"/>
        <v>100</v>
      </c>
      <c r="V37" s="667" t="s">
        <v>14</v>
      </c>
      <c r="W37" s="668">
        <f t="shared" si="12"/>
        <v>100</v>
      </c>
      <c r="X37" s="1265"/>
      <c r="Y37" s="341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0"/>
      <c r="Q38" s="1263">
        <f t="shared" si="14"/>
        <v>111</v>
      </c>
      <c r="R38" s="667" t="s">
        <v>14</v>
      </c>
      <c r="S38" s="668">
        <f t="shared" si="10"/>
        <v>100</v>
      </c>
      <c r="T38" s="667" t="s">
        <v>14</v>
      </c>
      <c r="U38" s="668">
        <f t="shared" si="11"/>
        <v>100</v>
      </c>
      <c r="V38" s="667" t="s">
        <v>14</v>
      </c>
      <c r="W38" s="668">
        <f t="shared" si="12"/>
        <v>100</v>
      </c>
      <c r="X38" s="1265"/>
      <c r="Y38" s="341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0"/>
      <c r="Q39" s="1263">
        <f t="shared" si="14"/>
        <v>111</v>
      </c>
      <c r="R39" s="667" t="s">
        <v>14</v>
      </c>
      <c r="S39" s="668">
        <f t="shared" si="10"/>
        <v>100</v>
      </c>
      <c r="T39" s="667" t="s">
        <v>14</v>
      </c>
      <c r="U39" s="668">
        <f t="shared" si="11"/>
        <v>100</v>
      </c>
      <c r="V39" s="667" t="s">
        <v>14</v>
      </c>
      <c r="W39" s="668">
        <f t="shared" si="12"/>
        <v>100</v>
      </c>
      <c r="X39" s="1265"/>
      <c r="Y39" s="341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0"/>
      <c r="Q40" s="1263">
        <f t="shared" si="14"/>
        <v>111</v>
      </c>
      <c r="R40" s="669" t="s">
        <v>14</v>
      </c>
      <c r="S40" s="670">
        <f t="shared" si="10"/>
        <v>100</v>
      </c>
      <c r="T40" s="669" t="s">
        <v>14</v>
      </c>
      <c r="U40" s="670">
        <f t="shared" si="11"/>
        <v>100</v>
      </c>
      <c r="V40" s="669" t="s">
        <v>14</v>
      </c>
      <c r="W40" s="670">
        <f t="shared" si="12"/>
        <v>100</v>
      </c>
      <c r="X40" s="671"/>
      <c r="Y40" s="341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3" t="str">
        <f>A41</f>
        <v>成交单价</v>
      </c>
      <c r="Q41" s="3403"/>
      <c r="R41" s="3404">
        <f>E41</f>
        <v>0</v>
      </c>
      <c r="S41" s="3404"/>
      <c r="T41" s="3404">
        <f>G41</f>
        <v>0</v>
      </c>
      <c r="U41" s="3404"/>
      <c r="V41" s="3404">
        <f>I41</f>
        <v>0</v>
      </c>
      <c r="W41" s="3404"/>
      <c r="X41" s="385"/>
      <c r="Y41" s="673"/>
      <c r="Z41" s="385"/>
      <c r="AA41" s="385"/>
      <c r="AB41" s="385"/>
      <c r="AC41" s="385"/>
    </row>
    <row r="42" spans="1:31" ht="15" thickBot="1">
      <c r="A42" s="423" t="s">
        <v>1793</v>
      </c>
      <c r="B42" s="603"/>
      <c r="C42" s="426" t="e">
        <f>R43</f>
        <v>#DIV/0!</v>
      </c>
      <c r="D42" s="2141" t="s">
        <v>2135</v>
      </c>
      <c r="E42" s="426" t="e">
        <f>R42</f>
        <v>#DIV/0!</v>
      </c>
      <c r="F42" s="2142"/>
      <c r="G42" s="425" t="e">
        <f>T42</f>
        <v>#DIV/0!</v>
      </c>
      <c r="H42" s="2142"/>
      <c r="I42" s="426" t="e">
        <f>V42</f>
        <v>#DIV/0!</v>
      </c>
      <c r="J42" s="2142"/>
      <c r="K42" s="2144">
        <f>F42+H42+J42</f>
        <v>0</v>
      </c>
      <c r="L42" s="2493"/>
      <c r="M42" s="2486"/>
      <c r="N42" s="2486"/>
      <c r="O42" s="2486"/>
      <c r="P42" s="3403" t="str">
        <f>A42</f>
        <v>比较价值（元/平方米）</v>
      </c>
      <c r="Q42" s="3403"/>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0" t="str">
        <f>A43</f>
        <v>估价对象XX用房的比较价值（楼面单价，元/平方米）</v>
      </c>
      <c r="Q43" s="3401"/>
      <c r="R43" s="3471" t="e">
        <f>ROUND(IF(D42="简单平均",AVERAGE(R42:W42),R42*F42+T42*H42+V42*J42),0)</f>
        <v>#DIV/0!</v>
      </c>
      <c r="S43" s="3471"/>
      <c r="T43" s="3471"/>
      <c r="U43" s="3471"/>
      <c r="V43" s="3471"/>
      <c r="W43" s="347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8" t="s">
        <v>1887</v>
      </c>
      <c r="H50" s="347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3490.9300000000003</v>
      </c>
      <c r="F51" s="611" t="e">
        <f t="shared" ref="F51:F60" si="15">ROUND(B51*E51/10000,0)</f>
        <v>#DIV/0!</v>
      </c>
      <c r="G51" s="3414"/>
      <c r="H51" s="340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84"/>
      <c r="B4" s="3485"/>
      <c r="C4" s="3485"/>
      <c r="D4" s="3486"/>
      <c r="E4" s="3486"/>
      <c r="F4" s="3486"/>
      <c r="G4" s="3486"/>
      <c r="H4" s="3486"/>
      <c r="I4" s="3486"/>
      <c r="J4" s="348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3234</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81" t="s">
        <v>1960</v>
      </c>
      <c r="X8" s="348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83"/>
      <c r="X9" s="3063" t="s">
        <v>3265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8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3235</v>
      </c>
      <c r="B12" s="3012" t="s">
        <v>3236</v>
      </c>
      <c r="C12" s="3013"/>
      <c r="D12" s="3014" t="s">
        <v>3237</v>
      </c>
      <c r="E12" s="3015" t="s">
        <v>3238</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3239</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3240</v>
      </c>
      <c r="G14" s="3019" t="s">
        <v>3240</v>
      </c>
      <c r="H14" s="3019" t="s">
        <v>3240</v>
      </c>
      <c r="I14" s="3019" t="s">
        <v>3240</v>
      </c>
      <c r="J14" s="3019" t="s">
        <v>3240</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3241</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3242</v>
      </c>
      <c r="B17" s="3026" t="s">
        <v>3243</v>
      </c>
      <c r="C17" s="3035">
        <f>ROUND(IF(OR(E2="工业",E2="公共服务"),1,IF(AND(E18=0,E19=0),1,IF(AND(E18=J24,E19=G19),0.8,IF(E19=0,1+E17*(-0.2),1+E17*G17*(-0.2))))),4)</f>
        <v>1</v>
      </c>
      <c r="D17" s="3027" t="s">
        <v>3244</v>
      </c>
      <c r="E17" s="3035" t="e">
        <f>ROUND(G18/I18,2)</f>
        <v>#DIV/0!</v>
      </c>
      <c r="F17" s="3027" t="s">
        <v>3247</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3245</v>
      </c>
      <c r="E18" s="2356"/>
      <c r="F18" s="3029" t="s">
        <v>3248</v>
      </c>
      <c r="G18" s="3033">
        <f>ROUND(1-(1/(POWER(1+G24,E18))),4)</f>
        <v>0</v>
      </c>
      <c r="H18" s="3029" t="s">
        <v>3250</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3246</v>
      </c>
      <c r="E19" s="3042"/>
      <c r="F19" s="3043" t="s">
        <v>3249</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8" t="s">
        <v>3251</v>
      </c>
      <c r="B20" s="159" t="s">
        <v>1994</v>
      </c>
      <c r="C20" s="3030" t="e">
        <f>ROUND(IF(F21="与级别开发程度一致",0,(G21-E21)/C21),0)</f>
        <v>#DIV/0!</v>
      </c>
      <c r="D20" s="3045" t="s">
        <v>1998</v>
      </c>
      <c r="E20" s="3046"/>
      <c r="F20" s="3494" t="s">
        <v>1995</v>
      </c>
      <c r="G20" s="349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8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45706</v>
      </c>
      <c r="H23" s="3047" t="s">
        <v>3253</v>
      </c>
      <c r="I23" s="3048" t="str">
        <f>IF(H23="季度增幅（自定义）",SUMIF(N25:N28,E2,O25:O28),"")</f>
        <v/>
      </c>
      <c r="J23" s="3140" t="s">
        <v>3252</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3332</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3257</v>
      </c>
      <c r="G33" s="1941"/>
      <c r="H33" s="1941"/>
      <c r="I33" s="1941"/>
      <c r="J33" s="1942"/>
      <c r="K33" s="1056"/>
      <c r="L33" s="3052" t="s">
        <v>3260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3"/>
      <c r="B39" s="1884" t="s">
        <v>3256</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2119</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3266</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3266</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3266</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2609</v>
      </c>
      <c r="B91" s="3078">
        <f>1+E93</f>
        <v>1</v>
      </c>
      <c r="C91" s="3071"/>
      <c r="D91" s="3072"/>
      <c r="E91" s="1675"/>
      <c r="F91" s="1675"/>
      <c r="G91" s="3073"/>
      <c r="H91" s="3074"/>
      <c r="I91" s="3075"/>
      <c r="J91" s="3076"/>
      <c r="K91" s="3076"/>
      <c r="L91" s="3076"/>
      <c r="M91" s="3076"/>
      <c r="N91" s="3076"/>
    </row>
    <row r="92" spans="1:37" ht="25.2">
      <c r="A92" s="3079" t="s">
        <v>3268</v>
      </c>
      <c r="B92" s="2309"/>
      <c r="C92" s="2309" t="s">
        <v>3277</v>
      </c>
      <c r="D92" s="2309" t="s">
        <v>3278</v>
      </c>
      <c r="E92" s="3051" t="s">
        <v>3279</v>
      </c>
      <c r="F92" s="3081" t="s">
        <v>3280</v>
      </c>
      <c r="G92" s="2309" t="s">
        <v>3281</v>
      </c>
      <c r="H92" s="3088" t="s">
        <v>3284</v>
      </c>
      <c r="I92" s="2309" t="s">
        <v>3285</v>
      </c>
      <c r="J92" s="2150" t="s">
        <v>3286</v>
      </c>
      <c r="K92" s="2150" t="s">
        <v>3287</v>
      </c>
      <c r="L92" s="2150" t="s">
        <v>3288</v>
      </c>
      <c r="M92" s="2150" t="s">
        <v>3289</v>
      </c>
      <c r="N92" s="2150" t="s">
        <v>3290</v>
      </c>
    </row>
    <row r="93" spans="1:37" ht="24">
      <c r="A93" s="3069" t="s">
        <v>3269</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3270</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3266</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3271</v>
      </c>
      <c r="B96" s="3085" t="s">
        <v>3282</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3272</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3273</v>
      </c>
      <c r="B98" s="3086" t="s">
        <v>3283</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3274</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3275</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3276</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0" t="s">
        <v>3291</v>
      </c>
      <c r="B103" s="3490"/>
      <c r="C103" s="3490"/>
      <c r="D103" s="3490"/>
      <c r="E103" s="3490"/>
      <c r="F103" s="3490"/>
      <c r="G103" s="3490"/>
      <c r="H103" s="3490"/>
      <c r="I103" s="3490"/>
      <c r="J103" s="3490"/>
      <c r="K103" s="1667"/>
      <c r="L103" s="1667"/>
      <c r="M103" s="1667"/>
      <c r="N103" s="1667"/>
    </row>
    <row r="104" spans="1:14">
      <c r="A104" s="3491" t="s">
        <v>3292</v>
      </c>
      <c r="B104" s="3491" t="s">
        <v>3293</v>
      </c>
      <c r="C104" s="3089" t="s">
        <v>3294</v>
      </c>
      <c r="D104" s="3090"/>
      <c r="E104" s="3090"/>
      <c r="F104" s="3090"/>
      <c r="G104" s="3090"/>
      <c r="H104" s="3090"/>
      <c r="I104" s="3090"/>
      <c r="J104" s="3091"/>
      <c r="K104" s="3092"/>
      <c r="L104" s="3092"/>
      <c r="M104" s="3092"/>
      <c r="N104" s="3092"/>
    </row>
    <row r="105" spans="1:14">
      <c r="A105" s="3491"/>
      <c r="B105" s="3491"/>
      <c r="C105" s="3093" t="s">
        <v>3295</v>
      </c>
      <c r="D105" s="3093" t="s">
        <v>3296</v>
      </c>
      <c r="E105" s="3093" t="s">
        <v>3297</v>
      </c>
      <c r="F105" s="3093" t="s">
        <v>3298</v>
      </c>
      <c r="G105" s="3093" t="s">
        <v>3299</v>
      </c>
      <c r="H105" s="3093" t="s">
        <v>3300</v>
      </c>
      <c r="I105" s="3093" t="s">
        <v>3301</v>
      </c>
      <c r="J105" s="3093" t="s">
        <v>3302</v>
      </c>
      <c r="K105" s="3093" t="s">
        <v>3303</v>
      </c>
      <c r="L105" s="3093" t="s">
        <v>3304</v>
      </c>
      <c r="M105" s="3093" t="s">
        <v>3305</v>
      </c>
      <c r="N105" s="3093" t="s">
        <v>3306</v>
      </c>
    </row>
    <row r="106" spans="1:14">
      <c r="A106" s="3477" t="s">
        <v>3307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8"/>
      <c r="B111" s="3093" t="s">
        <v>3265</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0" t="s">
        <v>3308</v>
      </c>
      <c r="B113" s="3480"/>
      <c r="C113" s="3480"/>
      <c r="D113" s="3480"/>
      <c r="E113" s="3480"/>
      <c r="F113" s="3480"/>
      <c r="G113" s="3480"/>
      <c r="H113" s="3480"/>
      <c r="I113" s="3480"/>
      <c r="J113" s="348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3309</v>
      </c>
      <c r="B116" s="3113">
        <f>G3</f>
        <v>0</v>
      </c>
      <c r="C116" s="3098" t="s">
        <v>3310</v>
      </c>
      <c r="D116" s="3099">
        <f>SUMPRODUCT((A118:A122=F116)*(B117:M117=H116)*B118:M122)</f>
        <v>0</v>
      </c>
      <c r="E116" s="162" t="s">
        <v>3311</v>
      </c>
      <c r="F116" s="3100">
        <f>E2</f>
        <v>0</v>
      </c>
      <c r="G116" s="162" t="s">
        <v>3312</v>
      </c>
      <c r="H116" s="3100">
        <f>G2</f>
        <v>0</v>
      </c>
      <c r="I116" s="162"/>
      <c r="J116" s="3101"/>
      <c r="K116" s="3101"/>
      <c r="L116" s="3101"/>
      <c r="M116" s="3101"/>
      <c r="N116" s="3096"/>
    </row>
    <row r="117" spans="1:14">
      <c r="A117" s="3102"/>
      <c r="B117" s="3103" t="s">
        <v>3313</v>
      </c>
      <c r="C117" s="3103" t="s">
        <v>3314</v>
      </c>
      <c r="D117" s="3103" t="s">
        <v>3315</v>
      </c>
      <c r="E117" s="3104" t="s">
        <v>3316</v>
      </c>
      <c r="F117" s="3104" t="s">
        <v>3317</v>
      </c>
      <c r="G117" s="3104" t="s">
        <v>3318</v>
      </c>
      <c r="H117" s="3105" t="s">
        <v>3319</v>
      </c>
      <c r="I117" s="3105" t="s">
        <v>3320</v>
      </c>
      <c r="J117" s="3106" t="s">
        <v>3321</v>
      </c>
      <c r="K117" s="3106" t="s">
        <v>3322</v>
      </c>
      <c r="L117" s="3106" t="s">
        <v>3323</v>
      </c>
      <c r="M117" s="3107" t="s">
        <v>3324</v>
      </c>
      <c r="N117" s="3096"/>
    </row>
    <row r="118" spans="1:14">
      <c r="A118" s="3056" t="s">
        <v>3325</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3326</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3327</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3328</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2609</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8" thickBot="1">
      <c r="A4" s="1391"/>
      <c r="B4" s="3193" t="s">
        <v>917</v>
      </c>
      <c r="C4" s="3193"/>
      <c r="D4" s="3193"/>
      <c r="E4" s="1391"/>
    </row>
    <row r="5" spans="1:5" ht="16.2" thickTop="1">
      <c r="B5" s="3191" t="s">
        <v>909</v>
      </c>
      <c r="C5" s="1392" t="s">
        <v>910</v>
      </c>
      <c r="D5" s="797" t="e">
        <f ca="1">结果表!H101</f>
        <v>#REF!</v>
      </c>
    </row>
    <row r="6" spans="1:5" ht="15.6">
      <c r="B6" s="3191"/>
      <c r="C6" s="1392" t="s">
        <v>911</v>
      </c>
      <c r="D6" s="797" t="e">
        <f ca="1">NUMBERSTRING(INT(D5*10000),2)&amp;"元整"</f>
        <v>#REF!</v>
      </c>
    </row>
    <row r="7" spans="1:5" ht="15.6">
      <c r="B7" s="3196"/>
      <c r="C7" s="1393" t="s">
        <v>912</v>
      </c>
      <c r="D7" s="798" t="e">
        <f ca="1">结果表!H102</f>
        <v>#REF!</v>
      </c>
    </row>
    <row r="8" spans="1:5" ht="15.6">
      <c r="B8" s="3197" t="str">
        <f>结果表!E103</f>
        <v>2.估价师知悉的法定优先受偿款</v>
      </c>
      <c r="C8" s="1394" t="s">
        <v>913</v>
      </c>
      <c r="D8" s="798">
        <f>结果表!H103</f>
        <v>0</v>
      </c>
    </row>
    <row r="9" spans="1:5" ht="15.6">
      <c r="B9" s="319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0" t="str">
        <f>结果表!E107</f>
        <v>3.房地产抵押价值</v>
      </c>
      <c r="C13" s="1397" t="s">
        <v>910</v>
      </c>
      <c r="D13" s="800" t="e">
        <f ca="1">结果表!H107</f>
        <v>#REF!</v>
      </c>
    </row>
    <row r="14" spans="1:5" ht="15.6">
      <c r="B14" s="3191"/>
      <c r="C14" s="1392" t="s">
        <v>911</v>
      </c>
      <c r="D14" s="797" t="e">
        <f ca="1">NUMBERSTRING(INT(D13*10000),2)&amp;"元整"</f>
        <v>#REF!</v>
      </c>
    </row>
    <row r="15" spans="1:5" ht="15.6">
      <c r="B15" s="3196"/>
      <c r="C15" s="1393" t="s">
        <v>921</v>
      </c>
      <c r="D15" s="806" t="e">
        <f ca="1">结果表!H108</f>
        <v>#REF!</v>
      </c>
    </row>
    <row r="16" spans="1:5" ht="15.6">
      <c r="B16" s="3197" t="str">
        <f>结果表!E109</f>
        <v>——</v>
      </c>
      <c r="C16" s="1397" t="s">
        <v>922</v>
      </c>
      <c r="D16" s="1398" t="str">
        <f>结果表!H109</f>
        <v>——</v>
      </c>
    </row>
    <row r="17" spans="1:5" ht="15.6">
      <c r="B17" s="3198"/>
      <c r="C17" s="1392" t="s">
        <v>923</v>
      </c>
      <c r="D17" s="797" t="e">
        <f>NUMBERSTRING(INT(D16*10000),2)&amp;"元整"</f>
        <v>#VALUE!</v>
      </c>
    </row>
    <row r="18" spans="1:5" ht="15.6">
      <c r="B18" s="3199"/>
      <c r="C18" s="1393" t="s">
        <v>912</v>
      </c>
      <c r="D18" s="806" t="str">
        <f>结果表!H110</f>
        <v>——</v>
      </c>
    </row>
    <row r="19" spans="1:5" ht="15.6">
      <c r="B19" s="3190" t="str">
        <f>结果表!E111</f>
        <v>——</v>
      </c>
      <c r="C19" s="1397" t="s">
        <v>910</v>
      </c>
      <c r="D19" s="798" t="str">
        <f>结果表!H111</f>
        <v>——</v>
      </c>
    </row>
    <row r="20" spans="1:5" ht="15.6">
      <c r="B20" s="3191"/>
      <c r="C20" s="1392" t="s">
        <v>923</v>
      </c>
      <c r="D20" s="797" t="e">
        <f>NUMBERSTRING(INT(D19*10000),2)&amp;"元整"</f>
        <v>#VALUE!</v>
      </c>
    </row>
    <row r="21" spans="1:5" ht="16.2" thickBot="1">
      <c r="B21" s="3192"/>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505" t="s">
        <v>2604</v>
      </c>
      <c r="B20" s="3500" t="s">
        <v>2625</v>
      </c>
      <c r="C20" s="2841" t="s">
        <v>2436</v>
      </c>
      <c r="D20" s="2842"/>
      <c r="E20" s="2843">
        <v>1</v>
      </c>
      <c r="F20" s="2844" t="s">
        <v>2437</v>
      </c>
      <c r="G20" s="2844"/>
    </row>
    <row r="21" spans="1:13" ht="19.5" customHeight="1">
      <c r="A21" s="3506"/>
      <c r="B21" s="3499"/>
      <c r="C21" s="2845" t="s">
        <v>2438</v>
      </c>
      <c r="D21" s="2846"/>
      <c r="E21" s="2847">
        <v>1</v>
      </c>
      <c r="F21" s="2844" t="s">
        <v>2439</v>
      </c>
      <c r="G21" s="2844"/>
    </row>
    <row r="22" spans="1:13" ht="19.5" customHeight="1">
      <c r="A22" s="3506"/>
      <c r="B22" s="3499"/>
      <c r="C22" s="2845" t="s">
        <v>2440</v>
      </c>
      <c r="D22" s="2846"/>
      <c r="E22" s="2847">
        <v>0.9</v>
      </c>
      <c r="F22" s="2844" t="s">
        <v>2441</v>
      </c>
      <c r="G22" s="2844"/>
    </row>
    <row r="23" spans="1:13" ht="19.5" customHeight="1">
      <c r="A23" s="3506"/>
      <c r="B23" s="3499"/>
      <c r="C23" s="2845" t="s">
        <v>2442</v>
      </c>
      <c r="D23" s="2846"/>
      <c r="E23" s="2847">
        <v>0.9</v>
      </c>
      <c r="F23" s="2844" t="s">
        <v>2443</v>
      </c>
      <c r="G23" s="2844"/>
    </row>
    <row r="24" spans="1:13" ht="19.5" customHeight="1">
      <c r="A24" s="3506"/>
      <c r="B24" s="3499"/>
      <c r="C24" s="2845" t="s">
        <v>2444</v>
      </c>
      <c r="D24" s="2846"/>
      <c r="E24" s="2847">
        <v>0.8</v>
      </c>
      <c r="F24" s="2844" t="s">
        <v>2445</v>
      </c>
      <c r="G24" s="2844"/>
    </row>
    <row r="25" spans="1:13" ht="19.5" customHeight="1" thickBot="1">
      <c r="A25" s="3507"/>
      <c r="B25" s="3501"/>
      <c r="C25" s="2848" t="s">
        <v>2446</v>
      </c>
      <c r="D25" s="2849"/>
      <c r="E25" s="2850">
        <v>0.8</v>
      </c>
      <c r="F25" s="2844" t="s">
        <v>2447</v>
      </c>
      <c r="G25" s="2844"/>
    </row>
    <row r="26" spans="1:13" ht="19.5" customHeight="1" thickBot="1">
      <c r="A26" s="2851" t="s">
        <v>2626</v>
      </c>
      <c r="B26" s="2852" t="s">
        <v>2625</v>
      </c>
      <c r="C26" s="2853" t="s">
        <v>2627</v>
      </c>
      <c r="D26" s="2854"/>
      <c r="E26" s="2855">
        <v>1</v>
      </c>
      <c r="F26" s="2844" t="s">
        <v>2448</v>
      </c>
      <c r="G26" s="2844"/>
    </row>
    <row r="27" spans="1:13" ht="19.5" customHeight="1">
      <c r="A27" s="3502" t="s">
        <v>2628</v>
      </c>
      <c r="B27" s="3500" t="s">
        <v>2609</v>
      </c>
      <c r="C27" s="2841" t="s">
        <v>2449</v>
      </c>
      <c r="D27" s="2842"/>
      <c r="E27" s="2843">
        <v>1</v>
      </c>
      <c r="F27" s="2844" t="s">
        <v>2450</v>
      </c>
      <c r="G27" s="2844"/>
    </row>
    <row r="28" spans="1:13" ht="19.5" customHeight="1">
      <c r="A28" s="3503"/>
      <c r="B28" s="3499"/>
      <c r="C28" s="2845" t="s">
        <v>2451</v>
      </c>
      <c r="D28" s="2846"/>
      <c r="E28" s="2847">
        <v>1</v>
      </c>
      <c r="F28" s="2844" t="s">
        <v>2452</v>
      </c>
      <c r="G28" s="2844"/>
    </row>
    <row r="29" spans="1:13" ht="19.5" customHeight="1">
      <c r="A29" s="3503"/>
      <c r="B29" s="3499"/>
      <c r="C29" s="2845" t="s">
        <v>2453</v>
      </c>
      <c r="D29" s="2846"/>
      <c r="E29" s="2847">
        <v>0.8</v>
      </c>
      <c r="F29" s="2844" t="s">
        <v>2454</v>
      </c>
      <c r="G29" s="2844"/>
    </row>
    <row r="30" spans="1:13" ht="19.5" customHeight="1">
      <c r="A30" s="3503"/>
      <c r="B30" s="3499"/>
      <c r="C30" s="2845" t="s">
        <v>2455</v>
      </c>
      <c r="D30" s="2846"/>
      <c r="E30" s="2847">
        <v>0.8</v>
      </c>
      <c r="F30" s="2844" t="s">
        <v>2456</v>
      </c>
      <c r="G30" s="2844"/>
    </row>
    <row r="31" spans="1:13" ht="19.5" customHeight="1">
      <c r="A31" s="3503"/>
      <c r="B31" s="3499"/>
      <c r="C31" s="2845" t="s">
        <v>2457</v>
      </c>
      <c r="D31" s="2846"/>
      <c r="E31" s="2847">
        <v>0.8</v>
      </c>
      <c r="F31" s="2844" t="s">
        <v>2458</v>
      </c>
      <c r="G31" s="2844"/>
    </row>
    <row r="32" spans="1:13" ht="19.5" customHeight="1">
      <c r="A32" s="3503"/>
      <c r="B32" s="3499"/>
      <c r="C32" s="2845" t="s">
        <v>2459</v>
      </c>
      <c r="D32" s="2846"/>
      <c r="E32" s="2847">
        <v>0.7</v>
      </c>
      <c r="F32" s="2844" t="s">
        <v>2460</v>
      </c>
      <c r="G32" s="2844"/>
    </row>
    <row r="33" spans="1:7" ht="19.5" customHeight="1">
      <c r="A33" s="3503"/>
      <c r="B33" s="3499"/>
      <c r="C33" s="2845" t="s">
        <v>2461</v>
      </c>
      <c r="D33" s="2846"/>
      <c r="E33" s="2847">
        <v>0.8</v>
      </c>
      <c r="F33" s="2844" t="s">
        <v>2462</v>
      </c>
      <c r="G33" s="2844"/>
    </row>
    <row r="34" spans="1:7" ht="19.5" customHeight="1">
      <c r="A34" s="3503"/>
      <c r="B34" s="3499"/>
      <c r="C34" s="2845" t="s">
        <v>2463</v>
      </c>
      <c r="D34" s="2846"/>
      <c r="E34" s="2847">
        <v>0.6</v>
      </c>
      <c r="F34" s="2844" t="s">
        <v>2464</v>
      </c>
      <c r="G34" s="2844"/>
    </row>
    <row r="35" spans="1:7" ht="19.5" customHeight="1">
      <c r="A35" s="3503"/>
      <c r="B35" s="3499"/>
      <c r="C35" s="2845" t="s">
        <v>2465</v>
      </c>
      <c r="D35" s="2846"/>
      <c r="E35" s="2847">
        <v>0.2</v>
      </c>
      <c r="F35" s="2844" t="s">
        <v>2466</v>
      </c>
      <c r="G35" s="2844"/>
    </row>
    <row r="36" spans="1:7" ht="19.5" customHeight="1">
      <c r="A36" s="3503"/>
      <c r="B36" s="3499"/>
      <c r="C36" s="2845" t="s">
        <v>2467</v>
      </c>
      <c r="D36" s="2846"/>
      <c r="E36" s="2847">
        <v>0.2</v>
      </c>
      <c r="F36" s="2844" t="s">
        <v>2468</v>
      </c>
      <c r="G36" s="2844"/>
    </row>
    <row r="37" spans="1:7" ht="19.5" customHeight="1">
      <c r="A37" s="3503"/>
      <c r="B37" s="3497" t="s">
        <v>2629</v>
      </c>
      <c r="C37" s="2845" t="s">
        <v>2469</v>
      </c>
      <c r="D37" s="2846"/>
      <c r="E37" s="2847">
        <v>0.6</v>
      </c>
      <c r="F37" s="2844" t="s">
        <v>2470</v>
      </c>
      <c r="G37" s="2844"/>
    </row>
    <row r="38" spans="1:7" ht="19.5" customHeight="1">
      <c r="A38" s="3503"/>
      <c r="B38" s="3499"/>
      <c r="C38" s="2845" t="s">
        <v>2471</v>
      </c>
      <c r="D38" s="2846"/>
      <c r="E38" s="2847">
        <v>0.6</v>
      </c>
      <c r="F38" s="2844" t="s">
        <v>2472</v>
      </c>
      <c r="G38" s="2844"/>
    </row>
    <row r="39" spans="1:7" ht="19.5" customHeight="1" thickBot="1">
      <c r="A39" s="3504"/>
      <c r="B39" s="3501"/>
      <c r="C39" s="2848" t="s">
        <v>2473</v>
      </c>
      <c r="D39" s="2849"/>
      <c r="E39" s="2850">
        <v>0.6</v>
      </c>
      <c r="F39" s="2844" t="s">
        <v>2474</v>
      </c>
      <c r="G39" s="2844"/>
    </row>
    <row r="40" spans="1:7" ht="19.5" customHeight="1" thickBot="1">
      <c r="A40" s="2851" t="s">
        <v>2606</v>
      </c>
      <c r="B40" s="2852" t="s">
        <v>2606</v>
      </c>
      <c r="C40" s="2853" t="s">
        <v>2630</v>
      </c>
      <c r="D40" s="2854"/>
      <c r="E40" s="2855">
        <v>1</v>
      </c>
      <c r="F40" s="2844" t="s">
        <v>2475</v>
      </c>
      <c r="G40" s="2844"/>
    </row>
    <row r="41" spans="1:7" ht="19.5" customHeight="1">
      <c r="A41" s="3505" t="s">
        <v>2607</v>
      </c>
      <c r="B41" s="3500" t="s">
        <v>2631</v>
      </c>
      <c r="C41" s="2841" t="s">
        <v>2476</v>
      </c>
      <c r="D41" s="2842"/>
      <c r="E41" s="2843">
        <v>1</v>
      </c>
      <c r="F41" s="2844" t="s">
        <v>2477</v>
      </c>
      <c r="G41" s="2844"/>
    </row>
    <row r="42" spans="1:7" ht="19.5" customHeight="1">
      <c r="A42" s="3506"/>
      <c r="B42" s="3499"/>
      <c r="C42" s="2845" t="s">
        <v>2478</v>
      </c>
      <c r="D42" s="2846"/>
      <c r="E42" s="2847">
        <v>1</v>
      </c>
      <c r="F42" s="2844" t="s">
        <v>2479</v>
      </c>
      <c r="G42" s="2844"/>
    </row>
    <row r="43" spans="1:7" ht="19.5" customHeight="1">
      <c r="A43" s="3506"/>
      <c r="B43" s="3498"/>
      <c r="C43" s="2845" t="s">
        <v>2480</v>
      </c>
      <c r="D43" s="2846"/>
      <c r="E43" s="2847">
        <v>1.5</v>
      </c>
      <c r="F43" s="2844" t="s">
        <v>2481</v>
      </c>
      <c r="G43" s="2844"/>
    </row>
    <row r="44" spans="1:7" ht="19.5" customHeight="1">
      <c r="A44" s="3506"/>
      <c r="B44" s="2856" t="s">
        <v>2632</v>
      </c>
      <c r="C44" s="2845" t="s">
        <v>2633</v>
      </c>
      <c r="D44" s="2846"/>
      <c r="E44" s="2847">
        <v>2</v>
      </c>
      <c r="F44" s="2844" t="s">
        <v>2482</v>
      </c>
      <c r="G44" s="2844"/>
    </row>
    <row r="45" spans="1:7" ht="19.5" customHeight="1">
      <c r="A45" s="3506"/>
      <c r="B45" s="3497" t="s">
        <v>2634</v>
      </c>
      <c r="C45" s="2845" t="s">
        <v>2483</v>
      </c>
      <c r="D45" s="2846"/>
      <c r="E45" s="2847">
        <v>1</v>
      </c>
      <c r="F45" s="2844" t="s">
        <v>2484</v>
      </c>
      <c r="G45" s="2844"/>
    </row>
    <row r="46" spans="1:7" ht="19.5" customHeight="1">
      <c r="A46" s="3506"/>
      <c r="B46" s="3499"/>
      <c r="C46" s="2845" t="s">
        <v>2485</v>
      </c>
      <c r="D46" s="2846"/>
      <c r="E46" s="2847">
        <v>1</v>
      </c>
      <c r="F46" s="2844" t="s">
        <v>2486</v>
      </c>
      <c r="G46" s="2844"/>
    </row>
    <row r="47" spans="1:7" ht="19.5" customHeight="1">
      <c r="A47" s="3506"/>
      <c r="B47" s="3499"/>
      <c r="C47" s="2845" t="s">
        <v>2487</v>
      </c>
      <c r="D47" s="2846"/>
      <c r="E47" s="2847">
        <v>1</v>
      </c>
      <c r="F47" s="2844" t="s">
        <v>2488</v>
      </c>
      <c r="G47" s="2844"/>
    </row>
    <row r="48" spans="1:7" ht="19.5" customHeight="1">
      <c r="A48" s="3506"/>
      <c r="B48" s="3499"/>
      <c r="C48" s="2845" t="s">
        <v>2489</v>
      </c>
      <c r="D48" s="2846"/>
      <c r="E48" s="2847">
        <v>1</v>
      </c>
      <c r="F48" s="2844" t="s">
        <v>2490</v>
      </c>
      <c r="G48" s="2844"/>
    </row>
    <row r="49" spans="1:7" ht="19.5" customHeight="1">
      <c r="A49" s="3506"/>
      <c r="B49" s="3499"/>
      <c r="C49" s="2845" t="s">
        <v>2491</v>
      </c>
      <c r="D49" s="2846"/>
      <c r="E49" s="2847">
        <v>1</v>
      </c>
      <c r="F49" s="2844" t="s">
        <v>2492</v>
      </c>
      <c r="G49" s="2844"/>
    </row>
    <row r="50" spans="1:7" ht="19.5" customHeight="1">
      <c r="A50" s="3506"/>
      <c r="B50" s="3499"/>
      <c r="C50" s="2845" t="s">
        <v>2493</v>
      </c>
      <c r="D50" s="2846"/>
      <c r="E50" s="2847">
        <v>1</v>
      </c>
      <c r="F50" s="2844" t="s">
        <v>2494</v>
      </c>
      <c r="G50" s="2844"/>
    </row>
    <row r="51" spans="1:7" ht="19.5" customHeight="1" thickBot="1">
      <c r="A51" s="3507"/>
      <c r="B51" s="3501"/>
      <c r="C51" s="2848" t="s">
        <v>2495</v>
      </c>
      <c r="D51" s="2849"/>
      <c r="E51" s="2850">
        <v>1</v>
      </c>
      <c r="F51" s="2844" t="s">
        <v>2496</v>
      </c>
      <c r="G51" s="2844"/>
    </row>
    <row r="52" spans="1:7" ht="19.5" customHeight="1">
      <c r="A52" s="2857"/>
      <c r="B52" s="2857"/>
      <c r="C52" s="2857"/>
      <c r="D52" s="2857"/>
      <c r="E52" s="2857"/>
      <c r="F52" s="2857"/>
      <c r="G52" s="2857"/>
    </row>
    <row r="54" spans="1:7" ht="19.5" customHeight="1">
      <c r="A54" s="2858"/>
      <c r="B54" s="2830" t="s">
        <v>2635</v>
      </c>
      <c r="C54" s="2830" t="s">
        <v>2635</v>
      </c>
      <c r="D54" s="2830" t="s">
        <v>2635</v>
      </c>
      <c r="E54" s="2833" t="s">
        <v>2635</v>
      </c>
      <c r="F54" s="2833" t="s">
        <v>2636</v>
      </c>
      <c r="G54" s="2833" t="s">
        <v>2637</v>
      </c>
    </row>
    <row r="55" spans="1:7" ht="19.5" customHeight="1">
      <c r="A55" s="2859"/>
      <c r="B55" s="2833" t="s">
        <v>2604</v>
      </c>
      <c r="C55" s="2833" t="s">
        <v>2604</v>
      </c>
      <c r="D55" s="2833" t="s">
        <v>2604</v>
      </c>
      <c r="E55" s="2830" t="s">
        <v>2605</v>
      </c>
      <c r="F55" s="2830" t="s">
        <v>2607</v>
      </c>
      <c r="G55" s="2830" t="s">
        <v>2638</v>
      </c>
    </row>
    <row r="56" spans="1:7" ht="19.5" customHeight="1">
      <c r="A56" s="2860"/>
      <c r="B56" s="2830">
        <v>1</v>
      </c>
      <c r="C56" s="2830">
        <v>2</v>
      </c>
      <c r="D56" s="2830">
        <v>3</v>
      </c>
      <c r="E56" s="2861" t="s">
        <v>2639</v>
      </c>
      <c r="F56" s="2861" t="s">
        <v>2639</v>
      </c>
      <c r="G56" s="2861" t="s">
        <v>2639</v>
      </c>
    </row>
    <row r="57" spans="1:7" ht="19.5" customHeight="1">
      <c r="A57" s="2862" t="s">
        <v>2592</v>
      </c>
      <c r="B57" s="2830">
        <v>0.7</v>
      </c>
      <c r="C57" s="2830">
        <v>0.4</v>
      </c>
      <c r="D57" s="2830">
        <v>0.3</v>
      </c>
      <c r="E57" s="2861">
        <v>0.3</v>
      </c>
      <c r="F57" s="2830">
        <v>0.3</v>
      </c>
      <c r="G57" s="2830">
        <v>0.2</v>
      </c>
    </row>
    <row r="58" spans="1:7" ht="19.5" customHeight="1">
      <c r="A58" s="2862" t="s">
        <v>2593</v>
      </c>
      <c r="B58" s="2830">
        <v>0.7</v>
      </c>
      <c r="C58" s="2830">
        <v>0.4</v>
      </c>
      <c r="D58" s="2830">
        <v>0.3</v>
      </c>
      <c r="E58" s="2830">
        <v>0.3</v>
      </c>
      <c r="F58" s="2830">
        <v>0.3</v>
      </c>
      <c r="G58" s="2830">
        <v>0.2</v>
      </c>
    </row>
    <row r="59" spans="1:7" ht="19.5" customHeight="1">
      <c r="A59" s="2862" t="s">
        <v>2594</v>
      </c>
      <c r="B59" s="2830">
        <v>0.6</v>
      </c>
      <c r="C59" s="2830">
        <v>0.3</v>
      </c>
      <c r="D59" s="2830">
        <v>0.25</v>
      </c>
      <c r="E59" s="2830">
        <v>0.25</v>
      </c>
      <c r="F59" s="2830">
        <v>0.25</v>
      </c>
      <c r="G59" s="2830">
        <v>0.15</v>
      </c>
    </row>
    <row r="60" spans="1:7" ht="19.5" customHeight="1">
      <c r="A60" s="2862" t="s">
        <v>2595</v>
      </c>
      <c r="B60" s="2830">
        <v>0.6</v>
      </c>
      <c r="C60" s="2830">
        <v>0.3</v>
      </c>
      <c r="D60" s="2830">
        <v>0.25</v>
      </c>
      <c r="E60" s="2830">
        <v>0.25</v>
      </c>
      <c r="F60" s="2830">
        <v>0.25</v>
      </c>
      <c r="G60" s="2830">
        <v>0.15</v>
      </c>
    </row>
    <row r="61" spans="1:7" ht="19.5" customHeight="1">
      <c r="A61" s="2862" t="s">
        <v>2596</v>
      </c>
      <c r="B61" s="2830">
        <v>0.6</v>
      </c>
      <c r="C61" s="2830">
        <v>0.3</v>
      </c>
      <c r="D61" s="2830">
        <v>0.25</v>
      </c>
      <c r="E61" s="2830">
        <v>0.25</v>
      </c>
      <c r="F61" s="2830">
        <v>0.25</v>
      </c>
      <c r="G61" s="2830">
        <v>0.15</v>
      </c>
    </row>
    <row r="62" spans="1:7" ht="19.5" customHeight="1">
      <c r="A62" s="2862" t="s">
        <v>2597</v>
      </c>
      <c r="B62" s="2830">
        <v>0.6</v>
      </c>
      <c r="C62" s="2830">
        <v>0.3</v>
      </c>
      <c r="D62" s="2830">
        <v>0.25</v>
      </c>
      <c r="E62" s="2830">
        <v>0.25</v>
      </c>
      <c r="F62" s="2830">
        <v>0.25</v>
      </c>
      <c r="G62" s="2830">
        <v>0.15</v>
      </c>
    </row>
    <row r="63" spans="1:7" ht="19.5" customHeight="1">
      <c r="A63" s="2862" t="s">
        <v>2598</v>
      </c>
      <c r="B63" s="2830">
        <v>0.6</v>
      </c>
      <c r="C63" s="2830">
        <v>0.3</v>
      </c>
      <c r="D63" s="2830">
        <v>0.25</v>
      </c>
      <c r="E63" s="2830">
        <v>0.25</v>
      </c>
      <c r="F63" s="2830">
        <v>0.25</v>
      </c>
      <c r="G63" s="2830">
        <v>0.15</v>
      </c>
    </row>
    <row r="64" spans="1:7" ht="19.5" customHeight="1">
      <c r="A64" s="2862" t="s">
        <v>2599</v>
      </c>
      <c r="B64" s="2830">
        <v>0.5</v>
      </c>
      <c r="C64" s="2830">
        <v>0.2</v>
      </c>
      <c r="D64" s="2830">
        <v>0.2</v>
      </c>
      <c r="E64" s="2830">
        <v>0.2</v>
      </c>
      <c r="F64" s="2830">
        <v>0.2</v>
      </c>
      <c r="G64" s="2830">
        <v>0.1</v>
      </c>
    </row>
    <row r="65" spans="1:7" ht="19.5" customHeight="1">
      <c r="A65" s="2862" t="s">
        <v>2600</v>
      </c>
      <c r="B65" s="2830">
        <v>0.5</v>
      </c>
      <c r="C65" s="2830">
        <v>0.2</v>
      </c>
      <c r="D65" s="2830">
        <v>0.2</v>
      </c>
      <c r="E65" s="2830">
        <v>0.2</v>
      </c>
      <c r="F65" s="2830">
        <v>0.2</v>
      </c>
      <c r="G65" s="2830">
        <v>0.1</v>
      </c>
    </row>
    <row r="66" spans="1:7" ht="19.5" customHeight="1">
      <c r="A66" s="2862" t="s">
        <v>2601</v>
      </c>
      <c r="B66" s="2830">
        <v>0.5</v>
      </c>
      <c r="C66" s="2830">
        <v>0.2</v>
      </c>
      <c r="D66" s="2830">
        <v>0.2</v>
      </c>
      <c r="E66" s="2830">
        <v>0.2</v>
      </c>
      <c r="F66" s="2830">
        <v>0.2</v>
      </c>
      <c r="G66" s="2830">
        <v>0.1</v>
      </c>
    </row>
    <row r="67" spans="1:7" ht="19.5" customHeight="1">
      <c r="A67" s="2862" t="s">
        <v>2602</v>
      </c>
      <c r="B67" s="2830">
        <v>0.5</v>
      </c>
      <c r="C67" s="2830">
        <v>0.2</v>
      </c>
      <c r="D67" s="2830">
        <v>0.2</v>
      </c>
      <c r="E67" s="2830">
        <v>0.2</v>
      </c>
      <c r="F67" s="2830">
        <v>0.2</v>
      </c>
      <c r="G67" s="2830">
        <v>0.1</v>
      </c>
    </row>
    <row r="68" spans="1:7" ht="19.5" customHeight="1">
      <c r="A68" s="2862" t="s">
        <v>2603</v>
      </c>
      <c r="B68" s="2830">
        <v>0.5</v>
      </c>
      <c r="C68" s="2830">
        <v>0.2</v>
      </c>
      <c r="D68" s="2830">
        <v>0.2</v>
      </c>
      <c r="E68" s="2830">
        <v>0.2</v>
      </c>
      <c r="F68" s="2830">
        <v>0.2</v>
      </c>
      <c r="G68" s="2830">
        <v>0.1</v>
      </c>
    </row>
    <row r="70" spans="1:7" ht="19.5" customHeight="1">
      <c r="A70" s="2844"/>
      <c r="B70" s="2863"/>
      <c r="C70" s="2863"/>
      <c r="D70" s="2863" t="s">
        <v>2640</v>
      </c>
      <c r="E70" s="2863"/>
      <c r="F70" s="2863"/>
    </row>
    <row r="71" spans="1:7" ht="19.5" customHeight="1">
      <c r="A71" s="2856" t="s">
        <v>2641</v>
      </c>
      <c r="B71" s="2856" t="s">
        <v>2642</v>
      </c>
      <c r="C71" s="2856" t="s">
        <v>2643</v>
      </c>
      <c r="D71" s="2856" t="s">
        <v>2644</v>
      </c>
      <c r="E71" s="2856" t="s">
        <v>2645</v>
      </c>
      <c r="F71" s="2856" t="s">
        <v>2646</v>
      </c>
    </row>
    <row r="72" spans="1:7" ht="14.4">
      <c r="A72" s="2856"/>
      <c r="B72" s="2856"/>
      <c r="C72" s="2856" t="s">
        <v>2647</v>
      </c>
      <c r="D72" s="2856"/>
      <c r="E72" s="2856" t="s">
        <v>2618</v>
      </c>
      <c r="F72" s="2856" t="s">
        <v>2618</v>
      </c>
    </row>
    <row r="73" spans="1:7" ht="14.4">
      <c r="A73" s="2856">
        <v>1</v>
      </c>
      <c r="B73" s="3497" t="s">
        <v>2648</v>
      </c>
      <c r="C73" s="2830" t="s">
        <v>2649</v>
      </c>
      <c r="D73" s="2830" t="s">
        <v>2650</v>
      </c>
      <c r="E73" s="2856">
        <v>0.2</v>
      </c>
      <c r="F73" s="2856">
        <v>25</v>
      </c>
    </row>
    <row r="74" spans="1:7" ht="24">
      <c r="A74" s="2856">
        <v>2</v>
      </c>
      <c r="B74" s="3499"/>
      <c r="C74" s="2830" t="s">
        <v>2651</v>
      </c>
      <c r="D74" s="2830" t="s">
        <v>2652</v>
      </c>
      <c r="E74" s="2856">
        <v>0.2</v>
      </c>
      <c r="F74" s="2856">
        <v>25</v>
      </c>
    </row>
    <row r="75" spans="1:7" ht="24">
      <c r="A75" s="2856">
        <v>3</v>
      </c>
      <c r="B75" s="3499"/>
      <c r="C75" s="2830" t="s">
        <v>2653</v>
      </c>
      <c r="D75" s="2830" t="s">
        <v>2654</v>
      </c>
      <c r="E75" s="2856">
        <v>0.2</v>
      </c>
      <c r="F75" s="2856">
        <v>25</v>
      </c>
    </row>
    <row r="76" spans="1:7" ht="14.4">
      <c r="A76" s="2856">
        <v>4</v>
      </c>
      <c r="B76" s="3499"/>
      <c r="C76" s="2830" t="s">
        <v>2655</v>
      </c>
      <c r="D76" s="2830" t="s">
        <v>2656</v>
      </c>
      <c r="E76" s="2856">
        <v>0.15</v>
      </c>
      <c r="F76" s="2856">
        <v>20</v>
      </c>
    </row>
    <row r="77" spans="1:7" ht="24">
      <c r="A77" s="2856">
        <v>5</v>
      </c>
      <c r="B77" s="3499"/>
      <c r="C77" s="2830" t="s">
        <v>2657</v>
      </c>
      <c r="D77" s="2830" t="s">
        <v>2658</v>
      </c>
      <c r="E77" s="2856">
        <v>0.15</v>
      </c>
      <c r="F77" s="2856">
        <v>20</v>
      </c>
    </row>
    <row r="78" spans="1:7" ht="24">
      <c r="A78" s="2856">
        <v>6</v>
      </c>
      <c r="B78" s="3499"/>
      <c r="C78" s="2830" t="s">
        <v>2659</v>
      </c>
      <c r="D78" s="2830" t="s">
        <v>2660</v>
      </c>
      <c r="E78" s="2856">
        <v>0.15</v>
      </c>
      <c r="F78" s="2856">
        <v>20</v>
      </c>
    </row>
    <row r="79" spans="1:7" ht="24">
      <c r="A79" s="2856">
        <v>7</v>
      </c>
      <c r="B79" s="3499"/>
      <c r="C79" s="2830" t="s">
        <v>2661</v>
      </c>
      <c r="D79" s="2830" t="s">
        <v>2662</v>
      </c>
      <c r="E79" s="2856">
        <v>0.15</v>
      </c>
      <c r="F79" s="2856">
        <v>20</v>
      </c>
    </row>
    <row r="80" spans="1:7" ht="24">
      <c r="A80" s="2856">
        <v>8</v>
      </c>
      <c r="B80" s="3499"/>
      <c r="C80" s="2830" t="s">
        <v>2663</v>
      </c>
      <c r="D80" s="2830" t="s">
        <v>2664</v>
      </c>
      <c r="E80" s="2856">
        <v>0.1</v>
      </c>
      <c r="F80" s="2856">
        <v>15</v>
      </c>
    </row>
    <row r="81" spans="1:6" ht="24">
      <c r="A81" s="2856">
        <v>9</v>
      </c>
      <c r="B81" s="3499"/>
      <c r="C81" s="2830" t="s">
        <v>2665</v>
      </c>
      <c r="D81" s="2830" t="s">
        <v>2666</v>
      </c>
      <c r="E81" s="2856">
        <v>0.1</v>
      </c>
      <c r="F81" s="2856">
        <v>15</v>
      </c>
    </row>
    <row r="82" spans="1:6" ht="24">
      <c r="A82" s="2856">
        <v>10</v>
      </c>
      <c r="B82" s="3499"/>
      <c r="C82" s="2830" t="s">
        <v>2667</v>
      </c>
      <c r="D82" s="2830" t="s">
        <v>2668</v>
      </c>
      <c r="E82" s="2856">
        <v>0.1</v>
      </c>
      <c r="F82" s="2856">
        <v>15</v>
      </c>
    </row>
    <row r="83" spans="1:6" ht="24">
      <c r="A83" s="2856">
        <v>11</v>
      </c>
      <c r="B83" s="3499"/>
      <c r="C83" s="2830" t="s">
        <v>2669</v>
      </c>
      <c r="D83" s="2830" t="s">
        <v>2670</v>
      </c>
      <c r="E83" s="2856">
        <v>0.1</v>
      </c>
      <c r="F83" s="2856">
        <v>15</v>
      </c>
    </row>
    <row r="84" spans="1:6" ht="24">
      <c r="A84" s="2856">
        <v>12</v>
      </c>
      <c r="B84" s="3499"/>
      <c r="C84" s="2830" t="s">
        <v>2671</v>
      </c>
      <c r="D84" s="2830" t="s">
        <v>2672</v>
      </c>
      <c r="E84" s="2856">
        <v>0.1</v>
      </c>
      <c r="F84" s="2856">
        <v>15</v>
      </c>
    </row>
    <row r="85" spans="1:6" ht="24">
      <c r="A85" s="2856">
        <v>13</v>
      </c>
      <c r="B85" s="3499"/>
      <c r="C85" s="2830" t="s">
        <v>2673</v>
      </c>
      <c r="D85" s="2830" t="s">
        <v>2674</v>
      </c>
      <c r="E85" s="2856">
        <v>0.1</v>
      </c>
      <c r="F85" s="2856">
        <v>15</v>
      </c>
    </row>
    <row r="86" spans="1:6" ht="24">
      <c r="A86" s="2856">
        <v>14</v>
      </c>
      <c r="B86" s="3499"/>
      <c r="C86" s="2830" t="s">
        <v>2675</v>
      </c>
      <c r="D86" s="2830" t="s">
        <v>2676</v>
      </c>
      <c r="E86" s="2856">
        <v>0.1</v>
      </c>
      <c r="F86" s="2856">
        <v>15</v>
      </c>
    </row>
    <row r="87" spans="1:6" ht="24">
      <c r="A87" s="2856">
        <v>15</v>
      </c>
      <c r="B87" s="3499"/>
      <c r="C87" s="2830" t="s">
        <v>2677</v>
      </c>
      <c r="D87" s="2830" t="s">
        <v>2678</v>
      </c>
      <c r="E87" s="2856">
        <v>0.1</v>
      </c>
      <c r="F87" s="2856">
        <v>15</v>
      </c>
    </row>
    <row r="88" spans="1:6" ht="24">
      <c r="A88" s="2856">
        <v>16</v>
      </c>
      <c r="B88" s="3499"/>
      <c r="C88" s="2830" t="s">
        <v>2679</v>
      </c>
      <c r="D88" s="2830" t="s">
        <v>2680</v>
      </c>
      <c r="E88" s="2856">
        <v>0.1</v>
      </c>
      <c r="F88" s="2856">
        <v>15</v>
      </c>
    </row>
    <row r="89" spans="1:6" ht="24">
      <c r="A89" s="2856">
        <v>17</v>
      </c>
      <c r="B89" s="3498"/>
      <c r="C89" s="2830" t="s">
        <v>2681</v>
      </c>
      <c r="D89" s="2830" t="s">
        <v>2682</v>
      </c>
      <c r="E89" s="2856">
        <v>0.1</v>
      </c>
      <c r="F89" s="2856">
        <v>15</v>
      </c>
    </row>
    <row r="90" spans="1:6" ht="14.4">
      <c r="A90" s="2856">
        <v>18</v>
      </c>
      <c r="B90" s="3497" t="s">
        <v>2683</v>
      </c>
      <c r="C90" s="2830" t="s">
        <v>2684</v>
      </c>
      <c r="D90" s="2830" t="s">
        <v>2685</v>
      </c>
      <c r="E90" s="2856">
        <v>0.2</v>
      </c>
      <c r="F90" s="2856">
        <v>25</v>
      </c>
    </row>
    <row r="91" spans="1:6" ht="24">
      <c r="A91" s="2856">
        <v>19</v>
      </c>
      <c r="B91" s="3499"/>
      <c r="C91" s="2830" t="s">
        <v>2686</v>
      </c>
      <c r="D91" s="2830" t="s">
        <v>2687</v>
      </c>
      <c r="E91" s="2856">
        <v>0.2</v>
      </c>
      <c r="F91" s="2856">
        <v>25</v>
      </c>
    </row>
    <row r="92" spans="1:6" ht="14.4">
      <c r="A92" s="2856">
        <v>20</v>
      </c>
      <c r="B92" s="3499"/>
      <c r="C92" s="2830" t="s">
        <v>2688</v>
      </c>
      <c r="D92" s="2830" t="s">
        <v>2689</v>
      </c>
      <c r="E92" s="2856">
        <v>0.15</v>
      </c>
      <c r="F92" s="2856">
        <v>20</v>
      </c>
    </row>
    <row r="93" spans="1:6" ht="24">
      <c r="A93" s="2856">
        <v>21</v>
      </c>
      <c r="B93" s="3499"/>
      <c r="C93" s="2830" t="s">
        <v>2690</v>
      </c>
      <c r="D93" s="2830" t="s">
        <v>2691</v>
      </c>
      <c r="E93" s="2856">
        <v>0.15</v>
      </c>
      <c r="F93" s="2856">
        <v>20</v>
      </c>
    </row>
    <row r="94" spans="1:6" ht="24">
      <c r="A94" s="2856">
        <v>22</v>
      </c>
      <c r="B94" s="3499"/>
      <c r="C94" s="2830" t="s">
        <v>2692</v>
      </c>
      <c r="D94" s="2830" t="s">
        <v>2693</v>
      </c>
      <c r="E94" s="2856">
        <v>0.15</v>
      </c>
      <c r="F94" s="2856">
        <v>20</v>
      </c>
    </row>
    <row r="95" spans="1:6" ht="36">
      <c r="A95" s="2856">
        <v>23</v>
      </c>
      <c r="B95" s="3499"/>
      <c r="C95" s="2830" t="s">
        <v>2694</v>
      </c>
      <c r="D95" s="2830" t="s">
        <v>2695</v>
      </c>
      <c r="E95" s="2856">
        <v>0.15</v>
      </c>
      <c r="F95" s="2856">
        <v>20</v>
      </c>
    </row>
    <row r="96" spans="1:6" ht="24">
      <c r="A96" s="2856">
        <v>24</v>
      </c>
      <c r="B96" s="3499"/>
      <c r="C96" s="2830" t="s">
        <v>2696</v>
      </c>
      <c r="D96" s="2830" t="s">
        <v>2697</v>
      </c>
      <c r="E96" s="2856">
        <v>0.1</v>
      </c>
      <c r="F96" s="2856">
        <v>15</v>
      </c>
    </row>
    <row r="97" spans="1:6" ht="24">
      <c r="A97" s="2856">
        <v>25</v>
      </c>
      <c r="B97" s="3499"/>
      <c r="C97" s="2830" t="s">
        <v>2698</v>
      </c>
      <c r="D97" s="2830" t="s">
        <v>2699</v>
      </c>
      <c r="E97" s="2856">
        <v>0.1</v>
      </c>
      <c r="F97" s="2856">
        <v>15</v>
      </c>
    </row>
    <row r="98" spans="1:6" ht="24">
      <c r="A98" s="2856">
        <v>26</v>
      </c>
      <c r="B98" s="3499"/>
      <c r="C98" s="2830" t="s">
        <v>2700</v>
      </c>
      <c r="D98" s="2830" t="s">
        <v>2701</v>
      </c>
      <c r="E98" s="2856">
        <v>0.1</v>
      </c>
      <c r="F98" s="2856">
        <v>15</v>
      </c>
    </row>
    <row r="99" spans="1:6" ht="24">
      <c r="A99" s="2856">
        <v>27</v>
      </c>
      <c r="B99" s="3499"/>
      <c r="C99" s="2830" t="s">
        <v>2702</v>
      </c>
      <c r="D99" s="2830" t="s">
        <v>2703</v>
      </c>
      <c r="E99" s="2856">
        <v>0.1</v>
      </c>
      <c r="F99" s="2856">
        <v>15</v>
      </c>
    </row>
    <row r="100" spans="1:6" ht="24">
      <c r="A100" s="2856">
        <v>28</v>
      </c>
      <c r="B100" s="3499"/>
      <c r="C100" s="2830" t="s">
        <v>2704</v>
      </c>
      <c r="D100" s="2830" t="s">
        <v>2705</v>
      </c>
      <c r="E100" s="2856">
        <v>0.1</v>
      </c>
      <c r="F100" s="2856">
        <v>15</v>
      </c>
    </row>
    <row r="101" spans="1:6" ht="24">
      <c r="A101" s="2856">
        <v>29</v>
      </c>
      <c r="B101" s="3499"/>
      <c r="C101" s="2830" t="s">
        <v>2706</v>
      </c>
      <c r="D101" s="2830" t="s">
        <v>2707</v>
      </c>
      <c r="E101" s="2856">
        <v>0.1</v>
      </c>
      <c r="F101" s="2856">
        <v>15</v>
      </c>
    </row>
    <row r="102" spans="1:6" ht="24">
      <c r="A102" s="2856">
        <v>30</v>
      </c>
      <c r="B102" s="3499"/>
      <c r="C102" s="2830" t="s">
        <v>2708</v>
      </c>
      <c r="D102" s="2830" t="s">
        <v>2709</v>
      </c>
      <c r="E102" s="2856">
        <v>0.1</v>
      </c>
      <c r="F102" s="2856">
        <v>15</v>
      </c>
    </row>
    <row r="103" spans="1:6" ht="24">
      <c r="A103" s="2856">
        <v>31</v>
      </c>
      <c r="B103" s="3499"/>
      <c r="C103" s="2830" t="s">
        <v>2710</v>
      </c>
      <c r="D103" s="2830" t="s">
        <v>2711</v>
      </c>
      <c r="E103" s="2856">
        <v>0.1</v>
      </c>
      <c r="F103" s="2856">
        <v>15</v>
      </c>
    </row>
    <row r="104" spans="1:6" ht="24">
      <c r="A104" s="2856">
        <v>32</v>
      </c>
      <c r="B104" s="3499"/>
      <c r="C104" s="2830" t="s">
        <v>2712</v>
      </c>
      <c r="D104" s="2830" t="s">
        <v>2713</v>
      </c>
      <c r="E104" s="2856">
        <v>0.1</v>
      </c>
      <c r="F104" s="2856">
        <v>15</v>
      </c>
    </row>
    <row r="105" spans="1:6" ht="24">
      <c r="A105" s="2856">
        <v>33</v>
      </c>
      <c r="B105" s="3499"/>
      <c r="C105" s="2830" t="s">
        <v>2714</v>
      </c>
      <c r="D105" s="2830" t="s">
        <v>2715</v>
      </c>
      <c r="E105" s="2856">
        <v>0.1</v>
      </c>
      <c r="F105" s="2856">
        <v>15</v>
      </c>
    </row>
    <row r="106" spans="1:6" ht="24">
      <c r="A106" s="2856">
        <v>34</v>
      </c>
      <c r="B106" s="3498"/>
      <c r="C106" s="2830" t="s">
        <v>2716</v>
      </c>
      <c r="D106" s="2830" t="s">
        <v>2717</v>
      </c>
      <c r="E106" s="2856">
        <v>0.1</v>
      </c>
      <c r="F106" s="2856">
        <v>15</v>
      </c>
    </row>
    <row r="107" spans="1:6" ht="36">
      <c r="A107" s="2856">
        <v>35</v>
      </c>
      <c r="B107" s="3497" t="s">
        <v>2718</v>
      </c>
      <c r="C107" s="2856" t="s">
        <v>2719</v>
      </c>
      <c r="D107" s="2830" t="s">
        <v>2720</v>
      </c>
      <c r="E107" s="2856">
        <v>0.15</v>
      </c>
      <c r="F107" s="2856">
        <v>20</v>
      </c>
    </row>
    <row r="108" spans="1:6" ht="24">
      <c r="A108" s="2856">
        <v>36</v>
      </c>
      <c r="B108" s="3499"/>
      <c r="C108" s="2856" t="s">
        <v>2721</v>
      </c>
      <c r="D108" s="2830" t="s">
        <v>2722</v>
      </c>
      <c r="E108" s="2856">
        <v>0.15</v>
      </c>
      <c r="F108" s="2856">
        <v>20</v>
      </c>
    </row>
    <row r="109" spans="1:6" ht="24">
      <c r="A109" s="2856">
        <v>37</v>
      </c>
      <c r="B109" s="3499"/>
      <c r="C109" s="2856" t="s">
        <v>2723</v>
      </c>
      <c r="D109" s="2830" t="s">
        <v>2724</v>
      </c>
      <c r="E109" s="2856">
        <v>0.15</v>
      </c>
      <c r="F109" s="2856">
        <v>20</v>
      </c>
    </row>
    <row r="110" spans="1:6" ht="24">
      <c r="A110" s="2856">
        <v>38</v>
      </c>
      <c r="B110" s="3499"/>
      <c r="C110" s="2856" t="s">
        <v>2725</v>
      </c>
      <c r="D110" s="2830" t="s">
        <v>2726</v>
      </c>
      <c r="E110" s="2856">
        <v>0.1</v>
      </c>
      <c r="F110" s="2856">
        <v>15</v>
      </c>
    </row>
    <row r="111" spans="1:6" ht="24">
      <c r="A111" s="2856">
        <v>39</v>
      </c>
      <c r="B111" s="3499"/>
      <c r="C111" s="2856" t="s">
        <v>2727</v>
      </c>
      <c r="D111" s="2830" t="s">
        <v>2728</v>
      </c>
      <c r="E111" s="2856">
        <v>0.1</v>
      </c>
      <c r="F111" s="2856">
        <v>15</v>
      </c>
    </row>
    <row r="112" spans="1:6" ht="24">
      <c r="A112" s="2856">
        <v>40</v>
      </c>
      <c r="B112" s="3498"/>
      <c r="C112" s="2856" t="s">
        <v>2729</v>
      </c>
      <c r="D112" s="2830" t="s">
        <v>2730</v>
      </c>
      <c r="E112" s="2856">
        <v>0.1</v>
      </c>
      <c r="F112" s="2856">
        <v>15</v>
      </c>
    </row>
    <row r="113" spans="1:6" ht="24">
      <c r="A113" s="2856">
        <v>41</v>
      </c>
      <c r="B113" s="3496" t="s">
        <v>2731</v>
      </c>
      <c r="C113" s="2856" t="s">
        <v>2732</v>
      </c>
      <c r="D113" s="2830" t="s">
        <v>2733</v>
      </c>
      <c r="E113" s="2856">
        <v>0.1</v>
      </c>
      <c r="F113" s="2856">
        <v>15</v>
      </c>
    </row>
    <row r="114" spans="1:6" ht="24">
      <c r="A114" s="2856">
        <v>42</v>
      </c>
      <c r="B114" s="3496"/>
      <c r="C114" s="2856" t="s">
        <v>2734</v>
      </c>
      <c r="D114" s="2830" t="s">
        <v>2735</v>
      </c>
      <c r="E114" s="2856">
        <v>0.1</v>
      </c>
      <c r="F114" s="2856">
        <v>15</v>
      </c>
    </row>
    <row r="115" spans="1:6" ht="24">
      <c r="A115" s="2856">
        <v>43</v>
      </c>
      <c r="B115" s="3496"/>
      <c r="C115" s="2856" t="s">
        <v>2736</v>
      </c>
      <c r="D115" s="2830" t="s">
        <v>2737</v>
      </c>
      <c r="E115" s="2856">
        <v>0.1</v>
      </c>
      <c r="F115" s="2856">
        <v>15</v>
      </c>
    </row>
    <row r="116" spans="1:6" ht="24">
      <c r="A116" s="2856">
        <v>44</v>
      </c>
      <c r="B116" s="3497" t="s">
        <v>2738</v>
      </c>
      <c r="C116" s="2856" t="s">
        <v>2739</v>
      </c>
      <c r="D116" s="2830" t="s">
        <v>2740</v>
      </c>
      <c r="E116" s="2856">
        <v>0.1</v>
      </c>
      <c r="F116" s="2856">
        <v>15</v>
      </c>
    </row>
    <row r="117" spans="1:6" ht="24">
      <c r="A117" s="2856">
        <v>45</v>
      </c>
      <c r="B117" s="3498"/>
      <c r="C117" s="2830" t="s">
        <v>2741</v>
      </c>
      <c r="D117" s="2830" t="s">
        <v>2742</v>
      </c>
      <c r="E117" s="2856">
        <v>0.1</v>
      </c>
      <c r="F117" s="2856">
        <v>15</v>
      </c>
    </row>
    <row r="118" spans="1:6" ht="24">
      <c r="A118" s="2856">
        <v>46</v>
      </c>
      <c r="B118" s="3497" t="s">
        <v>2743</v>
      </c>
      <c r="C118" s="2856" t="s">
        <v>2744</v>
      </c>
      <c r="D118" s="2830" t="s">
        <v>2745</v>
      </c>
      <c r="E118" s="2856">
        <v>0.1</v>
      </c>
      <c r="F118" s="2856">
        <v>15</v>
      </c>
    </row>
    <row r="119" spans="1:6" ht="24">
      <c r="A119" s="2856">
        <v>47</v>
      </c>
      <c r="B119" s="3498"/>
      <c r="C119" s="2856" t="s">
        <v>2746</v>
      </c>
      <c r="D119" s="2830" t="s">
        <v>2747</v>
      </c>
      <c r="E119" s="2856">
        <v>0.1</v>
      </c>
      <c r="F119" s="2856">
        <v>15</v>
      </c>
    </row>
    <row r="120" spans="1:6" ht="24">
      <c r="A120" s="2856">
        <v>48</v>
      </c>
      <c r="B120" s="3497" t="s">
        <v>2748</v>
      </c>
      <c r="C120" s="2856" t="s">
        <v>2749</v>
      </c>
      <c r="D120" s="2830" t="s">
        <v>2750</v>
      </c>
      <c r="E120" s="2856">
        <v>0.1</v>
      </c>
      <c r="F120" s="2856">
        <v>15</v>
      </c>
    </row>
    <row r="121" spans="1:6" ht="24">
      <c r="A121" s="2856">
        <v>49</v>
      </c>
      <c r="B121" s="3498"/>
      <c r="C121" s="2856" t="s">
        <v>2751</v>
      </c>
      <c r="D121" s="2830" t="s">
        <v>2752</v>
      </c>
      <c r="E121" s="2856">
        <v>0.1</v>
      </c>
      <c r="F121" s="2856">
        <v>15</v>
      </c>
    </row>
    <row r="122" spans="1:6" ht="24">
      <c r="A122" s="2856">
        <v>50</v>
      </c>
      <c r="B122" s="3496" t="s">
        <v>2753</v>
      </c>
      <c r="C122" s="2856" t="s">
        <v>2754</v>
      </c>
      <c r="D122" s="2830" t="s">
        <v>2755</v>
      </c>
      <c r="E122" s="2856">
        <v>0.1</v>
      </c>
      <c r="F122" s="2856">
        <v>15</v>
      </c>
    </row>
    <row r="123" spans="1:6" ht="24">
      <c r="A123" s="2856">
        <v>51</v>
      </c>
      <c r="B123" s="3496"/>
      <c r="C123" s="2856" t="s">
        <v>2756</v>
      </c>
      <c r="D123" s="2830" t="s">
        <v>2757</v>
      </c>
      <c r="E123" s="2856">
        <v>0.1</v>
      </c>
      <c r="F123" s="2856">
        <v>15</v>
      </c>
    </row>
    <row r="124" spans="1:6" ht="24">
      <c r="A124" s="2856">
        <v>52</v>
      </c>
      <c r="B124" s="3496" t="s">
        <v>2758</v>
      </c>
      <c r="C124" s="2856" t="s">
        <v>2759</v>
      </c>
      <c r="D124" s="2830" t="s">
        <v>2760</v>
      </c>
      <c r="E124" s="2856">
        <v>0.1</v>
      </c>
      <c r="F124" s="2856">
        <v>15</v>
      </c>
    </row>
    <row r="125" spans="1:6" ht="24">
      <c r="A125" s="2856">
        <v>53</v>
      </c>
      <c r="B125" s="3496"/>
      <c r="C125" s="2856" t="s">
        <v>2761</v>
      </c>
      <c r="D125" s="2830" t="s">
        <v>2762</v>
      </c>
      <c r="E125" s="2856">
        <v>0.1</v>
      </c>
      <c r="F125" s="2856">
        <v>15</v>
      </c>
    </row>
    <row r="126" spans="1:6" ht="24">
      <c r="A126" s="2856">
        <v>54</v>
      </c>
      <c r="B126" s="2856" t="s">
        <v>2763</v>
      </c>
      <c r="C126" s="2856" t="s">
        <v>2764</v>
      </c>
      <c r="D126" s="2830" t="s">
        <v>2765</v>
      </c>
      <c r="E126" s="2856">
        <v>0.1</v>
      </c>
      <c r="F126" s="2856">
        <v>15</v>
      </c>
    </row>
    <row r="127" spans="1:6" ht="24">
      <c r="A127" s="2856">
        <v>55</v>
      </c>
      <c r="B127" s="3496" t="s">
        <v>2766</v>
      </c>
      <c r="C127" s="2856" t="s">
        <v>2767</v>
      </c>
      <c r="D127" s="2830" t="s">
        <v>2768</v>
      </c>
      <c r="E127" s="2856">
        <v>0.1</v>
      </c>
      <c r="F127" s="2856">
        <v>15</v>
      </c>
    </row>
    <row r="128" spans="1:6" ht="24">
      <c r="A128" s="2856">
        <v>56</v>
      </c>
      <c r="B128" s="3496"/>
      <c r="C128" s="2856" t="s">
        <v>2769</v>
      </c>
      <c r="D128" s="2830" t="s">
        <v>2770</v>
      </c>
      <c r="E128" s="2856">
        <v>0.1</v>
      </c>
      <c r="F128" s="2856">
        <v>15</v>
      </c>
    </row>
    <row r="129" spans="1:6" ht="24">
      <c r="A129" s="2856">
        <v>57</v>
      </c>
      <c r="B129" s="3496"/>
      <c r="C129" s="2856" t="s">
        <v>2771</v>
      </c>
      <c r="D129" s="2830" t="s">
        <v>2772</v>
      </c>
      <c r="E129" s="2856">
        <v>0.1</v>
      </c>
      <c r="F129" s="2856">
        <v>15</v>
      </c>
    </row>
    <row r="130" spans="1:6" ht="24">
      <c r="A130" s="2856">
        <v>58</v>
      </c>
      <c r="B130" s="3496" t="s">
        <v>2773</v>
      </c>
      <c r="C130" s="2856" t="s">
        <v>2774</v>
      </c>
      <c r="D130" s="2830" t="s">
        <v>2775</v>
      </c>
      <c r="E130" s="2856">
        <v>0.1</v>
      </c>
      <c r="F130" s="2856">
        <v>15</v>
      </c>
    </row>
    <row r="131" spans="1:6" ht="24">
      <c r="A131" s="2856">
        <v>59</v>
      </c>
      <c r="B131" s="3496"/>
      <c r="C131" s="2856" t="s">
        <v>2776</v>
      </c>
      <c r="D131" s="2830" t="s">
        <v>2777</v>
      </c>
      <c r="E131" s="2856">
        <v>0.1</v>
      </c>
      <c r="F131" s="2856">
        <v>15</v>
      </c>
    </row>
    <row r="132" spans="1:6" ht="24">
      <c r="A132" s="2856">
        <v>60</v>
      </c>
      <c r="B132" s="3497" t="s">
        <v>2778</v>
      </c>
      <c r="C132" s="2856" t="s">
        <v>2779</v>
      </c>
      <c r="D132" s="2830" t="s">
        <v>2780</v>
      </c>
      <c r="E132" s="2856">
        <v>0.1</v>
      </c>
      <c r="F132" s="2856">
        <v>15</v>
      </c>
    </row>
    <row r="133" spans="1:6" ht="24">
      <c r="A133" s="2856">
        <v>61</v>
      </c>
      <c r="B133" s="3498"/>
      <c r="C133" s="2856" t="s">
        <v>2781</v>
      </c>
      <c r="D133" s="2830" t="s">
        <v>2782</v>
      </c>
      <c r="E133" s="2856">
        <v>0.1</v>
      </c>
      <c r="F133" s="2856">
        <v>15</v>
      </c>
    </row>
    <row r="134" spans="1:6" ht="24">
      <c r="A134" s="2856">
        <v>62</v>
      </c>
      <c r="B134" s="2856" t="s">
        <v>2783</v>
      </c>
      <c r="C134" s="2856" t="s">
        <v>2784</v>
      </c>
      <c r="D134" s="2830" t="s">
        <v>2785</v>
      </c>
      <c r="E134" s="2856">
        <v>0.1</v>
      </c>
      <c r="F134" s="2856">
        <v>15</v>
      </c>
    </row>
    <row r="135" spans="1:6" ht="24">
      <c r="A135" s="2856">
        <v>63</v>
      </c>
      <c r="B135" s="3496" t="s">
        <v>2786</v>
      </c>
      <c r="C135" s="2856" t="s">
        <v>2787</v>
      </c>
      <c r="D135" s="2830" t="s">
        <v>2788</v>
      </c>
      <c r="E135" s="2856">
        <v>0.1</v>
      </c>
      <c r="F135" s="2856">
        <v>15</v>
      </c>
    </row>
    <row r="136" spans="1:6" ht="24">
      <c r="A136" s="2856">
        <v>64</v>
      </c>
      <c r="B136" s="3496"/>
      <c r="C136" s="2856" t="s">
        <v>2789</v>
      </c>
      <c r="D136" s="2830" t="s">
        <v>2790</v>
      </c>
      <c r="E136" s="2856">
        <v>0.1</v>
      </c>
      <c r="F136" s="2856">
        <v>15</v>
      </c>
    </row>
    <row r="137" spans="1:6" ht="24">
      <c r="A137" s="2856">
        <v>65</v>
      </c>
      <c r="B137" s="2856" t="s">
        <v>2791</v>
      </c>
      <c r="C137" s="2856" t="s">
        <v>2792</v>
      </c>
      <c r="D137" s="2830" t="s">
        <v>2793</v>
      </c>
      <c r="E137" s="2856">
        <v>0.1</v>
      </c>
      <c r="F137" s="2856">
        <v>15</v>
      </c>
    </row>
    <row r="138" spans="1:6" ht="14.4">
      <c r="A138" s="2856"/>
      <c r="B138" s="2856"/>
      <c r="C138" s="2856"/>
      <c r="D138" s="2856"/>
      <c r="E138" s="2856" t="s">
        <v>2794</v>
      </c>
      <c r="F138" s="2856"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2795</v>
      </c>
      <c r="B1" s="2864"/>
      <c r="C1" s="2864"/>
      <c r="D1" s="2864"/>
      <c r="E1" s="2864"/>
      <c r="F1" s="2864"/>
      <c r="G1" s="2864"/>
      <c r="H1" s="2864"/>
      <c r="I1" s="2864"/>
      <c r="J1" s="2864"/>
      <c r="K1" s="2864"/>
      <c r="L1" s="2864"/>
      <c r="M1" s="2864"/>
      <c r="N1" s="707"/>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0</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3490.9300000000003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3490.9300000000003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1259</v>
      </c>
      <c r="D22" s="227">
        <f ca="1">C26</f>
        <v>0</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3490.9300000000003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71" t="s">
        <v>94</v>
      </c>
    </row>
    <row r="43" spans="1:7" ht="13.5" customHeight="1">
      <c r="A43" s="734" t="s">
        <v>347</v>
      </c>
      <c r="B43" s="207" t="s">
        <v>426</v>
      </c>
      <c r="C43" s="230">
        <f ca="1">ROUND(IF('数据-取费表'!B22&lt;=1,C39*F22*'数据-取费表'!B21/2,C39*(POWER((1+F22),'数据-取费表'!B21/2)-1)),0)</f>
        <v>0</v>
      </c>
      <c r="D43" s="230"/>
      <c r="E43" s="230"/>
      <c r="F43" s="231"/>
      <c r="G43" s="3372"/>
    </row>
    <row r="44" spans="1:7" ht="13.5" customHeight="1">
      <c r="A44" s="734" t="s">
        <v>348</v>
      </c>
      <c r="B44" s="207" t="s">
        <v>428</v>
      </c>
      <c r="C44" s="230">
        <f ca="1">ROUND(IF('数据-取费表'!B22&lt;=1,C40*F22*'数据-取费表'!B21/2,C40*(POWER((1+F22),'数据-取费表'!B21/2)-1)),4)</f>
        <v>0</v>
      </c>
      <c r="D44" s="230"/>
      <c r="E44" s="230"/>
      <c r="F44" s="231"/>
      <c r="G44" s="337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8"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I49"/>
  <sheetViews>
    <sheetView topLeftCell="A25" workbookViewId="0">
      <selection activeCell="M55" sqref="M55"/>
    </sheetView>
  </sheetViews>
  <sheetFormatPr defaultRowHeight="14.4"/>
  <cols>
    <col min="1" max="1" width="30.44140625" customWidth="1"/>
    <col min="3" max="3" width="10.44140625" bestFit="1" customWidth="1"/>
    <col min="4" max="5" width="11.6640625" bestFit="1" customWidth="1"/>
    <col min="6" max="6" width="14.44140625" customWidth="1"/>
    <col min="7" max="9" width="12.77734375" bestFit="1" customWidth="1"/>
  </cols>
  <sheetData>
    <row r="1" spans="1:6">
      <c r="A1" s="1405" t="s">
        <v>3408</v>
      </c>
      <c r="B1" s="1405" t="s">
        <v>3407</v>
      </c>
      <c r="C1" s="1405" t="s">
        <v>2540</v>
      </c>
      <c r="D1" s="1405" t="s">
        <v>3409</v>
      </c>
      <c r="F1" s="1405" t="s">
        <v>3410</v>
      </c>
    </row>
    <row r="2" spans="1:6">
      <c r="A2" s="1405" t="s">
        <v>3406</v>
      </c>
      <c r="B2">
        <v>983.91</v>
      </c>
      <c r="C2" s="1405" t="s">
        <v>2809</v>
      </c>
      <c r="D2" s="3152">
        <v>44967</v>
      </c>
      <c r="E2" s="3152">
        <v>47999</v>
      </c>
    </row>
    <row r="4" spans="1:6">
      <c r="E4" s="1405" t="s">
        <v>3412</v>
      </c>
      <c r="F4" s="1405" t="s">
        <v>3413</v>
      </c>
    </row>
    <row r="5" spans="1:6">
      <c r="D5" s="1405" t="s">
        <v>3411</v>
      </c>
      <c r="E5" s="1405"/>
      <c r="F5" s="1405" t="s">
        <v>3414</v>
      </c>
    </row>
    <row r="7" spans="1:6">
      <c r="E7" s="1405" t="s">
        <v>3415</v>
      </c>
    </row>
    <row r="8" spans="1:6">
      <c r="C8" s="3152">
        <v>44967</v>
      </c>
      <c r="D8" s="3152">
        <v>45291</v>
      </c>
      <c r="E8">
        <v>924875.4</v>
      </c>
    </row>
    <row r="9" spans="1:6">
      <c r="C9" s="3152">
        <v>45292</v>
      </c>
      <c r="D9" s="3152">
        <v>46022</v>
      </c>
      <c r="E9">
        <v>2873017.2</v>
      </c>
    </row>
    <row r="10" spans="1:6">
      <c r="C10" s="3152">
        <v>46023</v>
      </c>
      <c r="D10" s="3152">
        <v>47118</v>
      </c>
      <c r="E10">
        <v>4955954.67</v>
      </c>
    </row>
    <row r="11" spans="1:6">
      <c r="C11" s="3152">
        <v>47119</v>
      </c>
      <c r="D11" s="3152">
        <v>47848</v>
      </c>
      <c r="E11">
        <v>3799565.25</v>
      </c>
    </row>
    <row r="12" spans="1:6">
      <c r="C12" s="3152">
        <v>47849</v>
      </c>
      <c r="D12" s="3152">
        <v>47999</v>
      </c>
      <c r="E12">
        <v>602552.06000000006</v>
      </c>
    </row>
    <row r="15" spans="1:6">
      <c r="A15" s="1405" t="s">
        <v>3408</v>
      </c>
      <c r="B15" s="1405" t="s">
        <v>3407</v>
      </c>
      <c r="C15" s="1405" t="s">
        <v>2540</v>
      </c>
      <c r="D15" s="1405" t="s">
        <v>3409</v>
      </c>
      <c r="F15" s="1405" t="s">
        <v>654</v>
      </c>
    </row>
    <row r="16" spans="1:6">
      <c r="A16" s="1405" t="s">
        <v>3416</v>
      </c>
      <c r="B16">
        <v>3070.58</v>
      </c>
      <c r="C16" s="1405" t="s">
        <v>3417</v>
      </c>
      <c r="D16" s="3153">
        <v>45231</v>
      </c>
      <c r="E16" s="3152">
        <v>45596</v>
      </c>
      <c r="F16" s="1405">
        <v>3.8</v>
      </c>
    </row>
    <row r="18" spans="1:9">
      <c r="E18" s="1405" t="s">
        <v>3418</v>
      </c>
      <c r="F18" s="1405" t="s">
        <v>3419</v>
      </c>
      <c r="G18" s="1405" t="s">
        <v>3420</v>
      </c>
    </row>
    <row r="19" spans="1:9">
      <c r="C19" s="3152">
        <v>45231</v>
      </c>
      <c r="D19" s="3152">
        <v>45291</v>
      </c>
      <c r="E19">
        <v>3.8</v>
      </c>
      <c r="F19">
        <v>61</v>
      </c>
      <c r="G19" s="3155">
        <v>711760.44</v>
      </c>
    </row>
    <row r="20" spans="1:9">
      <c r="C20" s="3152">
        <v>45292</v>
      </c>
      <c r="D20" s="3152">
        <v>45443</v>
      </c>
      <c r="E20">
        <v>3.8</v>
      </c>
      <c r="F20">
        <v>152</v>
      </c>
      <c r="G20" s="3155">
        <v>1773567.01</v>
      </c>
    </row>
    <row r="21" spans="1:9">
      <c r="C21" s="3152">
        <v>45444</v>
      </c>
      <c r="D21" s="3152">
        <v>45596</v>
      </c>
      <c r="E21">
        <v>3.8</v>
      </c>
      <c r="F21">
        <v>153</v>
      </c>
      <c r="G21" s="3155">
        <v>1785235.21</v>
      </c>
    </row>
    <row r="24" spans="1:9">
      <c r="A24" s="1405" t="s">
        <v>3408</v>
      </c>
      <c r="B24" s="1405" t="s">
        <v>3407</v>
      </c>
      <c r="C24" s="1405" t="s">
        <v>2540</v>
      </c>
      <c r="D24" s="1405" t="s">
        <v>3409</v>
      </c>
      <c r="F24" s="1405" t="s">
        <v>3410</v>
      </c>
      <c r="G24" s="1405" t="s">
        <v>3423</v>
      </c>
    </row>
    <row r="25" spans="1:9">
      <c r="A25" s="1405" t="s">
        <v>3421</v>
      </c>
      <c r="B25">
        <v>598.75</v>
      </c>
      <c r="C25" s="1405" t="s">
        <v>3422</v>
      </c>
      <c r="F25">
        <v>8.26</v>
      </c>
      <c r="G25">
        <v>150430.95000000001</v>
      </c>
    </row>
    <row r="28" spans="1:9">
      <c r="A28" s="1405" t="s">
        <v>3408</v>
      </c>
      <c r="B28" s="1405" t="s">
        <v>3407</v>
      </c>
      <c r="C28" s="1405" t="s">
        <v>2540</v>
      </c>
      <c r="D28" s="1405" t="s">
        <v>3409</v>
      </c>
      <c r="F28" s="1405" t="s">
        <v>654</v>
      </c>
      <c r="G28" s="1405" t="s">
        <v>3423</v>
      </c>
    </row>
    <row r="29" spans="1:9">
      <c r="A29" s="1405" t="s">
        <v>3424</v>
      </c>
      <c r="B29">
        <v>689</v>
      </c>
      <c r="C29" s="1405" t="s">
        <v>3422</v>
      </c>
      <c r="D29" s="3152">
        <v>45078</v>
      </c>
      <c r="E29" s="3152">
        <v>46904</v>
      </c>
      <c r="G29">
        <v>165360</v>
      </c>
      <c r="H29" s="1405" t="s">
        <v>3425</v>
      </c>
    </row>
    <row r="30" spans="1:9">
      <c r="D30" s="1405" t="s">
        <v>3428</v>
      </c>
      <c r="F30" s="1405" t="s">
        <v>3429</v>
      </c>
      <c r="G30" s="1405" t="s">
        <v>3430</v>
      </c>
      <c r="H30" s="1405" t="s">
        <v>3420</v>
      </c>
    </row>
    <row r="31" spans="1:9">
      <c r="D31" s="3152">
        <v>45078</v>
      </c>
      <c r="E31" s="3152">
        <v>45291</v>
      </c>
      <c r="F31">
        <v>240</v>
      </c>
      <c r="G31">
        <v>7</v>
      </c>
      <c r="H31">
        <v>661440</v>
      </c>
      <c r="I31" s="3156" t="s">
        <v>3427</v>
      </c>
    </row>
    <row r="32" spans="1:9">
      <c r="D32" s="3152">
        <v>45292</v>
      </c>
      <c r="E32" s="3152">
        <v>45657</v>
      </c>
      <c r="F32">
        <v>240</v>
      </c>
      <c r="G32">
        <v>12</v>
      </c>
      <c r="H32">
        <v>1984320</v>
      </c>
    </row>
    <row r="33" spans="1:9">
      <c r="D33" s="3152">
        <v>45658</v>
      </c>
      <c r="E33" s="3152">
        <v>46022</v>
      </c>
      <c r="F33">
        <v>240</v>
      </c>
      <c r="G33">
        <v>12</v>
      </c>
      <c r="H33">
        <v>1984320</v>
      </c>
    </row>
    <row r="34" spans="1:9">
      <c r="D34" s="3152">
        <v>46023</v>
      </c>
      <c r="E34" s="3152">
        <v>46387</v>
      </c>
      <c r="F34" s="1405" t="s">
        <v>3426</v>
      </c>
      <c r="G34">
        <v>12</v>
      </c>
      <c r="H34" s="3154">
        <v>2053771.2</v>
      </c>
    </row>
    <row r="35" spans="1:9">
      <c r="D35" s="3152">
        <v>46388</v>
      </c>
      <c r="E35" s="3152">
        <v>46752</v>
      </c>
      <c r="F35" s="1405">
        <v>254.4</v>
      </c>
      <c r="G35" s="1405">
        <v>12</v>
      </c>
      <c r="H35" s="3154">
        <v>2103379.2000000002</v>
      </c>
    </row>
    <row r="36" spans="1:9">
      <c r="D36" s="3152">
        <v>46753</v>
      </c>
      <c r="E36" s="3152">
        <v>46904</v>
      </c>
      <c r="F36" s="1405">
        <v>254.4</v>
      </c>
      <c r="G36" s="1405">
        <v>5</v>
      </c>
      <c r="H36">
        <v>876408</v>
      </c>
    </row>
    <row r="39" spans="1:9">
      <c r="A39" s="1405" t="s">
        <v>3408</v>
      </c>
      <c r="B39" s="1405" t="s">
        <v>3407</v>
      </c>
      <c r="C39" s="1405" t="s">
        <v>2540</v>
      </c>
      <c r="D39" s="1405" t="s">
        <v>3409</v>
      </c>
      <c r="F39" s="1405" t="s">
        <v>654</v>
      </c>
      <c r="G39" s="1405" t="s">
        <v>3423</v>
      </c>
      <c r="H39" s="1405" t="s">
        <v>3433</v>
      </c>
    </row>
    <row r="40" spans="1:9">
      <c r="A40" s="1405" t="s">
        <v>3431</v>
      </c>
      <c r="B40">
        <v>571</v>
      </c>
      <c r="C40" s="1405" t="s">
        <v>3422</v>
      </c>
      <c r="D40" s="3152">
        <v>45108</v>
      </c>
      <c r="E40" s="3152">
        <v>46934</v>
      </c>
      <c r="F40" s="1405">
        <v>7.9</v>
      </c>
      <c r="H40" s="1405" t="s">
        <v>3434</v>
      </c>
    </row>
    <row r="41" spans="1:9">
      <c r="D41" s="3152">
        <v>45108</v>
      </c>
      <c r="E41" s="3152">
        <v>45199</v>
      </c>
      <c r="F41" s="1405" t="s">
        <v>3432</v>
      </c>
    </row>
    <row r="43" spans="1:9">
      <c r="D43" s="1405" t="s">
        <v>3435</v>
      </c>
      <c r="F43" s="1405" t="s">
        <v>3436</v>
      </c>
      <c r="G43" s="1405" t="s">
        <v>3437</v>
      </c>
      <c r="H43" s="1405" t="s">
        <v>3438</v>
      </c>
      <c r="I43" s="1405" t="s">
        <v>3439</v>
      </c>
    </row>
    <row r="44" spans="1:9">
      <c r="D44" s="3152">
        <v>45108</v>
      </c>
      <c r="E44" s="3152">
        <v>45291</v>
      </c>
      <c r="F44">
        <v>7.9</v>
      </c>
      <c r="G44">
        <v>92</v>
      </c>
      <c r="H44">
        <v>415002.8</v>
      </c>
      <c r="I44">
        <v>380736.51</v>
      </c>
    </row>
    <row r="45" spans="1:9">
      <c r="D45" s="3152">
        <v>45292</v>
      </c>
      <c r="E45" s="3152">
        <v>45657</v>
      </c>
      <c r="F45">
        <v>7.9</v>
      </c>
      <c r="G45">
        <v>365</v>
      </c>
      <c r="H45">
        <v>1646478.5</v>
      </c>
      <c r="I45">
        <v>1510530.73</v>
      </c>
    </row>
    <row r="46" spans="1:9">
      <c r="D46" s="3152">
        <v>45658</v>
      </c>
      <c r="E46" s="3152">
        <v>46022</v>
      </c>
      <c r="F46">
        <v>7.9</v>
      </c>
    </row>
    <row r="47" spans="1:9">
      <c r="D47" s="3152">
        <v>46023</v>
      </c>
      <c r="E47" s="3152">
        <v>46387</v>
      </c>
      <c r="F47" s="1405" t="s">
        <v>3440</v>
      </c>
      <c r="G47">
        <v>365</v>
      </c>
      <c r="H47">
        <v>1712878.95</v>
      </c>
      <c r="I47" s="3154">
        <v>1571448.59</v>
      </c>
    </row>
    <row r="48" spans="1:9">
      <c r="D48" s="3152">
        <v>46388</v>
      </c>
      <c r="E48" s="3152">
        <v>46752</v>
      </c>
      <c r="F48" s="1405">
        <v>8.532</v>
      </c>
      <c r="G48" s="1405">
        <v>365</v>
      </c>
      <c r="H48" s="1405">
        <v>1778196.78</v>
      </c>
      <c r="I48" s="1405">
        <v>1631373.19</v>
      </c>
    </row>
    <row r="49" spans="4:9">
      <c r="D49" s="3152">
        <v>46753</v>
      </c>
      <c r="E49" s="3152">
        <v>46934</v>
      </c>
      <c r="F49" s="1405">
        <v>8.532</v>
      </c>
      <c r="G49" s="1405">
        <v>182</v>
      </c>
      <c r="H49" s="1405">
        <v>886662.5</v>
      </c>
      <c r="I49" s="1405">
        <v>813451.84</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0" t="s">
        <v>2836</v>
      </c>
      <c r="B1" s="3510"/>
      <c r="C1" s="3510"/>
      <c r="D1" s="3510"/>
      <c r="E1" s="3510"/>
      <c r="F1" s="3510"/>
      <c r="G1" s="3511"/>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1.4"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08"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1.4" thickBot="1">
      <c r="A4" s="3509"/>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1.4"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1.4"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1.4"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1.4"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12" t="s">
        <v>3178</v>
      </c>
      <c r="B1" s="3512"/>
    </row>
    <row r="2" spans="1:7" ht="15" thickBot="1">
      <c r="A2" s="2967"/>
      <c r="B2" s="2967"/>
    </row>
    <row r="3" spans="1:7" ht="15" thickBot="1">
      <c r="A3" s="2967"/>
      <c r="B3" s="2967"/>
      <c r="C3" s="2968" t="s">
        <v>2808</v>
      </c>
      <c r="D3" s="2968" t="s">
        <v>2864</v>
      </c>
      <c r="E3" s="2968" t="s">
        <v>2810</v>
      </c>
      <c r="F3" s="2968" t="s">
        <v>2865</v>
      </c>
      <c r="G3" s="2968" t="s">
        <v>2628</v>
      </c>
    </row>
    <row r="4" spans="1:7" ht="1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12"/>
  </cols>
  <sheetData>
    <row r="1" spans="1:6">
      <c r="A1" s="3513" t="s">
        <v>3229</v>
      </c>
      <c r="B1" s="3513"/>
      <c r="C1" s="3513"/>
      <c r="D1" s="3513"/>
      <c r="E1" s="3513"/>
      <c r="F1" s="3514"/>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45706</v>
      </c>
      <c r="B1" s="2928" t="s">
        <v>3377</v>
      </c>
      <c r="C1" s="2929"/>
      <c r="D1" s="2929"/>
      <c r="E1" s="2929"/>
      <c r="F1" s="2929"/>
      <c r="G1" s="2929"/>
      <c r="H1" s="2929"/>
      <c r="I1" s="2929"/>
      <c r="J1" s="2895"/>
      <c r="K1" s="2929" t="s">
        <v>454</v>
      </c>
      <c r="L1" s="2929"/>
      <c r="M1" s="2929"/>
      <c r="N1" s="2929"/>
      <c r="O1" s="2929"/>
      <c r="P1" s="2929"/>
      <c r="Q1" s="2895"/>
      <c r="R1" s="3515" t="s">
        <v>456</v>
      </c>
      <c r="S1" s="3516"/>
      <c r="T1" s="3516"/>
      <c r="U1" s="3516"/>
      <c r="V1" s="3516"/>
      <c r="W1" s="3516"/>
      <c r="X1" s="2895"/>
      <c r="Y1" s="3515" t="s">
        <v>457</v>
      </c>
      <c r="Z1" s="3516"/>
      <c r="AA1" s="3516"/>
      <c r="AB1" s="3516"/>
      <c r="AC1" s="3516"/>
      <c r="AD1" s="3516"/>
    </row>
    <row r="2" spans="1:30" s="2010" customFormat="1" ht="15" thickBot="1">
      <c r="B2" s="2880"/>
      <c r="C2" s="2881"/>
      <c r="D2" s="2011" t="s">
        <v>2807</v>
      </c>
      <c r="E2" s="2012" t="s">
        <v>2808</v>
      </c>
      <c r="F2" s="2012" t="s">
        <v>2809</v>
      </c>
      <c r="G2" s="2012" t="s">
        <v>2810</v>
      </c>
      <c r="H2" s="2012" t="s">
        <v>2811</v>
      </c>
      <c r="I2" s="2012" t="s">
        <v>2628</v>
      </c>
      <c r="J2" s="2882"/>
      <c r="K2" s="2011" t="s">
        <v>2807</v>
      </c>
      <c r="L2" s="2012" t="s">
        <v>2808</v>
      </c>
      <c r="M2" s="2012" t="s">
        <v>2809</v>
      </c>
      <c r="N2" s="2012" t="s">
        <v>2810</v>
      </c>
      <c r="O2" s="2012" t="s">
        <v>2812</v>
      </c>
      <c r="P2" s="2012" t="s">
        <v>2628</v>
      </c>
      <c r="Q2" s="2882"/>
      <c r="R2" s="2011" t="s">
        <v>2807</v>
      </c>
      <c r="S2" s="2012" t="s">
        <v>2808</v>
      </c>
      <c r="T2" s="2012" t="s">
        <v>2809</v>
      </c>
      <c r="U2" s="2012" t="s">
        <v>2813</v>
      </c>
      <c r="V2" s="2012" t="s">
        <v>2814</v>
      </c>
      <c r="W2" s="2012" t="s">
        <v>2628</v>
      </c>
      <c r="X2" s="2882"/>
      <c r="Y2" s="2011" t="s">
        <v>2807</v>
      </c>
      <c r="Z2" s="2012" t="s">
        <v>2808</v>
      </c>
      <c r="AA2" s="2012" t="s">
        <v>2809</v>
      </c>
      <c r="AB2" s="2012" t="s">
        <v>2815</v>
      </c>
      <c r="AC2" s="2012" t="s">
        <v>2814</v>
      </c>
      <c r="AD2" s="2012" t="s">
        <v>2628</v>
      </c>
    </row>
    <row r="3" spans="1:30" s="2885" customFormat="1" ht="13.2">
      <c r="A3" s="2883" t="s">
        <v>2816</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3373</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3382</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3381</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3374</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3372</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3368</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3367</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3365</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3364</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3363</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3361</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2817</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2818</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2819</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2820</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2821</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3380</v>
      </c>
    </row>
    <row r="24" spans="1:30">
      <c r="I24" s="1405" t="s">
        <v>2822</v>
      </c>
    </row>
    <row r="26" spans="1:30" s="2009" customFormat="1" ht="13.2">
      <c r="B26" s="2928" t="s">
        <v>3378</v>
      </c>
      <c r="C26" s="2929"/>
      <c r="D26" s="2929"/>
      <c r="E26" s="2929"/>
      <c r="F26" s="2929"/>
      <c r="G26" s="2929"/>
      <c r="H26" s="2929"/>
      <c r="I26" s="2929"/>
      <c r="J26" s="2895"/>
      <c r="K26" s="2929" t="s">
        <v>2823</v>
      </c>
      <c r="L26" s="2929"/>
      <c r="M26" s="2929"/>
      <c r="N26" s="2929"/>
      <c r="O26" s="2929"/>
      <c r="P26" s="2929"/>
      <c r="Q26" s="2895"/>
      <c r="R26" s="3515" t="s">
        <v>2824</v>
      </c>
      <c r="S26" s="3516"/>
      <c r="T26" s="3516"/>
      <c r="U26" s="3516"/>
      <c r="V26" s="3516"/>
      <c r="W26" s="3516"/>
      <c r="X26" s="2895"/>
      <c r="Y26" s="3515" t="s">
        <v>2825</v>
      </c>
      <c r="Z26" s="3516"/>
      <c r="AA26" s="3516"/>
      <c r="AB26" s="3516"/>
      <c r="AC26" s="3516"/>
      <c r="AD26" s="3516"/>
    </row>
    <row r="27" spans="1:30" s="2010" customFormat="1" ht="15" thickBot="1">
      <c r="B27" s="2880"/>
      <c r="C27" s="2881"/>
      <c r="D27" s="2011" t="s">
        <v>2826</v>
      </c>
      <c r="E27" s="2012" t="s">
        <v>2827</v>
      </c>
      <c r="F27" s="2012" t="s">
        <v>2828</v>
      </c>
      <c r="G27" s="2012" t="s">
        <v>2829</v>
      </c>
      <c r="H27" s="2012"/>
      <c r="I27" s="2012" t="s">
        <v>2830</v>
      </c>
      <c r="J27" s="2882"/>
      <c r="K27" s="2011" t="s">
        <v>2826</v>
      </c>
      <c r="L27" s="2012" t="s">
        <v>2827</v>
      </c>
      <c r="M27" s="2012" t="s">
        <v>2828</v>
      </c>
      <c r="N27" s="2012" t="s">
        <v>2829</v>
      </c>
      <c r="O27" s="2012"/>
      <c r="P27" s="2012" t="s">
        <v>2830</v>
      </c>
      <c r="Q27" s="2882"/>
      <c r="R27" s="2011" t="s">
        <v>2826</v>
      </c>
      <c r="S27" s="2012" t="s">
        <v>2827</v>
      </c>
      <c r="T27" s="2012" t="s">
        <v>2828</v>
      </c>
      <c r="U27" s="2012" t="s">
        <v>2829</v>
      </c>
      <c r="V27" s="2012"/>
      <c r="W27" s="2012" t="s">
        <v>2830</v>
      </c>
      <c r="X27" s="2882"/>
      <c r="Y27" s="2011" t="s">
        <v>2826</v>
      </c>
      <c r="Z27" s="2012" t="s">
        <v>2827</v>
      </c>
      <c r="AA27" s="2012" t="s">
        <v>2828</v>
      </c>
      <c r="AB27" s="2012" t="s">
        <v>2829</v>
      </c>
      <c r="AC27" s="2012"/>
      <c r="AD27" s="2012" t="s">
        <v>2830</v>
      </c>
    </row>
    <row r="28" spans="1:30" s="2885" customFormat="1" ht="13.2">
      <c r="A28" s="2883" t="s">
        <v>2831</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3373</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3375</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3370</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3376</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3371</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3369</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3367</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3366</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3364</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3363</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3362</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2832</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2833</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2834</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2835</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2821</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52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2306</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6">
      <c r="A3" s="3203"/>
      <c r="B3" s="3203"/>
      <c r="C3" s="3203"/>
      <c r="D3" s="801" t="s">
        <v>925</v>
      </c>
      <c r="E3" s="801" t="s">
        <v>931</v>
      </c>
      <c r="F3" s="801" t="s">
        <v>925</v>
      </c>
      <c r="G3" s="801" t="s">
        <v>926</v>
      </c>
      <c r="H3" s="801" t="s">
        <v>925</v>
      </c>
      <c r="I3" s="801" t="s">
        <v>926</v>
      </c>
    </row>
    <row r="4" spans="1:9" ht="45">
      <c r="A4" s="1403" t="str">
        <f>项目基本情况!S2</f>
        <v>北京市昌平区文智路15号院7号楼1层103、3层301、4层401、5层501房地产</v>
      </c>
      <c r="B4" s="801">
        <f>项目基本情况!C17</f>
        <v>3490.9300000000003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3" t="s">
        <v>927</v>
      </c>
      <c r="B5" s="3203"/>
      <c r="C5" s="3203"/>
      <c r="D5" s="3203" t="e">
        <f ca="1">结果表!D119</f>
        <v>#REF!</v>
      </c>
      <c r="E5" s="3203"/>
      <c r="F5" s="3203" t="e">
        <f ca="1">结果表!F119</f>
        <v>#REF!</v>
      </c>
      <c r="G5" s="3203"/>
      <c r="H5" s="3203" t="e">
        <f ca="1">结果表!H119</f>
        <v>#REF!</v>
      </c>
      <c r="I5" s="3203"/>
    </row>
    <row r="6" spans="1:9" ht="15.6">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6">
      <c r="A8" s="3202" t="str">
        <f>结果表!A122</f>
        <v>房地产抵押价值</v>
      </c>
      <c r="B8" s="3202"/>
      <c r="C8" s="3202"/>
      <c r="D8" s="3202" t="e">
        <f ca="1">结果表!D122</f>
        <v>#REF!</v>
      </c>
      <c r="E8" s="3202"/>
      <c r="F8" s="3202"/>
      <c r="G8" s="3202"/>
      <c r="H8" s="3202"/>
      <c r="I8" s="3202"/>
    </row>
    <row r="9" spans="1:9" ht="15">
      <c r="A9" s="3203" t="s">
        <v>927</v>
      </c>
      <c r="B9" s="3203"/>
      <c r="C9" s="3203"/>
      <c r="D9" s="3203" t="e">
        <f ca="1">结果表!D123</f>
        <v>#REF!</v>
      </c>
      <c r="E9" s="3203"/>
      <c r="F9" s="3203"/>
      <c r="G9" s="3203"/>
      <c r="H9" s="3203"/>
      <c r="I9" s="3203"/>
    </row>
    <row r="10" spans="1:9" ht="15.6">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6">
      <c r="A12" s="3202" t="str">
        <f>结果表!A126</f>
        <v/>
      </c>
      <c r="B12" s="3202"/>
      <c r="C12" s="3202"/>
      <c r="D12" s="3202" t="str">
        <f>结果表!D126</f>
        <v>——</v>
      </c>
      <c r="E12" s="3202"/>
      <c r="F12" s="3202"/>
      <c r="G12" s="3202"/>
      <c r="H12" s="3202"/>
      <c r="I12" s="3202"/>
    </row>
    <row r="13" spans="1:9" ht="15.6" thickBot="1">
      <c r="A13" s="3200" t="s">
        <v>927</v>
      </c>
      <c r="B13" s="3200"/>
      <c r="C13" s="3200"/>
      <c r="D13" s="3200" t="e">
        <f>结果表!D127</f>
        <v>#VALUE!</v>
      </c>
      <c r="E13" s="3200"/>
      <c r="F13" s="3200"/>
      <c r="G13" s="3200"/>
      <c r="H13" s="3200"/>
      <c r="I13" s="3200"/>
    </row>
    <row r="14" spans="1:9" ht="14.4" thickTop="1">
      <c r="A14" s="3201" t="s">
        <v>932</v>
      </c>
      <c r="B14" s="3201"/>
      <c r="C14" s="3201"/>
      <c r="D14" s="3201"/>
      <c r="E14" s="3201"/>
      <c r="F14" s="3201"/>
      <c r="G14" s="3201"/>
      <c r="H14" s="3201"/>
      <c r="I14" s="320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5" t="s">
        <v>949</v>
      </c>
      <c r="B1" s="3215"/>
      <c r="C1" s="3215"/>
      <c r="D1" s="3215"/>
    </row>
    <row r="2" spans="1:4" ht="17.399999999999999">
      <c r="A2" s="3216" t="s">
        <v>933</v>
      </c>
      <c r="B2" s="3216"/>
      <c r="C2" s="3216"/>
      <c r="D2" s="321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6" t="s">
        <v>939</v>
      </c>
      <c r="B6" s="3216"/>
      <c r="C6" s="3216"/>
      <c r="D6" s="321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7" t="s">
        <v>942</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09" t="str">
        <f>IF(项目基本情况!B8="抵押","3.抵押双方在办理抵押登记手续时，应使用本公司出具的正式《房地产评估报告》，特提醒报告使用者注意。","——")</f>
        <v>——</v>
      </c>
      <c r="B13" s="3214"/>
      <c r="C13" s="3214"/>
      <c r="D13" s="3214"/>
    </row>
    <row r="14" spans="1:4" ht="15.75" customHeight="1">
      <c r="A14" s="3209" t="str">
        <f>IF(项目基本情况!B8="抵押","4.本次评估估价师所知悉的法定优先受偿款情况说明如下：","——")</f>
        <v>——</v>
      </c>
      <c r="B14" s="3214"/>
      <c r="C14" s="3214"/>
      <c r="D14" s="3214"/>
    </row>
    <row r="15" spans="1:4" ht="42" customHeight="1">
      <c r="A15" s="3209" t="str">
        <f>IF(项目基本情况!B8="抵押","（1）"&amp;CONCATENATE(项目基本情况!L20,项目基本情况!L21,项目基本情况!L22),"——")</f>
        <v>——</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3" t="s">
        <v>956</v>
      </c>
      <c r="B15" s="3218" t="s">
        <v>109</v>
      </c>
      <c r="C15" s="3219"/>
    </row>
    <row r="16" spans="1:7" ht="14.4">
      <c r="A16" s="3224"/>
      <c r="B16" s="3218" t="s">
        <v>42</v>
      </c>
      <c r="C16" s="3219"/>
    </row>
    <row r="17" spans="1:3" ht="14.4">
      <c r="A17" s="3224"/>
      <c r="B17" s="3221" t="s">
        <v>957</v>
      </c>
      <c r="C17" s="1429" t="s">
        <v>956</v>
      </c>
    </row>
    <row r="18" spans="1:3" ht="14.4">
      <c r="A18" s="3224"/>
      <c r="B18" s="3221"/>
      <c r="C18" s="1429" t="s">
        <v>958</v>
      </c>
    </row>
    <row r="19" spans="1:3" ht="14.4">
      <c r="A19" s="3224"/>
      <c r="B19" s="3221"/>
      <c r="C19" s="1429" t="s">
        <v>959</v>
      </c>
    </row>
    <row r="20" spans="1:3" ht="14.4">
      <c r="A20" s="3225"/>
      <c r="B20" s="3220" t="s">
        <v>960</v>
      </c>
      <c r="C20" s="3219"/>
    </row>
    <row r="21" spans="1:3" ht="14.4">
      <c r="A21" s="1430" t="s">
        <v>961</v>
      </c>
      <c r="B21" s="1431"/>
      <c r="C21" s="1432"/>
    </row>
    <row r="22" spans="1:3" ht="14.4">
      <c r="A22" s="3222" t="s">
        <v>962</v>
      </c>
      <c r="B22" s="3220" t="s">
        <v>963</v>
      </c>
      <c r="C22" s="3219"/>
    </row>
    <row r="23" spans="1:3" ht="14.4">
      <c r="A23" s="3222"/>
      <c r="B23" s="3220" t="s">
        <v>964</v>
      </c>
      <c r="C23" s="3219"/>
    </row>
    <row r="24" spans="1:3" ht="14.4">
      <c r="A24" s="3222"/>
      <c r="B24" s="3220" t="s">
        <v>965</v>
      </c>
      <c r="C24" s="3219"/>
    </row>
    <row r="25" spans="1:3" ht="14.4">
      <c r="A25" s="3222"/>
      <c r="B25" s="3221" t="s">
        <v>966</v>
      </c>
      <c r="C25" s="1429" t="s">
        <v>967</v>
      </c>
    </row>
    <row r="26" spans="1:3" ht="14.4">
      <c r="A26" s="3222"/>
      <c r="B26" s="3221"/>
      <c r="C26" s="1429" t="s">
        <v>968</v>
      </c>
    </row>
    <row r="27" spans="1:3" ht="14.4">
      <c r="A27" s="3222"/>
      <c r="B27" s="3221"/>
      <c r="C27" s="1429" t="s">
        <v>969</v>
      </c>
    </row>
    <row r="28" spans="1:3" ht="14.4">
      <c r="A28" s="3222"/>
      <c r="B28" s="3221"/>
      <c r="C28" s="1429" t="s">
        <v>970</v>
      </c>
    </row>
    <row r="29" spans="1:3" ht="14.4">
      <c r="A29" s="3222"/>
      <c r="B29" s="3221"/>
      <c r="C29" s="1429" t="s">
        <v>971</v>
      </c>
    </row>
    <row r="30" spans="1:3" ht="14.4">
      <c r="A30" s="3222"/>
      <c r="B30" s="3221"/>
      <c r="C30" s="1429" t="s">
        <v>972</v>
      </c>
    </row>
    <row r="31" spans="1:3" ht="14.4">
      <c r="A31" s="3222"/>
      <c r="B31" s="3221"/>
      <c r="C31" s="1429" t="s">
        <v>973</v>
      </c>
    </row>
    <row r="32" spans="1:3" ht="14.4">
      <c r="A32" s="3222"/>
      <c r="B32" s="3221"/>
      <c r="C32" s="1429" t="s">
        <v>974</v>
      </c>
    </row>
    <row r="33" spans="1:3" ht="14.4">
      <c r="A33" s="3222"/>
      <c r="B33" s="322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2136</v>
      </c>
      <c r="B2" s="2157">
        <f ca="1">TODAY()</f>
        <v>45818</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t="str">
        <f ca="1">IF(C10&lt;B2,"已过期",1120100036)</f>
        <v>已过期</v>
      </c>
      <c r="C10" s="2167">
        <v>45752</v>
      </c>
      <c r="D10" s="2163" t="str">
        <f t="shared" ca="1" si="0"/>
        <v>崔锴（注册号：已过期）</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6" t="s">
        <v>2157</v>
      </c>
      <c r="B17" s="3226"/>
      <c r="C17" s="3226"/>
      <c r="D17" s="3226"/>
      <c r="E17" s="3226"/>
      <c r="F17" s="3226"/>
      <c r="G17" s="3226"/>
      <c r="H17" s="3226"/>
    </row>
    <row r="18" spans="1:8" ht="24" customHeight="1">
      <c r="A18" s="3227" t="s">
        <v>2158</v>
      </c>
      <c r="B18" s="3227"/>
      <c r="C18" s="3227"/>
      <c r="D18" s="2160"/>
      <c r="E18" s="3228" t="s">
        <v>2159</v>
      </c>
      <c r="F18" s="3227"/>
      <c r="G18" s="3227"/>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商业租赁合同</vt:lpstr>
      <vt:lpstr>比较法-办公</vt:lpstr>
      <vt:lpstr>典型户型修正</vt:lpstr>
      <vt:lpstr>资料</vt:lpstr>
      <vt:lpstr>办公案例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所有租赁合同</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2025-06-10T02:52:47Z</dcterms:modified>
</cp:coreProperties>
</file>