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26" i="79" l="1"/>
  <c r="H25" i="79"/>
  <c r="H23" i="79"/>
  <c r="H22" i="79"/>
  <c r="I46" i="39"/>
  <c r="E40" i="9" l="1"/>
  <c r="C38" i="9" l="1"/>
  <c r="B40" i="9" l="1"/>
  <c r="AH9" i="1" l="1"/>
  <c r="U7" i="1"/>
  <c r="AF25" i="3"/>
  <c r="D71" i="39" l="1"/>
  <c r="E71" i="39" s="1"/>
  <c r="F71" i="39" s="1"/>
  <c r="G71" i="39" s="1"/>
  <c r="H71" i="39" s="1"/>
  <c r="I71" i="39" s="1"/>
  <c r="J71" i="39" s="1"/>
  <c r="K71" i="39" s="1"/>
  <c r="L71" i="39" s="1"/>
  <c r="M71" i="39" s="1"/>
  <c r="N71" i="39" s="1"/>
  <c r="O71" i="39" s="1"/>
  <c r="I11" i="39"/>
  <c r="G11" i="39"/>
  <c r="E11" i="39"/>
  <c r="Q72" i="85"/>
  <c r="Q59" i="85"/>
  <c r="K59" i="85"/>
  <c r="P74" i="85" s="1"/>
  <c r="F59" i="85"/>
  <c r="Q58" i="85"/>
  <c r="Q51" i="85"/>
  <c r="J50" i="85"/>
  <c r="M47" i="85"/>
  <c r="D46" i="85"/>
  <c r="F33" i="85"/>
  <c r="F61" i="85" s="1"/>
  <c r="F31" i="85"/>
  <c r="F23" i="85"/>
  <c r="D23" i="85" s="1"/>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Q72" i="83"/>
  <c r="Q59" i="83"/>
  <c r="K59" i="83"/>
  <c r="P74" i="83" s="1"/>
  <c r="F59" i="83"/>
  <c r="Q58" i="83"/>
  <c r="Q51" i="83"/>
  <c r="J50" i="83"/>
  <c r="M47" i="83"/>
  <c r="D46" i="83"/>
  <c r="F33" i="83"/>
  <c r="F61" i="83" s="1"/>
  <c r="F31" i="83"/>
  <c r="F23" i="83"/>
  <c r="D23" i="83" s="1"/>
  <c r="F21" i="83"/>
  <c r="F20" i="83"/>
  <c r="M19" i="83"/>
  <c r="F18" i="83"/>
  <c r="M17" i="83"/>
  <c r="F17" i="83"/>
  <c r="F15" i="83"/>
  <c r="G46" i="39"/>
  <c r="E46" i="39"/>
  <c r="I38" i="39"/>
  <c r="G38" i="39"/>
  <c r="E38" i="39"/>
  <c r="I7" i="39"/>
  <c r="G7" i="39"/>
  <c r="E7" i="39"/>
  <c r="I5" i="39"/>
  <c r="G5" i="39"/>
  <c r="E5" i="39"/>
  <c r="C32" i="39"/>
  <c r="C5" i="39"/>
  <c r="D24" i="85" l="1"/>
  <c r="P61" i="85"/>
  <c r="D22" i="85"/>
  <c r="D24" i="84"/>
  <c r="P61" i="84"/>
  <c r="D22" i="84"/>
  <c r="P61" i="83"/>
  <c r="D24" i="83"/>
  <c r="D22" i="83"/>
  <c r="N8" i="1"/>
  <c r="N9" i="1"/>
  <c r="N7" i="1"/>
  <c r="N6" i="1"/>
  <c r="C22" i="6"/>
  <c r="C21" i="6"/>
  <c r="C20" i="6"/>
  <c r="C19" i="6"/>
  <c r="AD25" i="3"/>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X10" i="71" s="1"/>
  <c r="A2" i="53"/>
  <c r="K59" i="67"/>
  <c r="P61" i="67" s="1"/>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AB11" i="71" s="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AA10" i="71" s="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S53" i="71" s="1"/>
  <c r="F52" i="71"/>
  <c r="F51" i="71" s="1"/>
  <c r="Q51" i="71" s="1"/>
  <c r="D50" i="71"/>
  <c r="Q49" i="71"/>
  <c r="P49" i="71"/>
  <c r="O49" i="71"/>
  <c r="N49" i="71"/>
  <c r="Q48" i="71"/>
  <c r="P48" i="71"/>
  <c r="O48" i="71"/>
  <c r="N48" i="71"/>
  <c r="Q47" i="71"/>
  <c r="P47" i="71"/>
  <c r="O47" i="71"/>
  <c r="C48" i="71" s="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C44" i="71" s="1"/>
  <c r="N42" i="71"/>
  <c r="B43" i="71"/>
  <c r="B44" i="71" s="1"/>
  <c r="B45" i="71" s="1"/>
  <c r="S45" i="71" s="1"/>
  <c r="D42" i="71"/>
  <c r="Q41" i="71"/>
  <c r="P41" i="71"/>
  <c r="O41" i="71"/>
  <c r="N41" i="71"/>
  <c r="Q40" i="71"/>
  <c r="P40" i="71"/>
  <c r="O40" i="71"/>
  <c r="N40" i="71"/>
  <c r="Q39" i="71"/>
  <c r="P39" i="71"/>
  <c r="O39" i="71"/>
  <c r="C40" i="71" s="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AB24" i="71" s="1"/>
  <c r="P24" i="71"/>
  <c r="AA24" i="71" s="1"/>
  <c r="O24" i="71"/>
  <c r="Y24" i="71" s="1"/>
  <c r="Z24" i="71" s="1"/>
  <c r="N24" i="71"/>
  <c r="X24" i="71" s="1"/>
  <c r="Q23" i="71"/>
  <c r="AB23" i="71" s="1"/>
  <c r="P23" i="71"/>
  <c r="O23" i="71"/>
  <c r="Y23" i="71"/>
  <c r="Z23" i="71" s="1"/>
  <c r="N23" i="71"/>
  <c r="Q22" i="71"/>
  <c r="F23" i="71" s="1"/>
  <c r="F24" i="71" s="1"/>
  <c r="F25" i="71" s="1"/>
  <c r="V25" i="71" s="1"/>
  <c r="P22" i="71"/>
  <c r="O22" i="71"/>
  <c r="C23" i="71" s="1"/>
  <c r="N22" i="71"/>
  <c r="B23" i="71" s="1"/>
  <c r="B24" i="71" s="1"/>
  <c r="D22" i="71"/>
  <c r="Q21" i="71"/>
  <c r="P21" i="71"/>
  <c r="O21" i="71"/>
  <c r="Y21" i="71"/>
  <c r="Z21" i="71" s="1"/>
  <c r="N21" i="71"/>
  <c r="Q20" i="71"/>
  <c r="AB20" i="71" s="1"/>
  <c r="P20" i="71"/>
  <c r="O20" i="71"/>
  <c r="N20" i="71"/>
  <c r="X20" i="71" s="1"/>
  <c r="Q19" i="71"/>
  <c r="P19" i="71"/>
  <c r="AA19" i="71" s="1"/>
  <c r="O19" i="71"/>
  <c r="Y19" i="71"/>
  <c r="Z19" i="71" s="1"/>
  <c r="N19" i="71"/>
  <c r="Q18" i="71"/>
  <c r="F19" i="71" s="1"/>
  <c r="F20" i="71" s="1"/>
  <c r="F21" i="71" s="1"/>
  <c r="V21" i="71" s="1"/>
  <c r="P18" i="71"/>
  <c r="O18" i="71"/>
  <c r="N18" i="71"/>
  <c r="D18" i="71"/>
  <c r="Q17" i="71"/>
  <c r="P17" i="71"/>
  <c r="AA17" i="71" s="1"/>
  <c r="O17" i="71"/>
  <c r="Y17" i="71"/>
  <c r="Z17" i="71" s="1"/>
  <c r="N17" i="71"/>
  <c r="Q16" i="71"/>
  <c r="AB16" i="71" s="1"/>
  <c r="P16" i="71"/>
  <c r="O16" i="71"/>
  <c r="N16" i="71"/>
  <c r="Q15" i="71"/>
  <c r="P15" i="71"/>
  <c r="AA15" i="71" s="1"/>
  <c r="O15" i="71"/>
  <c r="Y15" i="71"/>
  <c r="Z15" i="71" s="1"/>
  <c r="N15" i="71"/>
  <c r="Q14" i="71"/>
  <c r="F15" i="71" s="1"/>
  <c r="F16" i="71" s="1"/>
  <c r="F17" i="71" s="1"/>
  <c r="V17" i="71" s="1"/>
  <c r="P14" i="71"/>
  <c r="E15" i="71" s="1"/>
  <c r="O14" i="71"/>
  <c r="Y14" i="71" s="1"/>
  <c r="Z14" i="71" s="1"/>
  <c r="N14" i="71"/>
  <c r="D14" i="71"/>
  <c r="O13" i="71"/>
  <c r="C13" i="71" s="1"/>
  <c r="N13" i="71"/>
  <c r="B13" i="71" s="1"/>
  <c r="B15" i="71"/>
  <c r="B16" i="71" s="1"/>
  <c r="X14" i="71"/>
  <c r="B19" i="71"/>
  <c r="B20" i="71" s="1"/>
  <c r="X18" i="71"/>
  <c r="E23" i="71"/>
  <c r="AA22" i="71"/>
  <c r="N53" i="71"/>
  <c r="E19" i="71"/>
  <c r="E20" i="71" s="1"/>
  <c r="E21" i="71" s="1"/>
  <c r="U21" i="71" s="1"/>
  <c r="C15" i="71"/>
  <c r="D15" i="71" s="1"/>
  <c r="AB14" i="71"/>
  <c r="AA16" i="71"/>
  <c r="C19" i="71"/>
  <c r="C20" i="71" s="1"/>
  <c r="X19" i="71"/>
  <c r="X21" i="71"/>
  <c r="Y22" i="71"/>
  <c r="Z22" i="71" s="1"/>
  <c r="AB22" i="71"/>
  <c r="AA23" i="71"/>
  <c r="Y3" i="71"/>
  <c r="Z3" i="71" s="1"/>
  <c r="X12" i="71"/>
  <c r="C16" i="71"/>
  <c r="D16" i="71" s="1"/>
  <c r="D19" i="71"/>
  <c r="C32" i="71"/>
  <c r="D32" i="71" s="1"/>
  <c r="D31" i="71"/>
  <c r="P13" i="71"/>
  <c r="E40" i="71"/>
  <c r="E41" i="71" s="1"/>
  <c r="U41" i="71" s="1"/>
  <c r="E44" i="71"/>
  <c r="E45" i="71" s="1"/>
  <c r="U45" i="71" s="1"/>
  <c r="U53" i="71"/>
  <c r="Q13" i="71"/>
  <c r="AB13" i="71" s="1"/>
  <c r="D39" i="71"/>
  <c r="D43" i="71"/>
  <c r="D47" i="71"/>
  <c r="T53" i="71"/>
  <c r="D53" i="71"/>
  <c r="Q53" i="71"/>
  <c r="C56" i="71"/>
  <c r="D56" i="71" s="1"/>
  <c r="E56" i="71"/>
  <c r="E55" i="71" s="1"/>
  <c r="D57" i="71"/>
  <c r="E60" i="71"/>
  <c r="E59" i="71" s="1"/>
  <c r="D61" i="71"/>
  <c r="C64" i="71"/>
  <c r="C63" i="71" s="1"/>
  <c r="D63" i="71" s="1"/>
  <c r="E64" i="71"/>
  <c r="E63" i="71" s="1"/>
  <c r="D65" i="71"/>
  <c r="C72" i="71"/>
  <c r="C71" i="71" s="1"/>
  <c r="D71" i="71" s="1"/>
  <c r="F13" i="71"/>
  <c r="F12" i="71" s="1"/>
  <c r="F11" i="71" s="1"/>
  <c r="AB10" i="71"/>
  <c r="AB12" i="71"/>
  <c r="E13" i="71"/>
  <c r="E12" i="71" s="1"/>
  <c r="E11" i="71" s="1"/>
  <c r="AA12" i="71"/>
  <c r="D72" i="71"/>
  <c r="D64" i="71"/>
  <c r="C55" i="71"/>
  <c r="D55" i="71" s="1"/>
  <c r="C17" i="71"/>
  <c r="T17"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S25" i="40"/>
  <c r="S18" i="36"/>
  <c r="U18" i="36"/>
  <c r="H25" i="40"/>
  <c r="J25" i="40"/>
  <c r="H29" i="39"/>
  <c r="U29" i="39" s="1"/>
  <c r="J29" i="39"/>
  <c r="AC29" i="39" s="1"/>
  <c r="J18" i="36"/>
  <c r="AC18" i="36" s="1"/>
  <c r="H18" i="35"/>
  <c r="AB18" i="35" s="1"/>
  <c r="S18" i="35"/>
  <c r="J18" i="35"/>
  <c r="H21" i="37"/>
  <c r="F21" i="37"/>
  <c r="AA21" i="37" s="1"/>
  <c r="H21" i="34"/>
  <c r="AB21" i="34" s="1"/>
  <c r="F83" i="33"/>
  <c r="H21" i="33"/>
  <c r="U21" i="33" s="1"/>
  <c r="F21" i="33"/>
  <c r="AA21" i="33" s="1"/>
  <c r="E83" i="21"/>
  <c r="F83" i="21" s="1"/>
  <c r="S21" i="21"/>
  <c r="H1" i="69"/>
  <c r="AC25" i="40"/>
  <c r="W25" i="40"/>
  <c r="AB25" i="40"/>
  <c r="U25" i="40"/>
  <c r="AB29" i="39"/>
  <c r="W18" i="36"/>
  <c r="AB21" i="37"/>
  <c r="U21" i="37"/>
  <c r="S21" i="37"/>
  <c r="U21" i="34"/>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G83"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I23" i="66"/>
  <c r="D20" i="66"/>
  <c r="I19" i="66"/>
  <c r="I18" i="66"/>
  <c r="I17" i="66"/>
  <c r="E15" i="66"/>
  <c r="I14" i="66"/>
  <c r="I13" i="66"/>
  <c r="I12" i="66"/>
  <c r="I15" i="66"/>
  <c r="I9" i="66"/>
  <c r="I8" i="66"/>
  <c r="I7"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A8" i="1"/>
  <c r="B8" i="1" s="1"/>
  <c r="E8" i="1" s="1"/>
  <c r="A9" i="1"/>
  <c r="A10" i="1"/>
  <c r="A11" i="1"/>
  <c r="B11" i="1" s="1"/>
  <c r="A12" i="1"/>
  <c r="A13" i="1"/>
  <c r="A6" i="1"/>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D6" i="66" s="1"/>
  <c r="I6" i="66" s="1"/>
  <c r="N5" i="3"/>
  <c r="O5" i="3"/>
  <c r="G22"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W43" i="39"/>
  <c r="AB45" i="39"/>
  <c r="U44" i="39"/>
  <c r="G101" i="39"/>
  <c r="H37" i="39"/>
  <c r="AB37" i="39" s="1"/>
  <c r="W37" i="39"/>
  <c r="F15" i="39"/>
  <c r="AA15" i="39" s="1"/>
  <c r="H15" i="39"/>
  <c r="U15" i="39" s="1"/>
  <c r="J15" i="39"/>
  <c r="W15" i="39" s="1"/>
  <c r="H41" i="39"/>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AZ24" i="3"/>
  <c r="AZ28" i="3"/>
  <c r="BL549" i="3"/>
  <c r="AZ549" i="3" s="1"/>
  <c r="AZ494" i="3"/>
  <c r="AZ502" i="3"/>
  <c r="AZ514" i="3"/>
  <c r="AZ522" i="3"/>
  <c r="AZ530" i="3"/>
  <c r="AZ546" i="3"/>
  <c r="G546" i="3"/>
  <c r="G524" i="3"/>
  <c r="G303" i="3"/>
  <c r="BL304" i="3"/>
  <c r="AZ304" i="3" s="1"/>
  <c r="G305" i="3"/>
  <c r="BL306" i="3"/>
  <c r="BA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AZ203" i="3"/>
  <c r="BL204" i="3"/>
  <c r="AZ39" i="3"/>
  <c r="AZ43" i="3"/>
  <c r="AZ47" i="3"/>
  <c r="AZ59" i="3"/>
  <c r="AZ63" i="3"/>
  <c r="AZ75" i="3"/>
  <c r="AZ79" i="3"/>
  <c r="AZ136" i="3"/>
  <c r="AZ168" i="3"/>
  <c r="AZ200" i="3"/>
  <c r="AZ89" i="3"/>
  <c r="AZ97" i="3"/>
  <c r="AZ105"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c r="BA390" i="3"/>
  <c r="BL390" i="3"/>
  <c r="AZ390" i="3" s="1"/>
  <c r="G391" i="3"/>
  <c r="G394" i="3"/>
  <c r="AZ142" i="3"/>
  <c r="AZ146" i="3"/>
  <c r="AZ162" i="3"/>
  <c r="AZ178" i="3"/>
  <c r="AZ194"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G332" i="3"/>
  <c r="BA334" i="3"/>
  <c r="AZ334" i="3" s="1"/>
  <c r="BL335" i="3"/>
  <c r="AZ335" i="3" s="1"/>
  <c r="G336" i="3"/>
  <c r="BA338" i="3"/>
  <c r="BL339" i="3"/>
  <c r="AZ339" i="3" s="1"/>
  <c r="G340" i="3"/>
  <c r="BL343" i="3"/>
  <c r="G344" i="3"/>
  <c r="G348" i="3"/>
  <c r="G355" i="3"/>
  <c r="AZ214" i="3"/>
  <c r="AZ222" i="3"/>
  <c r="AZ319" i="3"/>
  <c r="G342" i="3"/>
  <c r="BL345" i="3"/>
  <c r="G346" i="3"/>
  <c r="AZ348" i="3"/>
  <c r="BL349" i="3"/>
  <c r="AZ349" i="3" s="1"/>
  <c r="BL352" i="3"/>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91"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64" i="3"/>
  <c r="AZ368" i="3"/>
  <c r="BA15" i="3"/>
  <c r="AZ15" i="3" s="1"/>
  <c r="BB5" i="3"/>
  <c r="BR5" i="3"/>
  <c r="G28" i="6" s="1"/>
  <c r="AZ388" i="3"/>
  <c r="AZ396" i="3"/>
  <c r="AZ394" i="3"/>
  <c r="AZ499" i="3"/>
  <c r="AZ509" i="3"/>
  <c r="G509" i="3"/>
  <c r="BL493" i="3"/>
  <c r="AZ493" i="3" s="1"/>
  <c r="AZ491" i="3"/>
  <c r="AZ382" i="3"/>
  <c r="U36" i="40"/>
  <c r="F36" i="43"/>
  <c r="F81" i="43"/>
  <c r="H83" i="43"/>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3" i="3"/>
  <c r="AZ235" i="3"/>
  <c r="AZ240" i="3"/>
  <c r="AZ251" i="3"/>
  <c r="AZ256" i="3"/>
  <c r="AZ268" i="3"/>
  <c r="AZ271" i="3"/>
  <c r="AZ296" i="3"/>
  <c r="AZ114" i="3"/>
  <c r="AZ130" i="3"/>
  <c r="AZ29" i="3"/>
  <c r="AZ31" i="3"/>
  <c r="AZ33" i="3"/>
  <c r="AZ37" i="3"/>
  <c r="AZ45" i="3"/>
  <c r="AZ50" i="3"/>
  <c r="AZ61" i="3"/>
  <c r="AZ66" i="3"/>
  <c r="AZ72" i="3"/>
  <c r="AZ74" i="3"/>
  <c r="AZ77" i="3"/>
  <c r="AZ82" i="3"/>
  <c r="AZ86" i="3"/>
  <c r="AZ94" i="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D93" i="9"/>
  <c r="K6" i="1"/>
  <c r="G29" i="6"/>
  <c r="AC26" i="33"/>
  <c r="W26" i="33"/>
  <c r="W27" i="34"/>
  <c r="AC27" i="34"/>
  <c r="AB34" i="36"/>
  <c r="U34" i="36"/>
  <c r="AB33" i="36"/>
  <c r="U33" i="36"/>
  <c r="AC12" i="39"/>
  <c r="W12" i="39"/>
  <c r="AC39" i="40"/>
  <c r="W39" i="40"/>
  <c r="AZ412" i="3"/>
  <c r="AZ428" i="3"/>
  <c r="W12" i="33"/>
  <c r="AC12" i="33"/>
  <c r="AA32" i="36"/>
  <c r="S32" i="36"/>
  <c r="AZ437" i="3"/>
  <c r="AZ441" i="3"/>
  <c r="AZ473" i="3"/>
  <c r="AZ490" i="3"/>
  <c r="AA39" i="34"/>
  <c r="F28" i="6"/>
  <c r="BL14" i="3"/>
  <c r="AZ266" i="3"/>
  <c r="U30" i="33"/>
  <c r="AC13" i="34"/>
  <c r="AA47" i="34"/>
  <c r="W28" i="37"/>
  <c r="F12" i="33"/>
  <c r="H12" i="39"/>
  <c r="AB12" i="39" s="1"/>
  <c r="F39" i="40"/>
  <c r="BA14" i="3"/>
  <c r="AZ224" i="3"/>
  <c r="AZ238" i="3"/>
  <c r="AZ254" i="3"/>
  <c r="AZ157" i="3"/>
  <c r="AZ173" i="3"/>
  <c r="AZ189" i="3"/>
  <c r="AZ26" i="3"/>
  <c r="AZ35" i="3"/>
  <c r="AZ41" i="3"/>
  <c r="S12" i="1"/>
  <c r="R12" i="1"/>
  <c r="B12" i="1"/>
  <c r="E12" i="1" s="1"/>
  <c r="S10" i="1"/>
  <c r="R10" i="1"/>
  <c r="B10" i="1"/>
  <c r="E10" i="1" s="1"/>
  <c r="AZ80" i="3"/>
  <c r="AZ84" i="3"/>
  <c r="AZ88" i="3"/>
  <c r="AZ107" i="3"/>
  <c r="K12" i="1"/>
  <c r="M12" i="1" s="1"/>
  <c r="O12" i="1" s="1"/>
  <c r="P12" i="1" s="1"/>
  <c r="S13" i="1"/>
  <c r="R13" i="1"/>
  <c r="S11" i="1"/>
  <c r="R11" i="1"/>
  <c r="J51" i="67"/>
  <c r="C42" i="1"/>
  <c r="C24" i="12" s="1"/>
  <c r="H100" i="43"/>
  <c r="AC34" i="33"/>
  <c r="AA34" i="33"/>
  <c r="B41" i="1"/>
  <c r="S22" i="31"/>
  <c r="J100" i="43"/>
  <c r="AB37" i="40"/>
  <c r="S35" i="40"/>
  <c r="U35" i="40"/>
  <c r="AC36"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AB27" i="39"/>
  <c r="U31" i="39"/>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c r="G1" i="68"/>
  <c r="K1" i="12"/>
  <c r="T12"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G6" i="1"/>
  <c r="H85" i="43"/>
  <c r="H81" i="43"/>
  <c r="H84" i="43"/>
  <c r="H88" i="43"/>
  <c r="H54" i="43"/>
  <c r="H70" i="43"/>
  <c r="C17" i="43"/>
  <c r="G17" i="43"/>
  <c r="M7" i="43"/>
  <c r="M2" i="43"/>
  <c r="M10" i="43"/>
  <c r="N11" i="43"/>
  <c r="F37" i="43"/>
  <c r="N12" i="43"/>
  <c r="M5" i="43"/>
  <c r="M4" i="43"/>
  <c r="B19" i="53"/>
  <c r="B37" i="72"/>
  <c r="C7" i="39"/>
  <c r="C68" i="39" s="1"/>
  <c r="C7" i="35"/>
  <c r="C48" i="35" s="1"/>
  <c r="D48" i="35" s="1"/>
  <c r="E48" i="35" s="1"/>
  <c r="F48" i="35" s="1"/>
  <c r="G48" i="35" s="1"/>
  <c r="C7" i="33"/>
  <c r="C58" i="33"/>
  <c r="D58" i="33" s="1"/>
  <c r="E58" i="33" s="1"/>
  <c r="F58" i="33" s="1"/>
  <c r="G58" i="33" s="1"/>
  <c r="H58" i="33" s="1"/>
  <c r="I58" i="33" s="1"/>
  <c r="J58" i="33" s="1"/>
  <c r="K58" i="33" s="1"/>
  <c r="L58" i="33" s="1"/>
  <c r="M58" i="33" s="1"/>
  <c r="N58" i="33" s="1"/>
  <c r="O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E58" i="21" s="1"/>
  <c r="F58" i="21" s="1"/>
  <c r="G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s="1"/>
  <c r="P6" i="1" s="1"/>
  <c r="T11" i="1"/>
  <c r="T13" i="1"/>
  <c r="C77" i="9"/>
  <c r="C74" i="9" s="1"/>
  <c r="AA39" i="40"/>
  <c r="S39" i="40"/>
  <c r="S12" i="33"/>
  <c r="AA12" i="33"/>
  <c r="J32" i="39"/>
  <c r="W32" i="39" s="1"/>
  <c r="H32" i="39"/>
  <c r="AB32" i="39" s="1"/>
  <c r="AA32" i="39"/>
  <c r="S32" i="39"/>
  <c r="S26" i="35"/>
  <c r="U9" i="35"/>
  <c r="AB9" i="35"/>
  <c r="AA9" i="35"/>
  <c r="S9" i="35"/>
  <c r="AC26" i="35"/>
  <c r="W26" i="35"/>
  <c r="U26" i="35"/>
  <c r="S17" i="37"/>
  <c r="J19" i="37"/>
  <c r="G75" i="37"/>
  <c r="S19" i="37"/>
  <c r="AA19" i="37"/>
  <c r="AA23" i="37"/>
  <c r="J23" i="37"/>
  <c r="W23" i="37" s="1"/>
  <c r="J10" i="37"/>
  <c r="AC10" i="37" s="1"/>
  <c r="G63" i="37"/>
  <c r="H63" i="37" s="1"/>
  <c r="I63" i="37" s="1"/>
  <c r="J63" i="37" s="1"/>
  <c r="K63" i="37" s="1"/>
  <c r="L63" i="37" s="1"/>
  <c r="M63" i="37" s="1"/>
  <c r="H11" i="37"/>
  <c r="AB10" i="37"/>
  <c r="U10" i="37"/>
  <c r="G70" i="34"/>
  <c r="H11" i="34"/>
  <c r="AB10" i="34"/>
  <c r="J10" i="34"/>
  <c r="W10" i="34" s="1"/>
  <c r="I67" i="34"/>
  <c r="AB41" i="33"/>
  <c r="W35" i="33"/>
  <c r="AC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U33" i="21"/>
  <c r="AA23" i="21"/>
  <c r="J23" i="21"/>
  <c r="W23" i="21" s="1"/>
  <c r="F85" i="21"/>
  <c r="G85" i="21" s="1"/>
  <c r="H23" i="21"/>
  <c r="AB23" i="21" s="1"/>
  <c r="D6" i="52"/>
  <c r="R22" i="31"/>
  <c r="B21" i="31" s="1"/>
  <c r="E52" i="37"/>
  <c r="F52" i="37" s="1"/>
  <c r="C65" i="40"/>
  <c r="AP7" i="1"/>
  <c r="AC33" i="21"/>
  <c r="W33" i="21"/>
  <c r="S33" i="21"/>
  <c r="W32" i="21"/>
  <c r="AB9" i="21"/>
  <c r="AA32" i="21"/>
  <c r="S32" i="21"/>
  <c r="W9" i="21"/>
  <c r="AC9" i="21"/>
  <c r="AB32" i="21"/>
  <c r="U32" i="21"/>
  <c r="AA10" i="21"/>
  <c r="S10" i="21"/>
  <c r="W19" i="37"/>
  <c r="AC19" i="37"/>
  <c r="AC23" i="37"/>
  <c r="AB11" i="37"/>
  <c r="U11" i="37"/>
  <c r="J11" i="37"/>
  <c r="W10" i="37"/>
  <c r="U11" i="34"/>
  <c r="AB11" i="34"/>
  <c r="AC10" i="34"/>
  <c r="H70" i="34"/>
  <c r="I70" i="34" s="1"/>
  <c r="J70" i="34" s="1"/>
  <c r="K70" i="34" s="1"/>
  <c r="L70" i="34" s="1"/>
  <c r="M70" i="34" s="1"/>
  <c r="J11" i="34"/>
  <c r="W11" i="34" s="1"/>
  <c r="AC36" i="33"/>
  <c r="W36" i="33"/>
  <c r="U36" i="33"/>
  <c r="W27" i="33"/>
  <c r="W25" i="33"/>
  <c r="AA23" i="33"/>
  <c r="S23" i="33"/>
  <c r="AB19" i="33"/>
  <c r="AA17" i="33"/>
  <c r="U17" i="33"/>
  <c r="AB17" i="33"/>
  <c r="U23" i="21"/>
  <c r="AC23" i="21"/>
  <c r="F1" i="67"/>
  <c r="Q52" i="67"/>
  <c r="AC11" i="37"/>
  <c r="W11" i="37"/>
  <c r="AC11" i="34"/>
  <c r="C13" i="12"/>
  <c r="AG6" i="1"/>
  <c r="J7" i="33"/>
  <c r="W7" i="33" s="1"/>
  <c r="H7" i="33"/>
  <c r="AB7" i="33" s="1"/>
  <c r="T48" i="33" s="1"/>
  <c r="G48" i="33" s="1"/>
  <c r="H112" i="9"/>
  <c r="D21" i="53" s="1"/>
  <c r="B39" i="72" s="1"/>
  <c r="H111" i="9"/>
  <c r="D126" i="9" s="1"/>
  <c r="D59" i="9"/>
  <c r="M55" i="9" s="1"/>
  <c r="AD3" i="71"/>
  <c r="M23" i="15"/>
  <c r="M9" i="67"/>
  <c r="D2" i="35"/>
  <c r="F5" i="73"/>
  <c r="B11" i="76"/>
  <c r="E7" i="76"/>
  <c r="F42" i="15"/>
  <c r="L47" i="15"/>
  <c r="F20" i="31"/>
  <c r="E10" i="76"/>
  <c r="F35" i="67"/>
  <c r="D2" i="37"/>
  <c r="B13" i="76"/>
  <c r="B7" i="76"/>
  <c r="C76" i="67"/>
  <c r="B12" i="76"/>
  <c r="M9" i="15"/>
  <c r="F7" i="15"/>
  <c r="F7" i="73"/>
  <c r="F3" i="73"/>
  <c r="E13" i="76"/>
  <c r="F36" i="67"/>
  <c r="F26" i="15"/>
  <c r="M28" i="67"/>
  <c r="F38" i="67"/>
  <c r="F6" i="73"/>
  <c r="E9" i="76"/>
  <c r="AO11" i="1"/>
  <c r="B9" i="76"/>
  <c r="D2" i="34"/>
  <c r="D2" i="21"/>
  <c r="E8" i="76"/>
  <c r="E2" i="69"/>
  <c r="F6" i="15"/>
  <c r="D2" i="33"/>
  <c r="M29" i="15"/>
  <c r="M27" i="15"/>
  <c r="F9" i="67"/>
  <c r="F4" i="73"/>
  <c r="M22" i="67"/>
  <c r="AO10" i="1"/>
  <c r="M22" i="15"/>
  <c r="F37" i="67"/>
  <c r="B8" i="76"/>
  <c r="AO12" i="1"/>
  <c r="J15" i="67"/>
  <c r="AO13" i="1"/>
  <c r="F38" i="15"/>
  <c r="E12" i="76"/>
  <c r="L48" i="67"/>
  <c r="F43" i="15"/>
  <c r="E2" i="68"/>
  <c r="F6" i="67"/>
  <c r="F40" i="67"/>
  <c r="D2" i="36"/>
  <c r="F40" i="15"/>
  <c r="F36" i="15"/>
  <c r="M6" i="67"/>
  <c r="M24" i="67"/>
  <c r="F9" i="15"/>
  <c r="B10" i="76"/>
  <c r="E11" i="76"/>
  <c r="K120" i="9" l="1"/>
  <c r="A18" i="62" s="1"/>
  <c r="B64" i="72" s="1"/>
  <c r="W19" i="39"/>
  <c r="E63" i="40"/>
  <c r="D65" i="40"/>
  <c r="F7" i="33"/>
  <c r="AB45" i="21"/>
  <c r="S13" i="21"/>
  <c r="AB15" i="21"/>
  <c r="S37" i="21"/>
  <c r="AC37" i="21"/>
  <c r="AC17" i="37"/>
  <c r="AA29" i="21"/>
  <c r="W17" i="21"/>
  <c r="AA11" i="37"/>
  <c r="C7" i="43"/>
  <c r="AZ327" i="3"/>
  <c r="AZ311" i="3"/>
  <c r="AZ14" i="3"/>
  <c r="F29" i="6"/>
  <c r="AZ338" i="3"/>
  <c r="AZ372" i="3"/>
  <c r="AZ320" i="3"/>
  <c r="AC32" i="40"/>
  <c r="W32" i="40"/>
  <c r="AA38" i="40"/>
  <c r="S38" i="40"/>
  <c r="AZ323" i="3"/>
  <c r="AZ314" i="3"/>
  <c r="AZ306" i="3"/>
  <c r="AZ381" i="3"/>
  <c r="AZ351" i="3"/>
  <c r="AZ329" i="3"/>
  <c r="AZ380" i="3"/>
  <c r="AZ360" i="3"/>
  <c r="W47" i="34"/>
  <c r="AB28" i="37"/>
  <c r="AZ523" i="3"/>
  <c r="AZ531" i="3"/>
  <c r="AZ539" i="3"/>
  <c r="AZ547" i="3"/>
  <c r="AZ553" i="3"/>
  <c r="AZ583" i="3"/>
  <c r="AZ581" i="3"/>
  <c r="AZ526" i="3"/>
  <c r="AZ566" i="3"/>
  <c r="AZ574" i="3"/>
  <c r="AZ582" i="3"/>
  <c r="AZ584" i="3"/>
  <c r="AC28" i="21"/>
  <c r="W29" i="33"/>
  <c r="S45" i="33"/>
  <c r="AC30" i="34"/>
  <c r="W11" i="35"/>
  <c r="S11" i="36"/>
  <c r="AB11" i="36"/>
  <c r="AA14" i="33"/>
  <c r="AB17" i="34"/>
  <c r="BL585" i="3"/>
  <c r="F9" i="34"/>
  <c r="J38" i="40"/>
  <c r="H39" i="40"/>
  <c r="G582" i="3"/>
  <c r="G566" i="3"/>
  <c r="G552" i="3"/>
  <c r="BA551" i="3"/>
  <c r="AZ551" i="3" s="1"/>
  <c r="BL550" i="3"/>
  <c r="BA550" i="3"/>
  <c r="AZ550" i="3" s="1"/>
  <c r="M20" i="15"/>
  <c r="F34" i="85"/>
  <c r="F62" i="85" s="1"/>
  <c r="F34" i="84"/>
  <c r="F62" i="84" s="1"/>
  <c r="F34" i="83"/>
  <c r="F62" i="83" s="1"/>
  <c r="M20" i="85"/>
  <c r="M20" i="84"/>
  <c r="M20" i="83"/>
  <c r="G14" i="3"/>
  <c r="E22" i="6"/>
  <c r="AZ442" i="3"/>
  <c r="AZ446" i="3"/>
  <c r="AZ471" i="3"/>
  <c r="AZ481" i="3"/>
  <c r="AZ484" i="3"/>
  <c r="AZ487" i="3"/>
  <c r="BL317" i="3"/>
  <c r="AZ317" i="3" s="1"/>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AZ255" i="3"/>
  <c r="AZ495" i="3"/>
  <c r="AZ513" i="3"/>
  <c r="AZ517" i="3"/>
  <c r="AZ567" i="3"/>
  <c r="AZ571" i="3"/>
  <c r="AZ575" i="3"/>
  <c r="AZ579" i="3"/>
  <c r="AZ585" i="3"/>
  <c r="BL586" i="3"/>
  <c r="AZ586" i="3" s="1"/>
  <c r="E21" i="6"/>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G475" i="3"/>
  <c r="BL475" i="3"/>
  <c r="BA476" i="3"/>
  <c r="AZ476" i="3" s="1"/>
  <c r="BA477" i="3"/>
  <c r="AZ477" i="3" s="1"/>
  <c r="BL477" i="3"/>
  <c r="BA478" i="3"/>
  <c r="AZ478" i="3" s="1"/>
  <c r="G481" i="3"/>
  <c r="G484" i="3"/>
  <c r="BL484" i="3"/>
  <c r="BA485" i="3"/>
  <c r="AZ485" i="3" s="1"/>
  <c r="G490" i="3"/>
  <c r="G491" i="3"/>
  <c r="G492" i="3"/>
  <c r="BL492" i="3"/>
  <c r="AZ492" i="3" s="1"/>
  <c r="G307" i="3"/>
  <c r="BL308" i="3"/>
  <c r="AZ308" i="3" s="1"/>
  <c r="BL314" i="3"/>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AZ270" i="3"/>
  <c r="AZ274" i="3"/>
  <c r="AZ284" i="3"/>
  <c r="AZ292" i="3"/>
  <c r="AZ302" i="3"/>
  <c r="AZ113" i="3"/>
  <c r="AZ126" i="3"/>
  <c r="AZ129" i="3"/>
  <c r="AZ141" i="3"/>
  <c r="AZ46" i="3"/>
  <c r="AZ90" i="3"/>
  <c r="I10" i="66"/>
  <c r="C21" i="71"/>
  <c r="D20" i="71"/>
  <c r="B12" i="71"/>
  <c r="B11" i="71" s="1"/>
  <c r="S13" i="71"/>
  <c r="C24" i="71"/>
  <c r="D23" i="71"/>
  <c r="C28" i="71"/>
  <c r="D27" i="71"/>
  <c r="D35" i="71"/>
  <c r="C36" i="71"/>
  <c r="D40" i="71"/>
  <c r="C41" i="71"/>
  <c r="D44" i="71"/>
  <c r="C45" i="7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A204" i="3"/>
  <c r="AZ204" i="3" s="1"/>
  <c r="BA205" i="3"/>
  <c r="AZ205" i="3" s="1"/>
  <c r="BA206" i="3"/>
  <c r="AZ206" i="3" s="1"/>
  <c r="BL21" i="3"/>
  <c r="G24" i="3"/>
  <c r="G28" i="3"/>
  <c r="G29" i="3"/>
  <c r="G30" i="3"/>
  <c r="BL30" i="3"/>
  <c r="AZ30" i="3" s="1"/>
  <c r="BL32" i="3"/>
  <c r="AZ32" i="3" s="1"/>
  <c r="G35" i="3"/>
  <c r="G36" i="3"/>
  <c r="BL36" i="3"/>
  <c r="AZ36" i="3" s="1"/>
  <c r="G39" i="3"/>
  <c r="G40" i="3"/>
  <c r="BL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C49" i="71"/>
  <c r="D48" i="71"/>
  <c r="AZ96" i="3"/>
  <c r="G1" i="85"/>
  <c r="G1" i="84"/>
  <c r="G1" i="83"/>
  <c r="AB21" i="21"/>
  <c r="S21" i="34"/>
  <c r="D17" i="71"/>
  <c r="C68" i="71"/>
  <c r="C60" i="71"/>
  <c r="C52" i="71"/>
  <c r="Q52" i="71"/>
  <c r="E52" i="71"/>
  <c r="Q50" i="71"/>
  <c r="AA3" i="71"/>
  <c r="X13" i="71"/>
  <c r="X23" i="71"/>
  <c r="AA18" i="71"/>
  <c r="E24" i="71"/>
  <c r="E25" i="71" s="1"/>
  <c r="U25" i="71" s="1"/>
  <c r="B21" i="71"/>
  <c r="S21" i="71" s="1"/>
  <c r="B17" i="71"/>
  <c r="S17" i="71" s="1"/>
  <c r="X11" i="71"/>
  <c r="E16" i="71"/>
  <c r="E17" i="71" s="1"/>
  <c r="U17" i="71" s="1"/>
  <c r="X15" i="71"/>
  <c r="AB15" i="71"/>
  <c r="Y16" i="71"/>
  <c r="Z16" i="71" s="1"/>
  <c r="X16" i="71"/>
  <c r="AB17" i="71"/>
  <c r="AB19" i="71"/>
  <c r="Y20" i="71"/>
  <c r="Z20" i="71" s="1"/>
  <c r="AB21" i="71"/>
  <c r="B25" i="71"/>
  <c r="S25" i="71" s="1"/>
  <c r="J1" i="73"/>
  <c r="P74" i="67"/>
  <c r="G80" i="3"/>
  <c r="G81" i="3"/>
  <c r="BL81" i="3"/>
  <c r="AZ81" i="3" s="1"/>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AZ106" i="3" s="1"/>
  <c r="BA108" i="3"/>
  <c r="AZ108" i="3" s="1"/>
  <c r="BA109" i="3"/>
  <c r="AZ109" i="3" s="1"/>
  <c r="BA110" i="3"/>
  <c r="AZ110" i="3" s="1"/>
  <c r="BA111" i="3"/>
  <c r="AZ111" i="3" s="1"/>
  <c r="F3" i="35"/>
  <c r="J51" i="84"/>
  <c r="J51" i="83"/>
  <c r="J51" i="85"/>
  <c r="K100" i="43"/>
  <c r="I20" i="66"/>
  <c r="AA20" i="71"/>
  <c r="F53" i="9"/>
  <c r="F32" i="84"/>
  <c r="F60" i="84" s="1"/>
  <c r="F28" i="84"/>
  <c r="C28" i="84" s="1"/>
  <c r="M18" i="84"/>
  <c r="F32" i="85"/>
  <c r="F60" i="85" s="1"/>
  <c r="F28" i="85"/>
  <c r="C28" i="85" s="1"/>
  <c r="M18" i="85"/>
  <c r="F32" i="83"/>
  <c r="F60" i="83" s="1"/>
  <c r="F28" i="83"/>
  <c r="C28" i="83" s="1"/>
  <c r="M18" i="83"/>
  <c r="U12" i="39"/>
  <c r="P61" i="15"/>
  <c r="F99" i="39"/>
  <c r="G99" i="39" s="1"/>
  <c r="J25" i="39"/>
  <c r="H25" i="39"/>
  <c r="AB25" i="39" s="1"/>
  <c r="F25" i="39"/>
  <c r="S23" i="39"/>
  <c r="AB23" i="39"/>
  <c r="F95" i="39"/>
  <c r="G95" i="39" s="1"/>
  <c r="F21" i="39"/>
  <c r="H21" i="39"/>
  <c r="U21" i="39" s="1"/>
  <c r="J21" i="39"/>
  <c r="G81" i="39"/>
  <c r="H81" i="39" s="1"/>
  <c r="I81" i="39" s="1"/>
  <c r="J81" i="39" s="1"/>
  <c r="K81" i="39" s="1"/>
  <c r="L81" i="39" s="1"/>
  <c r="M81" i="39" s="1"/>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H113" i="43"/>
  <c r="N4" i="43"/>
  <c r="F59" i="43"/>
  <c r="H48" i="43"/>
  <c r="H50" i="43"/>
  <c r="H75" i="43"/>
  <c r="A15" i="62"/>
  <c r="B61" i="72" s="1"/>
  <c r="C25" i="40"/>
  <c r="L27" i="6"/>
  <c r="BL19" i="3"/>
  <c r="E8" i="6"/>
  <c r="F27" i="6" s="1"/>
  <c r="I4" i="6"/>
  <c r="E28" i="6"/>
  <c r="G30" i="6"/>
  <c r="G31" i="6" s="1"/>
  <c r="G25" i="3"/>
  <c r="E12" i="6"/>
  <c r="E62" i="39" s="1"/>
  <c r="G22" i="3"/>
  <c r="C36" i="69"/>
  <c r="E15" i="6"/>
  <c r="E65" i="39" s="1"/>
  <c r="E13" i="6"/>
  <c r="G20" i="3"/>
  <c r="E57" i="40"/>
  <c r="BA18" i="3"/>
  <c r="BA19" i="3"/>
  <c r="AZ19" i="3" s="1"/>
  <c r="BA20" i="3"/>
  <c r="AZ20" i="3" s="1"/>
  <c r="BA21" i="3"/>
  <c r="AZ21" i="3" s="1"/>
  <c r="BL25" i="3"/>
  <c r="AZ25" i="3" s="1"/>
  <c r="M7" i="1"/>
  <c r="E59" i="40"/>
  <c r="E56" i="40"/>
  <c r="D19" i="12"/>
  <c r="C19" i="12" s="1"/>
  <c r="D9" i="68"/>
  <c r="C9" i="68" s="1"/>
  <c r="D9" i="69"/>
  <c r="C9" i="69" s="1"/>
  <c r="D19" i="53"/>
  <c r="B38" i="72" s="1"/>
  <c r="D20" i="53"/>
  <c r="B40" i="72" s="1"/>
  <c r="C70" i="39"/>
  <c r="D68" i="39"/>
  <c r="E65" i="40"/>
  <c r="F63" i="40"/>
  <c r="U7" i="33"/>
  <c r="H48" i="35"/>
  <c r="I48" i="35" s="1"/>
  <c r="J48" i="35" s="1"/>
  <c r="K48" i="35" s="1"/>
  <c r="L48" i="35" s="1"/>
  <c r="M48" i="35" s="1"/>
  <c r="N48" i="35" s="1"/>
  <c r="O48" i="35" s="1"/>
  <c r="H58" i="21"/>
  <c r="I58" i="21" s="1"/>
  <c r="J58" i="21" s="1"/>
  <c r="K58" i="21" s="1"/>
  <c r="L58" i="21" s="1"/>
  <c r="M58" i="21" s="1"/>
  <c r="N58" i="21" s="1"/>
  <c r="O58" i="21" s="1"/>
  <c r="I46" i="36"/>
  <c r="J46" i="36" s="1"/>
  <c r="K46" i="36" s="1"/>
  <c r="L46" i="36" s="1"/>
  <c r="M46" i="36" s="1"/>
  <c r="N46" i="36" s="1"/>
  <c r="O46" i="36" s="1"/>
  <c r="J7" i="36"/>
  <c r="G52" i="37"/>
  <c r="H52" i="37" s="1"/>
  <c r="I52" i="37" s="1"/>
  <c r="J52" i="37" s="1"/>
  <c r="K52" i="37" s="1"/>
  <c r="L52" i="37" s="1"/>
  <c r="M52" i="37" s="1"/>
  <c r="N52" i="37" s="1"/>
  <c r="O52" i="37" s="1"/>
  <c r="F7" i="37" s="1"/>
  <c r="G52" i="33"/>
  <c r="H52" i="33" s="1"/>
  <c r="I14" i="74"/>
  <c r="B8" i="74" s="1"/>
  <c r="D127" i="9"/>
  <c r="D13" i="52" s="1"/>
  <c r="D12" i="52"/>
  <c r="G59" i="34"/>
  <c r="H59" i="34" s="1"/>
  <c r="I59" i="34" s="1"/>
  <c r="J59" i="34" s="1"/>
  <c r="K59" i="34" s="1"/>
  <c r="L59" i="34" s="1"/>
  <c r="M59" i="34" s="1"/>
  <c r="N59" i="34" s="1"/>
  <c r="O59" i="34" s="1"/>
  <c r="H7" i="34"/>
  <c r="D9" i="53"/>
  <c r="B25" i="72" s="1"/>
  <c r="B24" i="72"/>
  <c r="AZ503" i="3"/>
  <c r="AB13" i="21"/>
  <c r="U13" i="21"/>
  <c r="AC27" i="21"/>
  <c r="W27" i="21"/>
  <c r="AC29" i="21"/>
  <c r="W29" i="21"/>
  <c r="AC7" i="33"/>
  <c r="V48" i="33" s="1"/>
  <c r="I48" i="33" s="1"/>
  <c r="F7" i="34"/>
  <c r="J7" i="37"/>
  <c r="F7" i="35"/>
  <c r="E29" i="6"/>
  <c r="F30"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BL5" i="3" s="1"/>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0" i="43"/>
  <c r="I108" i="43"/>
  <c r="I100" i="43"/>
  <c r="E108" i="43"/>
  <c r="E100" i="43"/>
  <c r="D24" i="67"/>
  <c r="D23" i="67"/>
  <c r="D108" i="43"/>
  <c r="D100" i="43"/>
  <c r="D49" i="71"/>
  <c r="T49"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64" i="67"/>
  <c r="F66" i="15"/>
  <c r="F50" i="15"/>
  <c r="M7" i="15"/>
  <c r="B10" i="70"/>
  <c r="F68" i="67"/>
  <c r="F66" i="67"/>
  <c r="F68" i="15"/>
  <c r="N59" i="15"/>
  <c r="M59" i="15"/>
  <c r="L59" i="15" s="1"/>
  <c r="Q71" i="67"/>
  <c r="B13" i="70"/>
  <c r="C34" i="67"/>
  <c r="F63" i="67"/>
  <c r="C62" i="67" s="1"/>
  <c r="B20" i="31"/>
  <c r="F71" i="15"/>
  <c r="F65" i="67"/>
  <c r="B11" i="70"/>
  <c r="I1" i="73"/>
  <c r="B39" i="1" s="1"/>
  <c r="C27" i="15"/>
  <c r="F64" i="15"/>
  <c r="I54" i="67"/>
  <c r="J57" i="67"/>
  <c r="J55" i="67" s="1"/>
  <c r="J58" i="67" s="1"/>
  <c r="Q50" i="67" s="1"/>
  <c r="L56" i="67"/>
  <c r="B12" i="70"/>
  <c r="F31" i="15"/>
  <c r="F59" i="67"/>
  <c r="F31" i="67"/>
  <c r="F59" i="15"/>
  <c r="M17" i="67"/>
  <c r="M17" i="15"/>
  <c r="M6" i="15"/>
  <c r="M21" i="67"/>
  <c r="M29" i="67"/>
  <c r="M8" i="67"/>
  <c r="M24" i="15"/>
  <c r="M28" i="15"/>
  <c r="F16" i="67"/>
  <c r="F42" i="67"/>
  <c r="F13" i="67"/>
  <c r="M27" i="67"/>
  <c r="M8" i="15"/>
  <c r="F41" i="67"/>
  <c r="J15" i="15"/>
  <c r="C76" i="15"/>
  <c r="F16" i="15"/>
  <c r="F8" i="67"/>
  <c r="M26" i="15"/>
  <c r="F37" i="15"/>
  <c r="F43" i="67"/>
  <c r="F8" i="15"/>
  <c r="L48" i="15"/>
  <c r="F13" i="15"/>
  <c r="F7" i="67"/>
  <c r="F26" i="67"/>
  <c r="M26" i="67"/>
  <c r="M23" i="67"/>
  <c r="L47" i="67"/>
  <c r="C6" i="67" l="1"/>
  <c r="F51" i="67"/>
  <c r="L59" i="67"/>
  <c r="Q74" i="67" s="1"/>
  <c r="N59" i="67"/>
  <c r="M59" i="67"/>
  <c r="L58" i="67"/>
  <c r="Q73" i="67" s="1"/>
  <c r="C27" i="67"/>
  <c r="F51" i="15"/>
  <c r="C49" i="15" s="1"/>
  <c r="C6" i="15"/>
  <c r="F70" i="67"/>
  <c r="J20" i="67"/>
  <c r="F65" i="15"/>
  <c r="J57" i="15"/>
  <c r="J55" i="15" s="1"/>
  <c r="J58" i="15" s="1"/>
  <c r="Q50" i="15" s="1"/>
  <c r="L56" i="15"/>
  <c r="J53" i="15"/>
  <c r="Q52" i="15" s="1"/>
  <c r="I54" i="15"/>
  <c r="L58" i="15"/>
  <c r="Q73" i="15" s="1"/>
  <c r="F50" i="67"/>
  <c r="M7" i="67"/>
  <c r="J6" i="67" s="1"/>
  <c r="F71" i="67"/>
  <c r="F69" i="67"/>
  <c r="Q71" i="15"/>
  <c r="K14" i="1"/>
  <c r="M14" i="1" s="1"/>
  <c r="O14" i="1" s="1"/>
  <c r="P14" i="1" s="1"/>
  <c r="G26" i="79"/>
  <c r="N14" i="1" s="1"/>
  <c r="C59" i="71"/>
  <c r="D59" i="71" s="1"/>
  <c r="D60" i="71"/>
  <c r="C29" i="71"/>
  <c r="D28" i="71"/>
  <c r="T21" i="71"/>
  <c r="D21" i="71"/>
  <c r="K8" i="1"/>
  <c r="E7" i="12"/>
  <c r="U39" i="40"/>
  <c r="AB39" i="40"/>
  <c r="AA9" i="34"/>
  <c r="S9" i="34"/>
  <c r="S7" i="33"/>
  <c r="AA7" i="33"/>
  <c r="R48" i="33" s="1"/>
  <c r="J6" i="15"/>
  <c r="H7" i="35"/>
  <c r="H7" i="36"/>
  <c r="J7" i="21"/>
  <c r="H7" i="21"/>
  <c r="J7" i="34"/>
  <c r="F7" i="36"/>
  <c r="F7" i="21"/>
  <c r="J7" i="35"/>
  <c r="E60" i="40"/>
  <c r="G3" i="43"/>
  <c r="C11" i="39"/>
  <c r="E51" i="71"/>
  <c r="P52" i="71"/>
  <c r="O52" i="71"/>
  <c r="D52" i="71"/>
  <c r="C51" i="71"/>
  <c r="D68" i="71"/>
  <c r="C67" i="71"/>
  <c r="D67" i="71" s="1"/>
  <c r="T45" i="71"/>
  <c r="D45" i="71"/>
  <c r="T41" i="71"/>
  <c r="D41" i="71"/>
  <c r="D36" i="71"/>
  <c r="C37" i="71"/>
  <c r="I21" i="66"/>
  <c r="C29" i="66" s="1"/>
  <c r="C28" i="66"/>
  <c r="C27" i="66" s="1"/>
  <c r="D1" i="66"/>
  <c r="E10" i="66" s="1"/>
  <c r="AZ458" i="3"/>
  <c r="AZ443" i="3"/>
  <c r="AZ402" i="3"/>
  <c r="F7" i="12"/>
  <c r="K9" i="1"/>
  <c r="AC38" i="40"/>
  <c r="W38" i="40"/>
  <c r="O7" i="1"/>
  <c r="P7" i="1" s="1"/>
  <c r="F11" i="85"/>
  <c r="M11" i="85"/>
  <c r="F11" i="84"/>
  <c r="M11" i="84"/>
  <c r="F11" i="83"/>
  <c r="M11" i="83"/>
  <c r="AA25" i="39"/>
  <c r="S25" i="39"/>
  <c r="AC25" i="39"/>
  <c r="W25" i="39"/>
  <c r="W21" i="39"/>
  <c r="AC21" i="39"/>
  <c r="S21" i="39"/>
  <c r="AA21" i="39"/>
  <c r="C48" i="11"/>
  <c r="C30" i="11"/>
  <c r="C30" i="68"/>
  <c r="C48" i="68"/>
  <c r="C48" i="69"/>
  <c r="C30" i="69"/>
  <c r="H66" i="43"/>
  <c r="H65" i="43"/>
  <c r="H64" i="43"/>
  <c r="H63" i="43"/>
  <c r="H62" i="43"/>
  <c r="H61" i="43"/>
  <c r="H60" i="43"/>
  <c r="H59" i="43"/>
  <c r="H67" i="43"/>
  <c r="C16" i="43"/>
  <c r="D5" i="43" s="1"/>
  <c r="C34" i="69"/>
  <c r="E16" i="6"/>
  <c r="E51" i="40"/>
  <c r="E56" i="39"/>
  <c r="F31" i="6"/>
  <c r="E58" i="40"/>
  <c r="E63" i="39"/>
  <c r="E66" i="39" s="1"/>
  <c r="AZ18" i="3"/>
  <c r="BA5" i="3"/>
  <c r="E27" i="6" s="1"/>
  <c r="K4" i="4"/>
  <c r="B46" i="48" s="1"/>
  <c r="B4" i="72" s="1"/>
  <c r="B4" i="62"/>
  <c r="B71" i="72" s="1"/>
  <c r="F65" i="40"/>
  <c r="G63" i="40"/>
  <c r="D70" i="39"/>
  <c r="E68" i="39"/>
  <c r="P23" i="43"/>
  <c r="B71" i="39" s="1"/>
  <c r="C11" i="71"/>
  <c r="D11" i="71" s="1"/>
  <c r="D12" i="71"/>
  <c r="D25" i="71"/>
  <c r="M19" i="43" s="1"/>
  <c r="T25" i="71"/>
  <c r="G5" i="3"/>
  <c r="B3" i="3" s="1"/>
  <c r="AC36" i="35"/>
  <c r="W36" i="35"/>
  <c r="AA34" i="35"/>
  <c r="S34" i="35"/>
  <c r="AZ548" i="3"/>
  <c r="AZ5" i="3" s="1"/>
  <c r="K15" i="1"/>
  <c r="K16" i="1" s="1"/>
  <c r="E30" i="6"/>
  <c r="AB7" i="35"/>
  <c r="T38" i="35" s="1"/>
  <c r="G38" i="35" s="1"/>
  <c r="U7" i="35"/>
  <c r="AA7" i="35"/>
  <c r="R38" i="35" s="1"/>
  <c r="S7" i="35"/>
  <c r="AC7" i="37"/>
  <c r="V42" i="37" s="1"/>
  <c r="I42" i="37" s="1"/>
  <c r="W7" i="37"/>
  <c r="S7" i="34"/>
  <c r="AA7" i="34"/>
  <c r="R49" i="34" s="1"/>
  <c r="I52" i="33"/>
  <c r="J52" i="33" s="1"/>
  <c r="U7" i="34"/>
  <c r="AB7" i="34"/>
  <c r="T49" i="34" s="1"/>
  <c r="G49" i="34" s="1"/>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G53" i="33"/>
  <c r="H53" i="33" s="1"/>
  <c r="S7" i="37"/>
  <c r="AA7" i="37"/>
  <c r="R42" i="37" s="1"/>
  <c r="S7" i="36"/>
  <c r="AA7" i="36"/>
  <c r="R36" i="36" s="1"/>
  <c r="S7" i="21"/>
  <c r="AA7" i="21"/>
  <c r="R48" i="21" s="1"/>
  <c r="AC7" i="35"/>
  <c r="V38" i="35" s="1"/>
  <c r="I38" i="35" s="1"/>
  <c r="W7" i="35"/>
  <c r="P25" i="43"/>
  <c r="M11" i="15"/>
  <c r="F11" i="67"/>
  <c r="F11" i="15"/>
  <c r="M11" i="67"/>
  <c r="J10" i="67" s="1"/>
  <c r="Q74" i="15"/>
  <c r="Q61" i="15"/>
  <c r="M9" i="83"/>
  <c r="F38" i="83"/>
  <c r="F42" i="85"/>
  <c r="M26" i="85"/>
  <c r="F16" i="84"/>
  <c r="F37" i="84"/>
  <c r="M23" i="83"/>
  <c r="M8" i="83"/>
  <c r="M23" i="85"/>
  <c r="D4" i="73"/>
  <c r="M9" i="84"/>
  <c r="C16" i="67"/>
  <c r="M26" i="83"/>
  <c r="F40" i="85"/>
  <c r="F13" i="85"/>
  <c r="C76" i="84"/>
  <c r="F9" i="84"/>
  <c r="F6" i="83"/>
  <c r="F8" i="83"/>
  <c r="C76" i="85"/>
  <c r="F9" i="85"/>
  <c r="M8" i="84"/>
  <c r="F8" i="84"/>
  <c r="F36" i="83"/>
  <c r="F37" i="83"/>
  <c r="M29" i="85"/>
  <c r="D7" i="73"/>
  <c r="F13" i="84"/>
  <c r="F43" i="83"/>
  <c r="M29" i="83"/>
  <c r="M22" i="85"/>
  <c r="F36" i="85"/>
  <c r="M24" i="84"/>
  <c r="F26" i="84"/>
  <c r="F42" i="83"/>
  <c r="D3" i="73"/>
  <c r="M27" i="83"/>
  <c r="F38" i="85"/>
  <c r="M27" i="84"/>
  <c r="C16" i="15"/>
  <c r="M28" i="83"/>
  <c r="M6" i="83"/>
  <c r="F37" i="85"/>
  <c r="D5" i="73"/>
  <c r="L47" i="84"/>
  <c r="C17" i="67"/>
  <c r="L48" i="83"/>
  <c r="M27" i="85"/>
  <c r="L47" i="85"/>
  <c r="M26" i="84"/>
  <c r="L48" i="84"/>
  <c r="M24" i="83"/>
  <c r="C76" i="83"/>
  <c r="F7" i="85"/>
  <c r="F6" i="85"/>
  <c r="F43" i="84"/>
  <c r="M6" i="84"/>
  <c r="L47" i="83"/>
  <c r="F7" i="83"/>
  <c r="F43" i="85"/>
  <c r="D6" i="73"/>
  <c r="M28" i="84"/>
  <c r="C14" i="67"/>
  <c r="F13" i="83"/>
  <c r="M6" i="85"/>
  <c r="M28" i="85"/>
  <c r="M22" i="84"/>
  <c r="M29" i="84"/>
  <c r="F9" i="83"/>
  <c r="L48" i="85"/>
  <c r="M9" i="85"/>
  <c r="F42" i="84"/>
  <c r="F38" i="84"/>
  <c r="F16" i="83"/>
  <c r="F40" i="83"/>
  <c r="J15" i="85"/>
  <c r="M8" i="85"/>
  <c r="F36" i="84"/>
  <c r="F40" i="84"/>
  <c r="F26" i="83"/>
  <c r="F8" i="85"/>
  <c r="F26" i="85"/>
  <c r="F7" i="84"/>
  <c r="M23" i="84"/>
  <c r="J15" i="83"/>
  <c r="M24" i="85"/>
  <c r="J15" i="84"/>
  <c r="M22" i="83"/>
  <c r="F16" i="85"/>
  <c r="Q60" i="67" l="1"/>
  <c r="Q60" i="15"/>
  <c r="J5" i="67"/>
  <c r="J26" i="67" s="1"/>
  <c r="J29" i="67" s="1"/>
  <c r="F1" i="15"/>
  <c r="Q61" i="67"/>
  <c r="J10" i="15"/>
  <c r="J5" i="15" s="1"/>
  <c r="J18" i="15" s="1"/>
  <c r="C49" i="67"/>
  <c r="C27" i="84"/>
  <c r="F51" i="84"/>
  <c r="L56" i="84"/>
  <c r="L60" i="84"/>
  <c r="L57" i="84"/>
  <c r="J53" i="84"/>
  <c r="J60" i="84"/>
  <c r="Q48" i="84" s="1"/>
  <c r="I54" i="84"/>
  <c r="J57" i="84"/>
  <c r="J55" i="84" s="1"/>
  <c r="J58" i="84" s="1"/>
  <c r="Q50" i="84" s="1"/>
  <c r="J59" i="84"/>
  <c r="F66" i="84"/>
  <c r="F50" i="84"/>
  <c r="M7" i="84"/>
  <c r="J6" i="84" s="1"/>
  <c r="J10" i="84" s="1"/>
  <c r="J5" i="84" s="1"/>
  <c r="J26" i="84" s="1"/>
  <c r="K1" i="73"/>
  <c r="E20" i="43"/>
  <c r="F64" i="85"/>
  <c r="N59" i="85"/>
  <c r="L58" i="85"/>
  <c r="M59" i="85"/>
  <c r="L59" i="85" s="1"/>
  <c r="C27" i="85"/>
  <c r="F71" i="85"/>
  <c r="F66" i="85"/>
  <c r="Q71" i="85"/>
  <c r="F51" i="85"/>
  <c r="L56" i="85"/>
  <c r="L60" i="85"/>
  <c r="L57" i="85"/>
  <c r="J53" i="85"/>
  <c r="J57" i="85"/>
  <c r="J55" i="85" s="1"/>
  <c r="J58" i="85" s="1"/>
  <c r="Q50" i="85" s="1"/>
  <c r="I54" i="85"/>
  <c r="J60" i="85"/>
  <c r="Q48" i="85" s="1"/>
  <c r="J59" i="85"/>
  <c r="M7" i="83"/>
  <c r="J6" i="83" s="1"/>
  <c r="J10" i="83" s="1"/>
  <c r="J5" i="83" s="1"/>
  <c r="F50" i="83"/>
  <c r="F51" i="83"/>
  <c r="L57" i="83"/>
  <c r="L56" i="83"/>
  <c r="L60" i="83"/>
  <c r="J53" i="83"/>
  <c r="J60" i="83"/>
  <c r="Q48" i="83" s="1"/>
  <c r="J59" i="83"/>
  <c r="I54" i="83"/>
  <c r="J57" i="83"/>
  <c r="J55" i="83" s="1"/>
  <c r="J58" i="83" s="1"/>
  <c r="Q50" i="83" s="1"/>
  <c r="C27" i="83"/>
  <c r="L58" i="83"/>
  <c r="N59" i="83"/>
  <c r="M59" i="83"/>
  <c r="L59" i="83" s="1"/>
  <c r="F71" i="83"/>
  <c r="C6" i="83"/>
  <c r="C10" i="83" s="1"/>
  <c r="C5" i="83" s="1"/>
  <c r="F65" i="84"/>
  <c r="F68" i="84"/>
  <c r="N59" i="84"/>
  <c r="L58" i="84"/>
  <c r="M59" i="84"/>
  <c r="L59" i="84" s="1"/>
  <c r="F71" i="84"/>
  <c r="F64" i="84"/>
  <c r="Q71" i="84"/>
  <c r="C6" i="85"/>
  <c r="F65" i="85"/>
  <c r="F50" i="85"/>
  <c r="M7" i="85"/>
  <c r="J6" i="85" s="1"/>
  <c r="J10" i="85" s="1"/>
  <c r="J5" i="85" s="1"/>
  <c r="F68" i="85"/>
  <c r="F65" i="83"/>
  <c r="Q71" i="83"/>
  <c r="F66" i="83"/>
  <c r="F68" i="83"/>
  <c r="F64" i="83"/>
  <c r="C15" i="67"/>
  <c r="C18" i="67"/>
  <c r="D51" i="71"/>
  <c r="O50" i="71"/>
  <c r="O51" i="71"/>
  <c r="P50" i="71"/>
  <c r="P51" i="71"/>
  <c r="F11" i="39"/>
  <c r="J11" i="39"/>
  <c r="H11" i="39"/>
  <c r="R49" i="33"/>
  <c r="E48" i="33"/>
  <c r="AQ12" i="1"/>
  <c r="AR10" i="1"/>
  <c r="AQ13" i="1"/>
  <c r="AR11" i="1"/>
  <c r="AR12" i="1"/>
  <c r="AQ11" i="1"/>
  <c r="AQ10" i="1"/>
  <c r="AR13" i="1"/>
  <c r="M9" i="1"/>
  <c r="C32" i="66"/>
  <c r="C31" i="66"/>
  <c r="C30" i="66"/>
  <c r="T37" i="71"/>
  <c r="D37" i="71"/>
  <c r="K101" i="43"/>
  <c r="N101" i="43"/>
  <c r="C101" i="43"/>
  <c r="H22" i="43"/>
  <c r="M101" i="43"/>
  <c r="AJ11" i="43"/>
  <c r="AJ13" i="43" s="1"/>
  <c r="AF11" i="43"/>
  <c r="AF13" i="43" s="1"/>
  <c r="AB11" i="43"/>
  <c r="AB13" i="43" s="1"/>
  <c r="Z7" i="43"/>
  <c r="AG11" i="43"/>
  <c r="AG13" i="43" s="1"/>
  <c r="AC11" i="43"/>
  <c r="AC13" i="43" s="1"/>
  <c r="Y11" i="43"/>
  <c r="Y13" i="43" s="1"/>
  <c r="G101" i="43"/>
  <c r="L101" i="43"/>
  <c r="I101" i="43"/>
  <c r="J22" i="43"/>
  <c r="F101" i="43"/>
  <c r="E22" i="43"/>
  <c r="H101" i="43"/>
  <c r="E101" i="43"/>
  <c r="AH11" i="43"/>
  <c r="AH13" i="43" s="1"/>
  <c r="AD11" i="43"/>
  <c r="AD13" i="43" s="1"/>
  <c r="Z11" i="43"/>
  <c r="Z13" i="43" s="1"/>
  <c r="AI11" i="43"/>
  <c r="AI13" i="43" s="1"/>
  <c r="AE11" i="43"/>
  <c r="AE13" i="43" s="1"/>
  <c r="AA11" i="43"/>
  <c r="AA13" i="43" s="1"/>
  <c r="B113" i="43"/>
  <c r="J101" i="43"/>
  <c r="D101" i="43"/>
  <c r="G22" i="43"/>
  <c r="F22" i="43"/>
  <c r="N104" i="46"/>
  <c r="M8" i="1"/>
  <c r="Q16" i="1"/>
  <c r="G16" i="1"/>
  <c r="H16" i="1"/>
  <c r="T29" i="71"/>
  <c r="D29" i="71"/>
  <c r="C53" i="85"/>
  <c r="C10" i="85"/>
  <c r="C53" i="84"/>
  <c r="C10" i="84"/>
  <c r="C53" i="83"/>
  <c r="C5" i="43"/>
  <c r="C38" i="69"/>
  <c r="C35" i="69"/>
  <c r="E31" i="6"/>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S7" i="43"/>
  <c r="S2" i="43"/>
  <c r="S6" i="43"/>
  <c r="S4" i="43"/>
  <c r="S5" i="43"/>
  <c r="S3" i="43"/>
  <c r="F68" i="39"/>
  <c r="E70" i="39"/>
  <c r="G65" i="40"/>
  <c r="H63" i="40"/>
  <c r="AY6" i="3"/>
  <c r="E3" i="6"/>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E551" i="3"/>
  <c r="J24" i="67"/>
  <c r="J18" i="67"/>
  <c r="C53" i="67"/>
  <c r="C10" i="67"/>
  <c r="C5" i="67" s="1"/>
  <c r="J24" i="15"/>
  <c r="J26" i="15"/>
  <c r="C53" i="15"/>
  <c r="C48" i="15" s="1"/>
  <c r="C10" i="15"/>
  <c r="C5" i="15" s="1"/>
  <c r="AE6" i="1"/>
  <c r="G1" i="73"/>
  <c r="C16" i="83"/>
  <c r="C16" i="85"/>
  <c r="C17" i="15"/>
  <c r="C16" i="84"/>
  <c r="C5" i="85" l="1"/>
  <c r="C33" i="85" s="1"/>
  <c r="C48" i="67"/>
  <c r="C60" i="67" s="1"/>
  <c r="J26" i="83"/>
  <c r="J24" i="83"/>
  <c r="J18" i="84"/>
  <c r="J18" i="83"/>
  <c r="C19" i="67"/>
  <c r="C20" i="67" s="1"/>
  <c r="C26" i="67" s="1"/>
  <c r="J24" i="85"/>
  <c r="J26" i="85"/>
  <c r="J18" i="85"/>
  <c r="J24" i="84"/>
  <c r="C49" i="83"/>
  <c r="C48" i="83" s="1"/>
  <c r="B40" i="1"/>
  <c r="E6" i="70"/>
  <c r="F27" i="69"/>
  <c r="F27" i="68"/>
  <c r="F27" i="11"/>
  <c r="F28" i="12"/>
  <c r="C29" i="12" s="1"/>
  <c r="D28" i="12" s="1"/>
  <c r="O8" i="1"/>
  <c r="M16" i="1"/>
  <c r="D103" i="43"/>
  <c r="D107" i="43"/>
  <c r="D106" i="43"/>
  <c r="D109" i="43"/>
  <c r="D104" i="43"/>
  <c r="D105" i="43"/>
  <c r="D102" i="43"/>
  <c r="D118" i="43"/>
  <c r="E118" i="43" s="1"/>
  <c r="F118"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H103" i="43"/>
  <c r="H107" i="43"/>
  <c r="H105" i="43"/>
  <c r="H102" i="43"/>
  <c r="H104" i="43"/>
  <c r="H106" i="43"/>
  <c r="H109" i="43"/>
  <c r="F102" i="43"/>
  <c r="F104" i="43"/>
  <c r="F106" i="43"/>
  <c r="F109" i="43"/>
  <c r="F103" i="43"/>
  <c r="F107" i="43"/>
  <c r="F105" i="43"/>
  <c r="I106" i="43"/>
  <c r="I104" i="43"/>
  <c r="I105" i="43"/>
  <c r="I109" i="43"/>
  <c r="I102" i="43"/>
  <c r="I103" i="43"/>
  <c r="I107" i="43"/>
  <c r="G105" i="43"/>
  <c r="G107" i="43"/>
  <c r="G109" i="43"/>
  <c r="G106" i="43"/>
  <c r="G102" i="43"/>
  <c r="G104" i="43"/>
  <c r="G103" i="43"/>
  <c r="M109" i="43"/>
  <c r="M102" i="43"/>
  <c r="M103" i="43"/>
  <c r="M107" i="43"/>
  <c r="M106" i="43"/>
  <c r="M104" i="43"/>
  <c r="M105" i="43"/>
  <c r="C104" i="43"/>
  <c r="C103" i="43"/>
  <c r="C109" i="43"/>
  <c r="C105" i="43"/>
  <c r="C107" i="43"/>
  <c r="C102" i="43"/>
  <c r="C106" i="43"/>
  <c r="K102" i="43"/>
  <c r="K103" i="43"/>
  <c r="K104" i="43"/>
  <c r="K109" i="43"/>
  <c r="K106" i="43"/>
  <c r="K107" i="43"/>
  <c r="K105" i="43"/>
  <c r="I53" i="33"/>
  <c r="J53" i="33" s="1"/>
  <c r="E53" i="33"/>
  <c r="F53" i="33" s="1"/>
  <c r="E52" i="33"/>
  <c r="F52" i="33" s="1"/>
  <c r="U11" i="39"/>
  <c r="AB11" i="39"/>
  <c r="AA11" i="39"/>
  <c r="S11" i="39"/>
  <c r="Q74" i="84"/>
  <c r="Q61" i="84"/>
  <c r="Q61" i="83"/>
  <c r="Q74" i="83"/>
  <c r="Q60" i="83"/>
  <c r="Q73" i="83"/>
  <c r="F1" i="83"/>
  <c r="Q52" i="83"/>
  <c r="Q66" i="83"/>
  <c r="Q57" i="83"/>
  <c r="Q52" i="85"/>
  <c r="F1" i="85"/>
  <c r="Q73" i="85"/>
  <c r="Q60" i="85"/>
  <c r="M17" i="43"/>
  <c r="O17" i="43"/>
  <c r="P17" i="43"/>
  <c r="N17" i="43"/>
  <c r="G20" i="43" s="1"/>
  <c r="L46" i="84"/>
  <c r="Q66" i="84"/>
  <c r="Q57" i="84"/>
  <c r="C49" i="84"/>
  <c r="C48" i="84" s="1"/>
  <c r="H10" i="40"/>
  <c r="F10" i="40"/>
  <c r="F10" i="39"/>
  <c r="J10" i="40"/>
  <c r="H10" i="39"/>
  <c r="J10" i="39"/>
  <c r="J104" i="43"/>
  <c r="J107" i="43"/>
  <c r="J106" i="43"/>
  <c r="J109" i="43"/>
  <c r="J105" i="43"/>
  <c r="J102" i="43"/>
  <c r="J103" i="43"/>
  <c r="E109" i="43"/>
  <c r="E106" i="43"/>
  <c r="E104" i="43"/>
  <c r="E105" i="43"/>
  <c r="E102" i="43"/>
  <c r="E103" i="43"/>
  <c r="E107" i="43"/>
  <c r="D22" i="43"/>
  <c r="C21" i="43" s="1"/>
  <c r="L102" i="43"/>
  <c r="L104" i="43"/>
  <c r="L107" i="43"/>
  <c r="L109" i="43"/>
  <c r="L105" i="43"/>
  <c r="L106" i="43"/>
  <c r="L103" i="43"/>
  <c r="N107" i="43"/>
  <c r="N103" i="43"/>
  <c r="N104" i="43"/>
  <c r="N105" i="43"/>
  <c r="N102" i="43"/>
  <c r="N106" i="43"/>
  <c r="N109" i="43"/>
  <c r="E26" i="66"/>
  <c r="U8" i="1" s="1"/>
  <c r="O9" i="1"/>
  <c r="P9" i="1" s="1"/>
  <c r="C48" i="33"/>
  <c r="C49" i="33"/>
  <c r="W11" i="39"/>
  <c r="AC11" i="39"/>
  <c r="Q60" i="84"/>
  <c r="Q73" i="84"/>
  <c r="L46" i="83"/>
  <c r="L46" i="85"/>
  <c r="Q66" i="85"/>
  <c r="Q57" i="85"/>
  <c r="C49" i="85"/>
  <c r="C48" i="85" s="1"/>
  <c r="Q61" i="85"/>
  <c r="Q74" i="85"/>
  <c r="Q52" i="84"/>
  <c r="F1" i="84"/>
  <c r="C38" i="85"/>
  <c r="C38" i="83"/>
  <c r="C33" i="83"/>
  <c r="C32" i="83"/>
  <c r="AQ6" i="1"/>
  <c r="AR6" i="1"/>
  <c r="T6" i="1"/>
  <c r="M20" i="6"/>
  <c r="I20" i="6" s="1"/>
  <c r="S20" i="6" s="1"/>
  <c r="S7" i="1"/>
  <c r="M21" i="6"/>
  <c r="I21" i="6" s="1"/>
  <c r="S21" i="6" s="1"/>
  <c r="S8" i="1"/>
  <c r="M22" i="6"/>
  <c r="I22" i="6" s="1"/>
  <c r="S22" i="6" s="1"/>
  <c r="S9" i="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15"/>
  <c r="C32" i="15"/>
  <c r="C66" i="15"/>
  <c r="C60" i="15"/>
  <c r="C38" i="67"/>
  <c r="C32" i="67"/>
  <c r="F41" i="15"/>
  <c r="AE7" i="1"/>
  <c r="AE8" i="1"/>
  <c r="C14" i="15"/>
  <c r="C17" i="83"/>
  <c r="C17" i="84"/>
  <c r="C17" i="85"/>
  <c r="F6" i="84"/>
  <c r="AE9" i="1"/>
  <c r="C32" i="85" l="1"/>
  <c r="J29" i="15"/>
  <c r="F69" i="15"/>
  <c r="C66" i="67"/>
  <c r="C60" i="83"/>
  <c r="C66" i="83"/>
  <c r="C15" i="15"/>
  <c r="C18" i="15"/>
  <c r="C6" i="84"/>
  <c r="C5" i="84" s="1"/>
  <c r="C60" i="85"/>
  <c r="C66" i="85"/>
  <c r="C60" i="84"/>
  <c r="C66" i="84"/>
  <c r="E9" i="70"/>
  <c r="E8" i="70"/>
  <c r="S16" i="1"/>
  <c r="E7" i="70"/>
  <c r="U10" i="39"/>
  <c r="AB10" i="39"/>
  <c r="S10" i="39"/>
  <c r="AA10" i="39"/>
  <c r="U10" i="40"/>
  <c r="AB10" i="40"/>
  <c r="C20" i="43"/>
  <c r="E41" i="43"/>
  <c r="C41" i="43" s="1"/>
  <c r="D113" i="43"/>
  <c r="N16" i="1"/>
  <c r="L16" i="1"/>
  <c r="C29" i="68"/>
  <c r="D27" i="68" s="1"/>
  <c r="C47" i="68"/>
  <c r="D45" i="68" s="1"/>
  <c r="H38" i="39"/>
  <c r="J38" i="39"/>
  <c r="F38" i="39"/>
  <c r="AC10" i="39"/>
  <c r="W10" i="39"/>
  <c r="AC10" i="40"/>
  <c r="W10" i="40"/>
  <c r="S10" i="40"/>
  <c r="AA10" i="40"/>
  <c r="P8" i="1"/>
  <c r="P16" i="1" s="1"/>
  <c r="C11" i="12" s="1"/>
  <c r="O16" i="1"/>
  <c r="C47" i="11"/>
  <c r="D45" i="11" s="1"/>
  <c r="C29" i="11"/>
  <c r="D27" i="11" s="1"/>
  <c r="C29" i="69"/>
  <c r="D27" i="69" s="1"/>
  <c r="C47" i="69"/>
  <c r="D45" i="69" s="1"/>
  <c r="E2" i="70"/>
  <c r="F24" i="85"/>
  <c r="C24" i="85" s="1"/>
  <c r="F24" i="84"/>
  <c r="C24" i="84" s="1"/>
  <c r="F24" i="83"/>
  <c r="F24" i="67"/>
  <c r="F22" i="11"/>
  <c r="F25" i="12"/>
  <c r="C26" i="12" s="1"/>
  <c r="D25" i="12" s="1"/>
  <c r="F22" i="68"/>
  <c r="F22" i="69"/>
  <c r="F24" i="15"/>
  <c r="C24" i="15" s="1"/>
  <c r="AR9" i="1"/>
  <c r="AQ9" i="1"/>
  <c r="T9" i="1"/>
  <c r="AQ8" i="1"/>
  <c r="AR8" i="1"/>
  <c r="T8" i="1"/>
  <c r="AQ7" i="1"/>
  <c r="AR7" i="1"/>
  <c r="T7" i="1"/>
  <c r="E6" i="3"/>
  <c r="B2" i="21"/>
  <c r="B3" i="21" s="1"/>
  <c r="I19" i="6"/>
  <c r="M27" i="6"/>
  <c r="I65" i="40"/>
  <c r="J63" i="40"/>
  <c r="H68" i="39"/>
  <c r="G70" i="39"/>
  <c r="D10" i="68"/>
  <c r="D10" i="11"/>
  <c r="C10" i="11" s="1"/>
  <c r="D20" i="12"/>
  <c r="C20" i="12" s="1"/>
  <c r="C18" i="12" s="1"/>
  <c r="D10" i="69"/>
  <c r="C8" i="74"/>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20" i="11"/>
  <c r="B2" i="37"/>
  <c r="B3" i="37" s="1"/>
  <c r="C33" i="15"/>
  <c r="J59" i="15"/>
  <c r="J60" i="15" s="1"/>
  <c r="F41" i="84"/>
  <c r="C14" i="85"/>
  <c r="C14" i="83"/>
  <c r="C14" i="84"/>
  <c r="F41" i="83"/>
  <c r="F41" i="85"/>
  <c r="J29" i="85" l="1"/>
  <c r="F69" i="85"/>
  <c r="F69" i="83"/>
  <c r="J29" i="83"/>
  <c r="J29" i="84"/>
  <c r="F69" i="84"/>
  <c r="C19" i="15"/>
  <c r="C20" i="15" s="1"/>
  <c r="C26" i="15" s="1"/>
  <c r="C25" i="11"/>
  <c r="C15" i="83"/>
  <c r="C18" i="83"/>
  <c r="C15" i="85"/>
  <c r="C18" i="85"/>
  <c r="C15" i="84"/>
  <c r="C18" i="84"/>
  <c r="C12" i="12"/>
  <c r="C15" i="12"/>
  <c r="T16" i="1"/>
  <c r="C26" i="68"/>
  <c r="D22" i="68" s="1"/>
  <c r="C44" i="68"/>
  <c r="D41" i="68" s="1"/>
  <c r="C23" i="11"/>
  <c r="C24" i="11"/>
  <c r="C26" i="11"/>
  <c r="D22" i="11" s="1"/>
  <c r="C44" i="11"/>
  <c r="D41" i="11" s="1"/>
  <c r="C24" i="83"/>
  <c r="AA38" i="39"/>
  <c r="S38" i="39"/>
  <c r="AB38" i="39"/>
  <c r="U38" i="39"/>
  <c r="F34" i="11"/>
  <c r="F11" i="12"/>
  <c r="C14" i="12" s="1"/>
  <c r="F34" i="68"/>
  <c r="C38" i="84"/>
  <c r="C32" i="84"/>
  <c r="C44" i="69"/>
  <c r="D41" i="69" s="1"/>
  <c r="C26" i="69"/>
  <c r="D22" i="69" s="1"/>
  <c r="C24" i="67"/>
  <c r="C23" i="67"/>
  <c r="W38" i="39"/>
  <c r="AC38" i="39"/>
  <c r="H27" i="6"/>
  <c r="D16" i="6"/>
  <c r="D30" i="6"/>
  <c r="S19" i="6"/>
  <c r="S27" i="6" s="1"/>
  <c r="I27" i="6"/>
  <c r="R25" i="6"/>
  <c r="K63" i="40"/>
  <c r="J65" i="40"/>
  <c r="H70" i="39"/>
  <c r="I68" i="39"/>
  <c r="R24" i="6"/>
  <c r="R22" i="6"/>
  <c r="R9" i="1" s="1"/>
  <c r="R26" i="6"/>
  <c r="D8" i="74"/>
  <c r="C10" i="69"/>
  <c r="C8" i="69" s="1"/>
  <c r="C5" i="69" s="1"/>
  <c r="D19" i="69"/>
  <c r="C28" i="11"/>
  <c r="C27" i="11" s="1"/>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15"/>
  <c r="L46" i="15"/>
  <c r="C16" i="12" l="1"/>
  <c r="C21" i="12" s="1"/>
  <c r="C22" i="12" s="1"/>
  <c r="C19" i="85"/>
  <c r="C20" i="85" s="1"/>
  <c r="C26" i="85" s="1"/>
  <c r="C19" i="84"/>
  <c r="C20" i="84" s="1"/>
  <c r="C26" i="84" s="1"/>
  <c r="C22" i="11"/>
  <c r="C31" i="11" s="1"/>
  <c r="C19" i="83"/>
  <c r="C20" i="83" s="1"/>
  <c r="C23" i="15"/>
  <c r="C29" i="15" s="1"/>
  <c r="C29" i="67"/>
  <c r="C36" i="68"/>
  <c r="C34" i="68"/>
  <c r="C36" i="11"/>
  <c r="C34" i="11"/>
  <c r="C37" i="11"/>
  <c r="R27" i="6"/>
  <c r="R6" i="1"/>
  <c r="J68" i="39"/>
  <c r="I70" i="39"/>
  <c r="L63" i="40"/>
  <c r="K65" i="40"/>
  <c r="E38" i="43"/>
  <c r="G38" i="43"/>
  <c r="I38" i="43" s="1"/>
  <c r="G37" i="43"/>
  <c r="I37" i="43" s="1"/>
  <c r="E37" i="43"/>
  <c r="C19" i="68"/>
  <c r="D37" i="68"/>
  <c r="C37"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3" i="69"/>
  <c r="M21" i="84"/>
  <c r="M21" i="83"/>
  <c r="F35" i="15"/>
  <c r="F35" i="83"/>
  <c r="F35" i="84"/>
  <c r="F35" i="85"/>
  <c r="M21" i="15"/>
  <c r="M21" i="85"/>
  <c r="C23" i="84" l="1"/>
  <c r="C29" i="84" s="1"/>
  <c r="J14" i="84" s="1"/>
  <c r="C26" i="83"/>
  <c r="C23" i="83"/>
  <c r="C23" i="85"/>
  <c r="C29" i="85" s="1"/>
  <c r="J19" i="85" s="1"/>
  <c r="C57" i="84"/>
  <c r="C35" i="11"/>
  <c r="C38" i="11"/>
  <c r="C38" i="68"/>
  <c r="C35" i="68"/>
  <c r="C33" i="67"/>
  <c r="C31" i="67" s="1"/>
  <c r="C57" i="67"/>
  <c r="J19" i="67"/>
  <c r="J17" i="67" s="1"/>
  <c r="C36" i="67"/>
  <c r="J14" i="67"/>
  <c r="C13" i="67"/>
  <c r="Q49" i="67"/>
  <c r="J59" i="67"/>
  <c r="J60" i="67" s="1"/>
  <c r="J19" i="15"/>
  <c r="C57" i="15"/>
  <c r="C13" i="15"/>
  <c r="Q49" i="15"/>
  <c r="C36" i="15"/>
  <c r="J14" i="15"/>
  <c r="F63" i="85"/>
  <c r="C62" i="85" s="1"/>
  <c r="C34" i="85"/>
  <c r="C31" i="85" s="1"/>
  <c r="J20" i="85"/>
  <c r="F63" i="84"/>
  <c r="C62" i="84" s="1"/>
  <c r="C34" i="84"/>
  <c r="J20" i="84"/>
  <c r="J20" i="83"/>
  <c r="F63" i="83"/>
  <c r="C62" i="83" s="1"/>
  <c r="C34" i="83"/>
  <c r="C31" i="83" s="1"/>
  <c r="J20" i="15"/>
  <c r="F63" i="15"/>
  <c r="C62" i="15" s="1"/>
  <c r="C34" i="15"/>
  <c r="C31" i="15" s="1"/>
  <c r="R16" i="1"/>
  <c r="C20" i="69"/>
  <c r="C25" i="69" s="1"/>
  <c r="C22" i="69" s="1"/>
  <c r="L65" i="40"/>
  <c r="M63" i="40"/>
  <c r="K68" i="39"/>
  <c r="J70" i="39"/>
  <c r="C39" i="69"/>
  <c r="C42" i="69"/>
  <c r="C26" i="43"/>
  <c r="C27" i="43"/>
  <c r="C24" i="68"/>
  <c r="L57" i="15"/>
  <c r="L60" i="15" s="1"/>
  <c r="E6" i="76"/>
  <c r="C33" i="11" l="1"/>
  <c r="C39" i="11" s="1"/>
  <c r="C43" i="11" s="1"/>
  <c r="J14" i="85"/>
  <c r="J22" i="85" s="1"/>
  <c r="Q49" i="84"/>
  <c r="C33" i="84"/>
  <c r="C31" i="84" s="1"/>
  <c r="C57" i="85"/>
  <c r="C61" i="85" s="1"/>
  <c r="C59" i="85" s="1"/>
  <c r="J19" i="84"/>
  <c r="C13" i="85"/>
  <c r="C37" i="85" s="1"/>
  <c r="J17" i="85"/>
  <c r="Q49" i="85"/>
  <c r="C36" i="85"/>
  <c r="C29" i="83"/>
  <c r="C57" i="83" s="1"/>
  <c r="C36" i="84"/>
  <c r="C13" i="84"/>
  <c r="C56" i="84" s="1"/>
  <c r="C65" i="84" s="1"/>
  <c r="C33" i="68"/>
  <c r="C42" i="68" s="1"/>
  <c r="J17" i="15"/>
  <c r="J17" i="84"/>
  <c r="C56" i="15"/>
  <c r="C65" i="15" s="1"/>
  <c r="C75" i="15"/>
  <c r="Q70" i="15"/>
  <c r="C37" i="15"/>
  <c r="C30" i="15" s="1"/>
  <c r="C39" i="15" s="1"/>
  <c r="Q69" i="15" s="1"/>
  <c r="L46" i="67"/>
  <c r="Q48" i="67"/>
  <c r="C37" i="67"/>
  <c r="C30" i="67" s="1"/>
  <c r="C39" i="67" s="1"/>
  <c r="C56" i="67"/>
  <c r="C65" i="67" s="1"/>
  <c r="C75" i="67"/>
  <c r="C80" i="67" s="1"/>
  <c r="C79" i="67" s="1"/>
  <c r="Q70" i="67"/>
  <c r="C64" i="67"/>
  <c r="C61" i="67"/>
  <c r="C59" i="67" s="1"/>
  <c r="C42" i="11"/>
  <c r="C75" i="84"/>
  <c r="J22" i="15"/>
  <c r="J13" i="15"/>
  <c r="J23" i="15" s="1"/>
  <c r="C64" i="15"/>
  <c r="C61" i="15"/>
  <c r="C59" i="15" s="1"/>
  <c r="J14" i="83"/>
  <c r="J22" i="67"/>
  <c r="J13" i="67"/>
  <c r="J23" i="67" s="1"/>
  <c r="C64" i="85"/>
  <c r="J13" i="84"/>
  <c r="J23" i="84" s="1"/>
  <c r="J22" i="84"/>
  <c r="C61" i="84"/>
  <c r="C59" i="84" s="1"/>
  <c r="C64" i="84"/>
  <c r="C28" i="69"/>
  <c r="C27" i="69" s="1"/>
  <c r="C31" i="69" s="1"/>
  <c r="K70" i="39"/>
  <c r="L68" i="39"/>
  <c r="N63" i="40"/>
  <c r="M65" i="40"/>
  <c r="E2" i="76"/>
  <c r="C46" i="69"/>
  <c r="C45" i="69" s="1"/>
  <c r="C43" i="69"/>
  <c r="C41" i="69" s="1"/>
  <c r="B2" i="43"/>
  <c r="Q57" i="15"/>
  <c r="Q66" i="15"/>
  <c r="B6" i="76"/>
  <c r="L51" i="15"/>
  <c r="C75" i="85" l="1"/>
  <c r="Q70" i="85"/>
  <c r="J19" i="83"/>
  <c r="J17" i="83" s="1"/>
  <c r="J13" i="85"/>
  <c r="J23" i="85" s="1"/>
  <c r="C56" i="85"/>
  <c r="C65" i="85" s="1"/>
  <c r="C58" i="85" s="1"/>
  <c r="C67" i="85" s="1"/>
  <c r="C68" i="85" s="1"/>
  <c r="C71" i="85" s="1"/>
  <c r="Q49" i="83"/>
  <c r="C39" i="68"/>
  <c r="C43" i="68" s="1"/>
  <c r="C41" i="68" s="1"/>
  <c r="C40" i="15"/>
  <c r="C83" i="15" s="1"/>
  <c r="C82" i="15" s="1"/>
  <c r="J16" i="84"/>
  <c r="J25" i="84" s="1"/>
  <c r="C30" i="85"/>
  <c r="C39" i="85" s="1"/>
  <c r="C40" i="85" s="1"/>
  <c r="D44" i="85" s="1"/>
  <c r="J16" i="67"/>
  <c r="J25" i="67" s="1"/>
  <c r="C80" i="15"/>
  <c r="C79" i="15" s="1"/>
  <c r="C13" i="83"/>
  <c r="Q70" i="83" s="1"/>
  <c r="C36" i="83"/>
  <c r="Q70" i="84"/>
  <c r="C37" i="84"/>
  <c r="C30" i="84" s="1"/>
  <c r="C39" i="84" s="1"/>
  <c r="Q69" i="84" s="1"/>
  <c r="J16" i="15"/>
  <c r="J25" i="15" s="1"/>
  <c r="C46" i="11"/>
  <c r="C45" i="11" s="1"/>
  <c r="J16" i="85"/>
  <c r="J25" i="85" s="1"/>
  <c r="C41" i="11"/>
  <c r="C49" i="11" s="1"/>
  <c r="C51" i="11" s="1"/>
  <c r="C52" i="11" s="1"/>
  <c r="B2" i="11" s="1"/>
  <c r="B3" i="11" s="1"/>
  <c r="Q68" i="15"/>
  <c r="C58" i="84"/>
  <c r="C67" i="84" s="1"/>
  <c r="C68" i="84" s="1"/>
  <c r="C71" i="84" s="1"/>
  <c r="C58" i="15"/>
  <c r="C67" i="15" s="1"/>
  <c r="C68" i="15" s="1"/>
  <c r="C71" i="15" s="1"/>
  <c r="Q67" i="15"/>
  <c r="Q69" i="85"/>
  <c r="Q68" i="85" s="1"/>
  <c r="C40" i="84"/>
  <c r="B2" i="84" s="1"/>
  <c r="E8" i="12" s="1"/>
  <c r="C61" i="83"/>
  <c r="C59" i="83" s="1"/>
  <c r="C64" i="83"/>
  <c r="Q69" i="67"/>
  <c r="Q68" i="67" s="1"/>
  <c r="C40" i="67"/>
  <c r="J22" i="83"/>
  <c r="J13" i="83"/>
  <c r="J23" i="83" s="1"/>
  <c r="C58" i="67"/>
  <c r="C67" i="67" s="1"/>
  <c r="C68" i="67" s="1"/>
  <c r="F7" i="40"/>
  <c r="C49" i="69"/>
  <c r="C51" i="69" s="1"/>
  <c r="C52" i="69" s="1"/>
  <c r="B2" i="69" s="1"/>
  <c r="B3" i="69" s="1"/>
  <c r="O63" i="40"/>
  <c r="O65" i="40" s="1"/>
  <c r="N65" i="40"/>
  <c r="M68" i="39"/>
  <c r="L70" i="39"/>
  <c r="B2" i="76"/>
  <c r="B3" i="76" s="1"/>
  <c r="B3" i="43"/>
  <c r="L51" i="85"/>
  <c r="L51" i="84"/>
  <c r="AO8" i="1"/>
  <c r="L51" i="67"/>
  <c r="Q56" i="84" l="1"/>
  <c r="Q62" i="84" s="1"/>
  <c r="C80" i="84"/>
  <c r="C79" i="84" s="1"/>
  <c r="C80" i="85"/>
  <c r="C79" i="85" s="1"/>
  <c r="C46" i="68"/>
  <c r="C45" i="68" s="1"/>
  <c r="C49" i="68" s="1"/>
  <c r="C51" i="68" s="1"/>
  <c r="Q68" i="84"/>
  <c r="C83" i="84"/>
  <c r="C82" i="84" s="1"/>
  <c r="Q56" i="15"/>
  <c r="Q62" i="15" s="1"/>
  <c r="Q47" i="15"/>
  <c r="Q53" i="15" s="1"/>
  <c r="Q65" i="15"/>
  <c r="Q75" i="15" s="1"/>
  <c r="C46" i="85"/>
  <c r="C37" i="83"/>
  <c r="C30" i="83" s="1"/>
  <c r="C39" i="83" s="1"/>
  <c r="Q69" i="83" s="1"/>
  <c r="Q68" i="83" s="1"/>
  <c r="B2" i="15"/>
  <c r="B3" i="15" s="1"/>
  <c r="C6" i="12" s="1"/>
  <c r="C43" i="15"/>
  <c r="Q65" i="85"/>
  <c r="Q75" i="85" s="1"/>
  <c r="C56" i="83"/>
  <c r="C65" i="83" s="1"/>
  <c r="C58" i="83" s="1"/>
  <c r="C67" i="83" s="1"/>
  <c r="C68" i="83" s="1"/>
  <c r="C71" i="83" s="1"/>
  <c r="C43" i="85"/>
  <c r="Q47" i="85"/>
  <c r="Q53" i="85" s="1"/>
  <c r="C75" i="83"/>
  <c r="C83" i="85"/>
  <c r="C82" i="85" s="1"/>
  <c r="Q56" i="85"/>
  <c r="Q62" i="85" s="1"/>
  <c r="B2" i="85"/>
  <c r="C46" i="84"/>
  <c r="J16" i="83"/>
  <c r="J25" i="83" s="1"/>
  <c r="C46" i="15"/>
  <c r="C43" i="84"/>
  <c r="Q65" i="84"/>
  <c r="Q75" i="84" s="1"/>
  <c r="Q47" i="84"/>
  <c r="Q53" i="84" s="1"/>
  <c r="Q67" i="67"/>
  <c r="L57" i="67"/>
  <c r="L60" i="67" s="1"/>
  <c r="Q67" i="84"/>
  <c r="Q67" i="85"/>
  <c r="Q47" i="67"/>
  <c r="Q53" i="67" s="1"/>
  <c r="C43" i="67"/>
  <c r="C83" i="67"/>
  <c r="C82" i="67" s="1"/>
  <c r="Q65" i="67"/>
  <c r="Q56" i="67"/>
  <c r="D2" i="67"/>
  <c r="C56" i="11"/>
  <c r="C57" i="11" s="1"/>
  <c r="C45" i="67"/>
  <c r="C46" i="67" s="1"/>
  <c r="C71" i="67"/>
  <c r="B8" i="70"/>
  <c r="B3" i="84"/>
  <c r="E6" i="12" s="1"/>
  <c r="M70" i="39"/>
  <c r="N68" i="39"/>
  <c r="H7" i="40"/>
  <c r="J7" i="40"/>
  <c r="S7" i="40"/>
  <c r="AA7" i="40"/>
  <c r="R42" i="40" s="1"/>
  <c r="C57" i="69"/>
  <c r="C56" i="69" s="1"/>
  <c r="AO6" i="1"/>
  <c r="AO9" i="1"/>
  <c r="L51" i="83"/>
  <c r="B3" i="85" l="1"/>
  <c r="F6" i="12" s="1"/>
  <c r="F8" i="12"/>
  <c r="C40" i="83"/>
  <c r="Q47" i="83" s="1"/>
  <c r="Q53" i="83" s="1"/>
  <c r="C80" i="83"/>
  <c r="C79" i="83" s="1"/>
  <c r="B6" i="70"/>
  <c r="C8" i="12"/>
  <c r="B9" i="70"/>
  <c r="Q67" i="83"/>
  <c r="Q57" i="67"/>
  <c r="Q62" i="67" s="1"/>
  <c r="Q66" i="67"/>
  <c r="Q75" i="67" s="1"/>
  <c r="B3" i="67"/>
  <c r="B2" i="67"/>
  <c r="R43" i="40"/>
  <c r="E42" i="40"/>
  <c r="U7" i="40"/>
  <c r="AB7" i="40"/>
  <c r="T42" i="40" s="1"/>
  <c r="G42" i="40" s="1"/>
  <c r="O68" i="39"/>
  <c r="O70" i="39" s="1"/>
  <c r="N70" i="39"/>
  <c r="AC7" i="40"/>
  <c r="V42" i="40" s="1"/>
  <c r="I42" i="40" s="1"/>
  <c r="W7" i="40"/>
  <c r="Q56" i="83" l="1"/>
  <c r="Q62" i="83" s="1"/>
  <c r="C46" i="83"/>
  <c r="C83" i="83"/>
  <c r="C82" i="83" s="1"/>
  <c r="B2" i="83"/>
  <c r="D8" i="12" s="1"/>
  <c r="C43" i="83"/>
  <c r="Q65" i="83"/>
  <c r="Q75" i="83" s="1"/>
  <c r="I46" i="40"/>
  <c r="J46" i="40" s="1"/>
  <c r="I47" i="40"/>
  <c r="J47" i="40" s="1"/>
  <c r="H7" i="39"/>
  <c r="J7" i="39"/>
  <c r="F7" i="39"/>
  <c r="G47" i="40"/>
  <c r="H47" i="40" s="1"/>
  <c r="G46" i="40"/>
  <c r="H46" i="40" s="1"/>
  <c r="E47" i="40"/>
  <c r="F47" i="40" s="1"/>
  <c r="E46" i="40"/>
  <c r="F46" i="40" s="1"/>
  <c r="C42" i="40"/>
  <c r="C43" i="40"/>
  <c r="AO7" i="1"/>
  <c r="B3" i="83" l="1"/>
  <c r="D6" i="12" s="1"/>
  <c r="B7" i="70"/>
  <c r="B2" i="70" s="1"/>
  <c r="B3" i="70" s="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I51" i="39" l="1"/>
  <c r="J51" i="39" s="1"/>
  <c r="E47" i="39"/>
  <c r="R48" i="39"/>
  <c r="G52" i="39"/>
  <c r="H52" i="39" s="1"/>
  <c r="G51" i="39"/>
  <c r="H51" i="39" s="1"/>
  <c r="C48" i="39" l="1"/>
  <c r="C47" i="39"/>
  <c r="E51" i="39"/>
  <c r="F51" i="39" s="1"/>
  <c r="E52" i="39"/>
  <c r="F52"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C19" i="9"/>
  <c r="B3" i="68" l="1"/>
  <c r="C57" i="68"/>
  <c r="C56" i="68" s="1"/>
  <c r="C102" i="9"/>
  <c r="C21" i="9"/>
  <c r="C20" i="9"/>
  <c r="D34" i="9"/>
  <c r="D35" i="9"/>
  <c r="C103" i="9" l="1"/>
  <c r="C4" i="12"/>
  <c r="C31" i="12" l="1"/>
  <c r="C23" i="12"/>
  <c r="C27" i="12" l="1"/>
  <c r="C25" i="12" s="1"/>
  <c r="C32" i="12" s="1"/>
  <c r="B2" i="12" s="1"/>
  <c r="C30" i="12"/>
  <c r="C28" i="12" s="1"/>
  <c r="D19" i="9"/>
  <c r="D102" i="9" l="1"/>
  <c r="D21" i="9"/>
  <c r="D22" i="9"/>
  <c r="G19" i="9"/>
  <c r="B3" i="12"/>
  <c r="D20" i="9"/>
  <c r="D103" i="9" l="1"/>
  <c r="G20" i="9"/>
  <c r="G21" i="9"/>
  <c r="C32" i="9"/>
  <c r="C35" i="9" l="1"/>
  <c r="F118" i="9" s="1"/>
  <c r="H118" i="9"/>
  <c r="C34" i="9" l="1"/>
  <c r="D118" i="9" s="1"/>
  <c r="D119" i="9" s="1"/>
  <c r="D5" i="52" s="1"/>
  <c r="B49" i="72" s="1"/>
  <c r="D4" i="52"/>
  <c r="B47" i="72" s="1"/>
  <c r="H4" i="52"/>
  <c r="D14" i="74"/>
  <c r="I118" i="9"/>
  <c r="C104" i="9"/>
  <c r="H119" i="9"/>
  <c r="H5" i="52" s="1"/>
  <c r="H101" i="9"/>
  <c r="G118" i="9"/>
  <c r="G4" i="52" s="1"/>
  <c r="B52" i="72" s="1"/>
  <c r="F4" i="52"/>
  <c r="B51" i="72" s="1"/>
  <c r="F119" i="9"/>
  <c r="F5" i="52" s="1"/>
  <c r="B53" i="72" s="1"/>
  <c r="I4" i="52" l="1"/>
  <c r="H102" i="9"/>
  <c r="D7" i="53" s="1"/>
  <c r="B21" i="72" s="1"/>
  <c r="C105" i="9"/>
  <c r="E118" i="9"/>
  <c r="E4" i="52" s="1"/>
  <c r="B48" i="72" s="1"/>
  <c r="D5" i="53"/>
  <c r="H107" i="9"/>
  <c r="M48" i="9"/>
  <c r="H109" i="9"/>
  <c r="D45" i="9"/>
  <c r="F14" i="74"/>
  <c r="E14" i="74"/>
  <c r="B5" i="74"/>
  <c r="D124" i="9" l="1"/>
  <c r="M49" i="9"/>
  <c r="H110" i="9"/>
  <c r="D18" i="53" s="1"/>
  <c r="B35" i="72" s="1"/>
  <c r="D16" i="53"/>
  <c r="D5" i="74"/>
  <c r="C5" i="74"/>
  <c r="D13" i="53"/>
  <c r="D122" i="9"/>
  <c r="H108" i="9"/>
  <c r="D15" i="53" s="1"/>
  <c r="B31" i="72" s="1"/>
  <c r="D53" i="9"/>
  <c r="C93" i="9"/>
  <c r="C86" i="9" s="1"/>
  <c r="C78" i="9"/>
  <c r="C73" i="9" s="1"/>
  <c r="C85" i="9"/>
  <c r="C72" i="9"/>
  <c r="C79" i="9" s="1"/>
  <c r="D52" i="9"/>
  <c r="C64" i="9"/>
  <c r="C63" i="9" s="1"/>
  <c r="C67" i="9" s="1"/>
  <c r="C68" i="9" s="1"/>
  <c r="D54" i="9" s="1"/>
  <c r="D55" i="9"/>
  <c r="M53" i="9" s="1"/>
  <c r="B20" i="72"/>
  <c r="D6" i="53"/>
  <c r="B22" i="72" s="1"/>
  <c r="C95" i="9" l="1"/>
  <c r="C80" i="9"/>
  <c r="E80" i="9" s="1"/>
  <c r="E81" i="9" s="1"/>
  <c r="D8" i="52"/>
  <c r="G14" i="74"/>
  <c r="B6" i="74" s="1"/>
  <c r="D123" i="9"/>
  <c r="D9" i="52" s="1"/>
  <c r="B34" i="72"/>
  <c r="D17" i="53"/>
  <c r="B36" i="72" s="1"/>
  <c r="L64" i="9"/>
  <c r="M64" i="9" s="1"/>
  <c r="L65" i="9"/>
  <c r="M65" i="9" s="1"/>
  <c r="L66" i="9"/>
  <c r="M66" i="9" s="1"/>
  <c r="L67" i="9"/>
  <c r="M67" i="9" s="1"/>
  <c r="L68" i="9"/>
  <c r="M68" i="9" s="1"/>
  <c r="L63" i="9"/>
  <c r="M63" i="9" s="1"/>
  <c r="C96" i="9"/>
  <c r="E96" i="9" s="1"/>
  <c r="E97" i="9" s="1"/>
  <c r="C97" i="9"/>
  <c r="D58" i="9" s="1"/>
  <c r="D56" i="9" s="1"/>
  <c r="M54" i="9" s="1"/>
  <c r="N57" i="9" s="1"/>
  <c r="D14" i="53"/>
  <c r="B32" i="72" s="1"/>
  <c r="B30" i="72"/>
  <c r="D10" i="52"/>
  <c r="H14" i="74"/>
  <c r="B7" i="74" s="1"/>
  <c r="D125" i="9"/>
  <c r="D11" i="52" s="1"/>
  <c r="P57" i="9" l="1"/>
  <c r="N58" i="9"/>
  <c r="N59" i="9"/>
  <c r="M69" i="9"/>
  <c r="N69" i="9" s="1"/>
  <c r="C6" i="74"/>
  <c r="D6" i="74"/>
  <c r="C7" i="74"/>
  <c r="D7" i="74"/>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<sst xmlns="http://schemas.openxmlformats.org/spreadsheetml/2006/main" count="8848" uniqueCount="3193">
  <si>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</si>
  <si>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</si>
  <si>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</si>
  <si>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</si>
  <si>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</si>
  <si>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</si>
  <si>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</si>
  <si>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</si>
  <si>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</si>
  <si>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</si>
  <si>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</si>
  <si>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</si>
  <si>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</si>
  <si>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</si>
  <si>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</si>
  <si>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</si>
  <si>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</si>
  <si>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</si>
  <si>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</si>
  <si>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</si>
  <si>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</si>
  <si>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</si>
  <si>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</si>
  <si>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</si>
  <si>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</si>
  <si>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</si>
  <si>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</si>
  <si>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</si>
  <si>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</si>
  <si>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</si>
  <si>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</si>
  <si>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</si>
  <si>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</si>
  <si>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</si>
  <si>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</si>
  <si>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</si>
  <si>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</si>
  <si>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</si>
  <si>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</si>
  <si>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</si>
  <si>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</si>
  <si>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</si>
  <si>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</si>
  <si>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</si>
  <si>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</si>
  <si>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</si>
  <si>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</si>
  <si>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</si>
  <si>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</si>
  <si>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</si>
  <si>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</si>
  <si>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</si>
  <si>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</si>
  <si>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</si>
  <si>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</si>
  <si>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</si>
  <si>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</si>
  <si>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</si>
  <si>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</si>
  <si>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</si>
  <si>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</si>
  <si>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</si>
  <si>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</si>
  <si>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</si>
  <si>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</si>
  <si>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</si>
  <si>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</si>
  <si>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</si>
  <si>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</si>
  <si>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</si>
  <si>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</si>
  <si>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</si>
  <si>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</si>
  <si>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</si>
  <si>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</si>
  <si>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</si>
  <si>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</si>
  <si>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</si>
  <si>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</si>
  <si>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</si>
  <si>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</si>
  <si>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</si>
  <si>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</si>
  <si>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</si>
  <si>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</si>
  <si>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</si>
  <si>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</si>
  <si>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</si>
  <si>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</si>
  <si>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</si>
  <si>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</si>
  <si>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</si>
  <si>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</si>
  <si>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</si>
  <si>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</si>
  <si>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</si>
  <si>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</si>
  <si>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</si>
  <si>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</si>
  <si>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</si>
  <si>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</si>
  <si>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</si>
  <si>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</si>
  <si>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</si>
  <si>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</si>
  <si>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</si>
  <si>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</si>
  <si>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</si>
  <si>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</si>
  <si>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</si>
  <si>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</si>
  <si>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</si>
  <si>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</si>
  <si>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</si>
  <si>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</si>
  <si>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</si>
  <si>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</si>
  <si>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</si>
  <si>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</si>
  <si>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</si>
  <si>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</si>
  <si>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</si>
  <si>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</si>
  <si>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</si>
  <si>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</si>
  <si>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</si>
  <si>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</si>
  <si>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</si>
  <si>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</si>
  <si>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</si>
  <si>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</si>
  <si>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</si>
  <si>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</si>
  <si>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</si>
  <si>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</si>
  <si>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</si>
  <si>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</si>
  <si>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</si>
  <si>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</si>
  <si>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</si>
  <si>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</si>
  <si>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</si>
  <si>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</si>
  <si>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</si>
  <si>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</si>
  <si>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</si>
  <si>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</si>
  <si>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</si>
  <si>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</si>
  <si>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</si>
  <si>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</si>
  <si>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</si>
  <si>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</si>
  <si>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</si>
  <si>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</si>
  <si>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</si>
  <si>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</si>
  <si>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</si>
  <si>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</si>
  <si>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</si>
  <si>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</si>
  <si>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</si>
  <si>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</si>
  <si>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</si>
  <si>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</si>
  <si>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</si>
  <si>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</si>
  <si>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</si>
  <si>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</si>
  <si>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</si>
  <si>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</si>
  <si>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</si>
  <si>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</si>
  <si>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</si>
  <si>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</si>
  <si>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</si>
  <si>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</si>
  <si>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</si>
  <si>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</si>
  <si>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</si>
  <si>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</si>
  <si>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</si>
  <si>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</si>
  <si>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</si>
  <si>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</si>
  <si>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</si>
  <si>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</si>
  <si>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</si>
  <si>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</si>
  <si>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</si>
  <si>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</si>
  <si>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</si>
  <si>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</si>
  <si>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</si>
  <si>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</si>
  <si>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</si>
  <si>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</si>
  <si>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</si>
  <si>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</si>
  <si>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</si>
  <si>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</si>
  <si>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</si>
  <si>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</si>
  <si>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</si>
  <si>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</si>
  <si>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</si>
  <si>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</si>
  <si>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</si>
  <si>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</si>
  <si>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</si>
  <si>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</si>
  <si>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</si>
  <si>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</si>
  <si>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</si>
  <si>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</si>
  <si>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</si>
  <si>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</si>
  <si>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</si>
  <si>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</si>
  <si>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</si>
  <si>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</si>
  <si>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</si>
  <si>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</si>
  <si>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</si>
  <si>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</si>
  <si>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</si>
  <si>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</si>
  <si>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</si>
  <si>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</si>
  <si>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</si>
  <si>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</si>
  <si>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</si>
  <si>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</si>
  <si>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</si>
  <si>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</si>
  <si>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</si>
  <si>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</si>
  <si>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</si>
  <si>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</si>
  <si>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</si>
  <si>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</si>
  <si>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</si>
  <si>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</si>
  <si>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</si>
  <si>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</si>
  <si>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</si>
  <si>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</si>
  <si>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</si>
  <si>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</si>
  <si>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</si>
  <si>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</si>
  <si>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</si>
  <si>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</si>
  <si>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</si>
  <si>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</si>
  <si>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</si>
  <si>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</si>
  <si>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</si>
  <si>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</si>
  <si>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</si>
  <si>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</si>
  <si>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</si>
  <si>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</si>
  <si>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</si>
  <si>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</si>
  <si>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</si>
  <si>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</si>
  <si>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</si>
  <si>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</si>
  <si>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</si>
  <si>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</si>
  <si>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</si>
  <si>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</si>
  <si>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</si>
  <si>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</si>
  <si>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</si>
  <si>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</si>
  <si>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</si>
  <si>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</si>
  <si>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</si>
  <si>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</si>
  <si>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</si>
  <si>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</si>
  <si>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</si>
  <si>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</si>
  <si>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</si>
  <si>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</si>
  <si>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</si>
  <si>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</si>
  <si>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</si>
  <si>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</si>
  <si>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</si>
  <si>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</si>
  <si>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</si>
  <si>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</si>
  <si>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</si>
  <si>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</si>
  <si>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</si>
  <si>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</si>
  <si>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</si>
  <si>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</si>
  <si>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</si>
  <si>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</si>
  <si>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</si>
  <si>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</si>
  <si>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</si>
  <si>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</si>
  <si>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</si>
  <si>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</si>
  <si>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</si>
  <si>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</si>
  <si>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</si>
  <si>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</si>
  <si>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</si>
  <si>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</si>
  <si>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</si>
  <si>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</si>
  <si>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</si>
  <si>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</si>
  <si>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</si>
  <si>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</si>
  <si>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</si>
  <si>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</si>
  <si>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</si>
  <si>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</si>
  <si>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</si>
  <si>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</si>
  <si>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</si>
  <si>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</si>
  <si>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</si>
  <si>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</si>
  <si>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</si>
  <si>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</si>
  <si>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</si>
  <si>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</si>
  <si>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</si>
  <si>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</si>
  <si>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</si>
  <si>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</si>
  <si>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</si>
  <si>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</si>
  <si>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</si>
  <si>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</si>
  <si>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</si>
  <si>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</si>
  <si>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</si>
  <si>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</si>
  <si>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</si>
  <si>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</si>
  <si>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</si>
  <si>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</si>
  <si>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</si>
  <si>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</si>
  <si>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</si>
  <si>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</si>
  <si>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</si>
  <si>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</si>
  <si>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</si>
  <si>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</si>
  <si>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</si>
  <si>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</si>
  <si>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</si>
  <si>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</si>
  <si>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</si>
  <si>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</si>
  <si>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</si>
  <si>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</si>
  <si>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</si>
  <si>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</si>
  <si>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</si>
  <si>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</si>
  <si>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</si>
  <si>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</si>
  <si>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</si>
  <si>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</si>
  <si>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</si>
  <si>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</si>
  <si>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</si>
  <si>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</si>
  <si>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</si>
  <si>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</si>
  <si>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</si>
  <si>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</si>
  <si>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</si>
  <si>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</si>
  <si>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</si>
  <si>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</si>
  <si>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</si>
  <si>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</si>
  <si>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</si>
  <si>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</si>
  <si>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</si>
  <si>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</si>
  <si>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</si>
  <si>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</si>
  <si>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</si>
  <si>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</si>
  <si>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</si>
  <si>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</si>
  <si>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</si>
  <si>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</si>
  <si>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</si>
  <si>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</si>
  <si>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</si>
  <si>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</si>
  <si>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</si>
  <si>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</si>
  <si>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</si>
  <si>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</si>
  <si>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</si>
  <si>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</si>
  <si>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</si>
  <si>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</si>
  <si>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</si>
  <si>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</si>
  <si>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</si>
  <si>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</si>
  <si>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</si>
  <si>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</si>
  <si>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</si>
  <si>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</si>
  <si>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</si>
  <si>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</si>
  <si>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</si>
  <si>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</si>
  <si>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</si>
  <si>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</si>
  <si>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</si>
  <si>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</si>
  <si>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</si>
  <si>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</si>
  <si>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</si>
  <si>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</si>
  <si>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</si>
  <si>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</si>
  <si>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</si>
  <si>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</si>
  <si>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</si>
  <si>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</si>
  <si>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</si>
  <si>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</si>
  <si>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</si>
  <si>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</si>
  <si>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</si>
  <si>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</si>
  <si>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</si>
  <si>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</si>
  <si>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</si>
  <si>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</si>
  <si>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</si>
  <si>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</si>
  <si>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</si>
  <si>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</si>
  <si>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</si>
  <si>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</si>
  <si>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</si>
  <si>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</si>
  <si>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</si>
  <si>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</si>
  <si>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</si>
  <si>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</si>
  <si>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</si>
  <si>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</si>
  <si>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</si>
  <si>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</si>
  <si>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</si>
  <si>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</si>
  <si>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</si>
  <si>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</si>
  <si>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</si>
  <si>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</si>
  <si>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</si>
  <si>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</si>
  <si>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</si>
  <si>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</si>
  <si>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</si>
  <si>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</si>
  <si>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</si>
  <si>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</si>
  <si>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</si>
  <si>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</si>
  <si>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</si>
  <si>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</si>
  <si>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</si>
  <si>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</si>
  <si>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</si>
  <si>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</si>
  <si>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</si>
  <si>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</si>
  <si>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</si>
  <si>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</si>
  <si>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</si>
  <si>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</si>
  <si>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</si>
  <si>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</si>
  <si>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</si>
  <si>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</si>
  <si>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</si>
  <si>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</si>
  <si>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</si>
  <si>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</si>
  <si>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</si>
  <si>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</si>
  <si>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</si>
  <si>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</si>
  <si>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</si>
  <si>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</si>
  <si>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</si>
  <si>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</si>
  <si>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</si>
  <si>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</si>
  <si>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</si>
  <si>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</si>
  <si>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</si>
  <si>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</si>
  <si>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</si>
  <si>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</si>
  <si>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</si>
  <si>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</si>
  <si>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</si>
  <si>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</si>
  <si>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</si>
  <si>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</si>
  <si>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</si>
  <si>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</si>
  <si>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</si>
  <si>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</si>
  <si>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</si>
  <si>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</si>
  <si>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</si>
  <si>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</si>
  <si>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</si>
  <si>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</si>
  <si>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</si>
  <si>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</si>
  <si>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</si>
  <si>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</si>
  <si>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</si>
  <si>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</si>
  <si>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</si>
  <si>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</si>
  <si>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</si>
  <si>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</si>
  <si>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</si>
  <si>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</si>
  <si>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</si>
  <si>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</si>
  <si>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</si>
  <si>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</si>
  <si>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</si>
  <si>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</si>
  <si>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</si>
  <si>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</si>
  <si>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</si>
  <si>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</si>
  <si>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</si>
  <si>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</si>
  <si>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</si>
  <si>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</si>
  <si>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</si>
  <si>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</si>
  <si>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</si>
  <si>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</si>
  <si>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</si>
  <si>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</si>
  <si>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</si>
  <si>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</si>
  <si>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</si>
  <si>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</si>
  <si>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</si>
  <si>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</si>
  <si>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</si>
  <si>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</si>
  <si>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</si>
  <si>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</si>
  <si>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</si>
  <si>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</si>
  <si>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</si>
  <si>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</si>
  <si>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</si>
  <si>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</si>
  <si>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</si>
  <si>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</si>
  <si>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</si>
  <si>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</si>
  <si>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</si>
  <si>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</si>
  <si>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</si>
  <si>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</si>
  <si>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</si>
  <si>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</si>
  <si>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</si>
  <si>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</si>
  <si>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</si>
  <si>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</si>
  <si>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</si>
  <si>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</si>
  <si>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</si>
  <si>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</si>
  <si>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</si>
  <si>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</si>
  <si>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</si>
  <si>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</si>
  <si>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</si>
  <si>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</si>
  <si>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</si>
  <si>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</si>
  <si>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</si>
  <si>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</si>
  <si>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</si>
  <si>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</si>
  <si>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</si>
  <si>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</si>
  <si>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</si>
  <si>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</si>
  <si>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</si>
  <si>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</si>
  <si>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</si>
  <si>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</si>
  <si>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</si>
  <si>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</si>
  <si>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</si>
  <si>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</si>
  <si>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</si>
  <si>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</si>
  <si>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</si>
  <si>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</si>
  <si>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</si>
  <si>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</si>
  <si>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</si>
  <si>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</si>
  <si>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</si>
  <si>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</si>
  <si>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</si>
  <si>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</si>
  <si>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</si>
  <si>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</si>
  <si>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</si>
  <si>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</si>
  <si>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</si>
  <si>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</si>
  <si>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</si>
  <si>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</si>
  <si>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</si>
  <si>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</si>
  <si>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</si>
  <si>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</si>
  <si>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</si>
  <si>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</si>
  <si>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</si>
  <si>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</si>
  <si>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</si>
  <si>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</si>
  <si>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</si>
  <si>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</si>
  <si>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</si>
  <si>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</si>
  <si>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</si>
  <si>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</si>
  <si>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</si>
  <si>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</si>
  <si>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</si>
  <si>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</si>
  <si>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</si>
  <si>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</si>
  <si>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</si>
  <si>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</si>
  <si>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</si>
  <si>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</si>
  <si>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</si>
  <si>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</si>
  <si>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</si>
  <si>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</si>
  <si>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</si>
  <si>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</si>
  <si>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</si>
  <si>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</si>
  <si>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</si>
  <si>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</si>
  <si>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</si>
  <si>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</si>
  <si>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</si>
  <si>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</si>
  <si>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</si>
  <si>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</si>
  <si>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</si>
  <si>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</si>
  <si>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</si>
  <si>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</si>
  <si>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</si>
  <si>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</si>
  <si>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</si>
  <si>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</si>
  <si>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</si>
  <si>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</si>
  <si>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</si>
  <si>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</si>
  <si>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</si>
  <si>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</si>
  <si>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</si>
  <si>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</si>
  <si>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</si>
  <si>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</si>
  <si>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</si>
  <si>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</si>
  <si>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</si>
  <si>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</si>
  <si>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</si>
  <si>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</si>
  <si>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</si>
  <si>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</si>
  <si>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</si>
  <si>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</si>
  <si>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</si>
  <si>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</si>
  <si>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</si>
  <si>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</si>
  <si>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</si>
  <si>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</si>
  <si>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</si>
  <si>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</si>
  <si>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</si>
  <si>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</si>
  <si>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</si>
  <si>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</si>
  <si>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</si>
  <si>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</si>
  <si>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</si>
  <si>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</si>
  <si>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</si>
  <si>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</si>
  <si>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</si>
  <si>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</si>
  <si>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</si>
  <si>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</si>
  <si>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</si>
  <si>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</si>
  <si>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</si>
  <si>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</si>
  <si>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</si>
  <si>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</si>
  <si>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</si>
  <si>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</si>
  <si>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</si>
  <si>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</si>
  <si>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</si>
  <si>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</si>
  <si>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</si>
  <si>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</si>
  <si>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</si>
  <si>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</si>
  <si>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</si>
  <si>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</si>
  <si>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</si>
  <si>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</si>
  <si>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</si>
  <si>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</si>
  <si>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</si>
  <si>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</si>
  <si>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</si>
  <si>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</si>
  <si>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</si>
  <si>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</si>
  <si>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</si>
  <si>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</si>
  <si>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</si>
  <si>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</si>
  <si>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</si>
  <si>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</si>
  <si>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</si>
  <si>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</si>
  <si>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</si>
  <si>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</si>
  <si>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</si>
  <si>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</si>
  <si>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</si>
  <si>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</si>
  <si>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</si>
  <si>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</si>
  <si>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</si>
  <si>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</si>
  <si>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</si>
  <si>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</si>
  <si>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</si>
  <si>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</si>
  <si>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</si>
  <si>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</si>
  <si>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</si>
  <si>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</si>
  <si>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</si>
  <si>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</si>
  <si>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</si>
  <si>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</si>
  <si>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</si>
  <si>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</si>
  <si>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</si>
  <si>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</si>
  <si>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</si>
  <si>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</si>
  <si>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</si>
  <si>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</si>
  <si>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</si>
  <si>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</si>
  <si>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</si>
  <si>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</si>
  <si>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</si>
  <si>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</si>
  <si>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</si>
  <si>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</si>
  <si>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</si>
  <si>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</si>
  <si>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</si>
  <si>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</si>
  <si>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</si>
  <si>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</si>
  <si>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</si>
  <si>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</si>
  <si>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</si>
  <si>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</si>
  <si>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</si>
  <si>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</si>
  <si>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</si>
  <si>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</si>
  <si>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</si>
  <si>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</si>
  <si>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</si>
  <si>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</si>
  <si>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</si>
  <si>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</si>
  <si>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</si>
  <si>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</si>
  <si>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</si>
  <si>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</si>
  <si>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</si>
  <si>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</si>
  <si>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</si>
  <si>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</si>
  <si>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</si>
  <si>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</si>
  <si>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</si>
  <si>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</si>
  <si>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</si>
  <si>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</si>
  <si>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</si>
  <si>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</si>
  <si>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</si>
  <si>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</si>
  <si>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</si>
  <si>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</si>
  <si>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</si>
  <si>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</si>
  <si>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</si>
  <si>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</si>
  <si>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</si>
  <si>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</si>
  <si>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</si>
  <si>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</si>
  <si>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</si>
  <si>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</si>
  <si>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</si>
  <si>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</si>
  <si>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</si>
  <si>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</si>
  <si>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</si>
  <si>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</si>
  <si>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</si>
  <si>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</si>
  <si>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</si>
  <si>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</si>
  <si>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</si>
  <si>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</si>
  <si>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</si>
  <si>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</si>
  <si>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</si>
  <si>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</si>
  <si>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</si>
  <si>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</si>
  <si>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</si>
  <si>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</si>
  <si>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</si>
  <si>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</si>
  <si>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</si>
  <si>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</si>
  <si>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</si>
  <si>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</si>
  <si>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</si>
  <si>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</si>
  <si>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</si>
  <si>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</si>
  <si>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</si>
  <si>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</si>
  <si>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</si>
  <si>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</si>
  <si>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</si>
  <si>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</si>
  <si>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</si>
  <si>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</si>
  <si>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</si>
  <si>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</si>
  <si>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</si>
  <si>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</si>
  <si>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</si>
  <si>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</si>
  <si>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</si>
  <si>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</si>
  <si>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</si>
  <si>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</si>
  <si>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</si>
  <si>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</si>
  <si>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</si>
  <si>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</si>
  <si>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</si>
  <si>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</si>
  <si>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</si>
  <si>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</si>
  <si>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</si>
  <si>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</si>
  <si>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</si>
  <si>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</si>
  <si>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</si>
  <si>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</si>
  <si>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</si>
  <si>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</si>
  <si>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</si>
  <si>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</si>
  <si>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</si>
  <si>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</si>
  <si>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</si>
  <si>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</si>
  <si>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</si>
  <si>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</si>
  <si>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</si>
  <si>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</si>
  <si>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</si>
  <si>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</si>
  <si>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</si>
  <si>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</si>
  <si>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</si>
  <si>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</si>
  <si>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</si>
  <si>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</si>
  <si>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</si>
  <si>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</si>
  <si>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</si>
  <si>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</si>
  <si>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</si>
  <si>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</si>
  <si>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</si>
  <si>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</si>
  <si>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</si>
  <si>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</si>
  <si>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</si>
  <si>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</si>
  <si>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</si>
  <si>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</si>
  <si>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</si>
  <si>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</si>
  <si>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</si>
  <si>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</si>
  <si>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</si>
  <si>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</si>
  <si>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</si>
  <si>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</si>
  <si>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</si>
  <si>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</si>
  <si>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</si>
  <si>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</si>
  <si>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</si>
  <si>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</si>
  <si>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</si>
  <si>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</si>
  <si>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</si>
  <si>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</si>
  <si>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</si>
  <si>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</si>
  <si>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</si>
  <si>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</si>
  <si>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</si>
  <si>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</si>
  <si>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</si>
  <si>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</si>
  <si>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</si>
  <si>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</si>
  <si>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</si>
  <si>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</si>
  <si>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</si>
  <si>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</si>
  <si>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</si>
  <si>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</si>
  <si>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</si>
  <si>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</si>
  <si>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</si>
  <si>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</si>
  <si>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</si>
  <si>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</si>
  <si>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</si>
  <si>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</si>
  <si>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</si>
  <si>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</si>
  <si>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</si>
  <si>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</si>
  <si>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</si>
  <si>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</si>
  <si>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</si>
  <si>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</si>
  <si>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</si>
  <si>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</si>
  <si>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</si>
  <si>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</si>
  <si>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</si>
  <si>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</si>
  <si>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</si>
  <si>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</si>
  <si>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</si>
  <si>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</si>
  <si>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</si>
  <si>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</si>
  <si>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</si>
  <si>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</si>
  <si>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</si>
  <si>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</si>
  <si>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</si>
  <si>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</si>
  <si>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</si>
  <si>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</si>
  <si>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</si>
  <si>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</si>
  <si>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</si>
  <si>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</si>
  <si>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</si>
  <si>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</si>
  <si>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</si>
  <si>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</si>
  <si>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</si>
  <si>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</si>
  <si>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</si>
  <si>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</si>
  <si>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</si>
  <si>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</si>
  <si>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</si>
  <si>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</si>
  <si>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</si>
  <si>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</si>
  <si>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</si>
  <si>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</si>
  <si>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</si>
  <si>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</si>
  <si>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</si>
  <si>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</si>
  <si>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</si>
  <si>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</si>
  <si>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</si>
  <si>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</si>
  <si>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</si>
  <si>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</si>
  <si>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</si>
  <si>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</si>
  <si>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</si>
  <si>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</si>
  <si>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</si>
  <si>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</si>
  <si>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</si>
  <si>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</si>
  <si>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</si>
  <si>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</si>
  <si>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</si>
  <si>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</si>
  <si>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</si>
  <si>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</si>
  <si>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</si>
  <si>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</si>
  <si>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</si>
  <si>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</si>
  <si>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</si>
  <si>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</si>
  <si>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</si>
  <si>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</si>
  <si>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</si>
  <si>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</si>
  <si>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</si>
  <si>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</si>
  <si>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</si>
  <si>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</si>
  <si>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</si>
  <si>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</si>
  <si>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</si>
  <si>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</si>
  <si>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</si>
  <si>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</si>
  <si>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</si>
  <si>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</si>
  <si>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</si>
  <si>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</si>
  <si>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</si>
  <si>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</si>
  <si>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</si>
  <si>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</si>
  <si>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</si>
  <si>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</si>
  <si>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</si>
  <si>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</si>
  <si>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</si>
  <si>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</si>
  <si>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</si>
  <si>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</si>
  <si>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</si>
  <si>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</si>
  <si>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</si>
  <si>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</si>
  <si>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</si>
  <si>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</si>
  <si>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</si>
  <si>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</si>
  <si>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</si>
  <si>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</si>
  <si>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</si>
  <si>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</si>
  <si>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</si>
  <si>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</si>
  <si>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</si>
  <si>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</si>
  <si>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</si>
  <si>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</si>
  <si>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</si>
  <si>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</si>
  <si>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</si>
  <si>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</si>
  <si>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</si>
  <si>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</si>
  <si>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</si>
  <si>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</si>
  <si>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</si>
  <si>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</si>
  <si>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</si>
  <si>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</si>
  <si>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</si>
  <si>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</si>
  <si>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</si>
  <si>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</si>
  <si>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</si>
  <si>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</si>
  <si>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</si>
  <si>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</si>
  <si>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</si>
  <si>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</si>
  <si>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</si>
  <si>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</si>
  <si>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</si>
  <si>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</si>
  <si>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</si>
  <si>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</si>
  <si>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</si>
  <si>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</si>
  <si>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</si>
  <si>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</si>
  <si>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</si>
  <si>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</si>
  <si>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</si>
  <si>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</si>
  <si>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</si>
  <si>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</si>
  <si>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</si>
  <si>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</si>
  <si>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</si>
  <si>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</si>
  <si>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</si>
  <si>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</si>
  <si>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</si>
  <si>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</si>
  <si>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</si>
  <si>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</si>
  <si>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</si>
  <si>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</si>
  <si>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</si>
  <si>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</si>
  <si>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</si>
  <si>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</si>
  <si>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</si>
  <si>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</si>
  <si>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</si>
  <si>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</si>
  <si>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</si>
  <si>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</si>
  <si>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</si>
  <si>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</si>
  <si>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</si>
  <si>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</si>
  <si>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</si>
  <si>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</si>
  <si>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</si>
  <si>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</si>
  <si>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</si>
  <si>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</si>
  <si>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</si>
  <si>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</si>
  <si>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</si>
  <si>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</si>
  <si>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</si>
  <si>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</si>
  <si>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</si>
  <si>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</si>
  <si>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</si>
  <si>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</si>
  <si>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</si>
  <si>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</si>
  <si>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</si>
  <si>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</si>
  <si>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</si>
  <si>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</si>
  <si>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</si>
  <si>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</si>
  <si>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</si>
  <si>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</si>
  <si>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</si>
  <si>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</si>
  <si>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</si>
  <si>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</si>
  <si>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</si>
  <si>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</si>
  <si>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</si>
  <si>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</si>
  <si>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</si>
  <si>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</si>
  <si>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</si>
  <si>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</si>
  <si>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</si>
  <si>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</si>
  <si>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</si>
  <si>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</si>
  <si>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</si>
  <si>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</si>
  <si>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</si>
  <si>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</si>
  <si>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</si>
  <si>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</si>
  <si>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</si>
  <si>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</si>
  <si>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</si>
  <si>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</si>
  <si>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</si>
  <si>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</si>
  <si>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</si>
  <si>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</si>
  <si>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</si>
  <si>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</si>
  <si>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</si>
  <si>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</si>
  <si>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</si>
  <si>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</si>
  <si>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</si>
  <si>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</si>
  <si>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</si>
  <si>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</si>
  <si>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</si>
  <si>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</si>
  <si>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</si>
  <si>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</si>
  <si>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</si>
  <si>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</si>
  <si>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</si>
  <si>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</si>
  <si>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</si>
  <si>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</si>
  <si>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</si>
  <si>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</si>
  <si>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</si>
  <si>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</si>
  <si>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</si>
  <si>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</si>
  <si>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</si>
  <si>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</si>
  <si>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</si>
  <si>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</si>
  <si>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</si>
  <si>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</si>
  <si>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</si>
  <si>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</si>
  <si>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</si>
  <si>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</si>
  <si>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</si>
  <si>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</si>
  <si>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</si>
  <si>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</si>
  <si>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</si>
  <si>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</si>
  <si>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</si>
  <si>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</si>
  <si>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</si>
  <si>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</si>
  <si>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</si>
  <si>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</si>
  <si>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</si>
  <si>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</si>
  <si>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</si>
  <si>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</si>
  <si>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</si>
  <si>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</si>
  <si>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</si>
  <si>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</si>
  <si>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</si>
  <si>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</si>
  <si>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</si>
  <si>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</si>
  <si>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</si>
  <si>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</si>
  <si>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</si>
  <si>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</si>
  <si>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</si>
  <si>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</si>
  <si>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</si>
  <si>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</si>
  <si>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</si>
  <si>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</si>
  <si>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</si>
  <si>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</si>
  <si>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</si>
  <si>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</si>
  <si>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</si>
  <si>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</si>
  <si>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</si>
  <si>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</si>
  <si>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</si>
  <si>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</si>
  <si>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</si>
  <si>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</si>
  <si>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</si>
  <si>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</si>
  <si>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</si>
  <si>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</si>
  <si>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</si>
  <si>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</si>
  <si>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</si>
  <si>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</si>
  <si>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</si>
  <si>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</si>
  <si>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</si>
  <si>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</si>
  <si>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</si>
  <si>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</si>
  <si>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</si>
  <si>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</si>
  <si>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</si>
  <si>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</si>
  <si>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</si>
  <si>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</si>
  <si>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</si>
  <si>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</si>
  <si>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</si>
  <si>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</si>
  <si>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</si>
  <si>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</si>
  <si>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</si>
  <si>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</si>
  <si>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</si>
  <si>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</si>
  <si>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</si>
  <si>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</si>
  <si>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</si>
  <si>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</si>
  <si>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</si>
  <si>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</si>
  <si>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</si>
  <si>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</si>
  <si>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</si>
  <si>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</si>
  <si>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</si>
  <si>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</si>
  <si>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</si>
  <si>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</si>
  <si>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</si>
  <si>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</si>
  <si>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</si>
  <si>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</si>
  <si>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</si>
  <si>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</si>
  <si>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</si>
  <si>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</si>
  <si>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</si>
  <si>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</si>
  <si>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</si>
  <si>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</si>
  <si>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</si>
  <si>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</si>
  <si>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</si>
  <si>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</si>
  <si>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</si>
  <si>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</si>
  <si>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</si>
  <si>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</si>
  <si>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</si>
  <si>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</si>
  <si>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</si>
  <si>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</si>
  <si>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</si>
  <si>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</si>
  <si>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</si>
  <si>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</si>
  <si>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</si>
  <si>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</si>
  <si>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</si>
  <si>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</si>
  <si>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</si>
  <si>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</si>
  <si>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</si>
  <si>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</si>
  <si>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</si>
  <si>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</si>
  <si>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</si>
  <si>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</si>
  <si>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</si>
  <si>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</si>
  <si>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</si>
  <si>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</si>
  <si>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</si>
  <si>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</si>
  <si>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</si>
  <si>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</si>
  <si>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</si>
  <si>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</si>
  <si>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</si>
  <si>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</si>
  <si>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</si>
  <si>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</si>
  <si>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</si>
  <si>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</si>
  <si>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</si>
  <si>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</si>
  <si>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</si>
  <si>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</si>
  <si>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</si>
  <si>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</si>
  <si>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</si>
  <si>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</si>
  <si>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</si>
  <si>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</si>
  <si>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</si>
  <si>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</si>
  <si>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</si>
  <si>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</si>
  <si>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</si>
  <si>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</si>
  <si>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</si>
  <si>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</si>
  <si>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</si>
  <si>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</si>
  <si>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</si>
  <si>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</si>
  <si>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</si>
  <si>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</si>
  <si>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</si>
  <si>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</si>
  <si>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</si>
  <si>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</si>
  <si>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</si>
  <si>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</si>
  <si>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</si>
  <si>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</si>
  <si>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</si>
  <si>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</si>
  <si>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</si>
  <si>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</si>
  <si>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</si>
  <si>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</si>
  <si>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</si>
  <si>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</si>
  <si>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</si>
  <si>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</si>
  <si>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</si>
  <si>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</si>
  <si>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</si>
  <si>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</si>
  <si>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</si>
  <si>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</si>
  <si>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</si>
  <si>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</si>
  <si>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</si>
  <si>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</si>
  <si>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</si>
  <si>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</si>
  <si>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</si>
  <si>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</si>
  <si>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</si>
  <si>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</si>
  <si>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</si>
  <si>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</si>
  <si>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</si>
  <si>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</si>
  <si>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</si>
  <si>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</si>
  <si>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</si>
  <si>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</si>
  <si>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</si>
  <si>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</si>
  <si>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</si>
  <si>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</si>
  <si>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</si>
  <si>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</si>
  <si>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</si>
  <si>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</si>
  <si>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</si>
  <si>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</si>
  <si>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</si>
  <si>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</si>
  <si>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</si>
  <si>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</si>
  <si>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</si>
  <si>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</si>
  <si>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</si>
  <si>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</si>
  <si>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</si>
  <si>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</si>
  <si>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</si>
  <si>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</si>
  <si>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</si>
  <si>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</si>
  <si>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</si>
  <si>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</si>
  <si>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</si>
  <si>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</si>
  <si>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</si>
  <si>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</si>
  <si>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</si>
  <si>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</si>
  <si>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</si>
  <si>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</si>
  <si>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</si>
  <si>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</si>
  <si>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</si>
  <si>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</si>
  <si>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</si>
  <si>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</si>
  <si>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</si>
  <si>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</si>
  <si>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</si>
  <si>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</si>
  <si>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</si>
  <si>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</si>
  <si>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</si>
  <si>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</si>
  <si>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</si>
  <si>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</si>
  <si>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</si>
  <si>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</si>
  <si>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</si>
  <si>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</si>
  <si>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</si>
  <si>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</si>
  <si>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</si>
  <si>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</si>
  <si>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</si>
  <si>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</si>
  <si>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</si>
  <si>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</si>
  <si>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</si>
  <si>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</si>
  <si>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</si>
  <si>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</si>
  <si>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</si>
  <si>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</si>
  <si>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</si>
  <si>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</si>
  <si>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</si>
  <si>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</si>
  <si>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</si>
  <si>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</si>
  <si>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</si>
  <si>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</si>
  <si>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</si>
  <si>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</si>
  <si>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</si>
  <si>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</si>
  <si>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</si>
  <si>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</si>
  <si>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</si>
  <si>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</si>
  <si>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</si>
  <si>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</si>
  <si>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</si>
  <si>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</si>
  <si>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</si>
  <si>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</si>
  <si>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</si>
  <si>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</si>
  <si>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</si>
  <si>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</si>
  <si>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</si>
  <si>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</si>
  <si>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</si>
  <si>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</si>
  <si>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</si>
  <si>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</si>
  <si>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</si>
  <si>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</si>
  <si>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</si>
  <si>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</si>
  <si>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</si>
  <si>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</si>
  <si>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</si>
  <si>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</si>
  <si>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</si>
  <si>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</si>
  <si>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</si>
  <si>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</si>
  <si>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</si>
  <si>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</si>
  <si>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</si>
  <si>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</si>
  <si>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</si>
  <si>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</si>
  <si>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</si>
  <si>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</si>
  <si>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</si>
  <si>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</si>
  <si>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</si>
  <si>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</si>
  <si>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</si>
  <si>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</si>
  <si>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</si>
  <si>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</si>
  <si>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</si>
  <si>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</si>
  <si>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</si>
  <si>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</si>
  <si>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</si>
  <si>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</si>
  <si>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</si>
  <si>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</si>
  <si>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</si>
  <si>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</si>
  <si>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</si>
  <si>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</si>
  <si>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</si>
  <si>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</si>
  <si>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</si>
  <si>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</si>
  <si>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</si>
  <si>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</si>
  <si>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</si>
  <si>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</si>
  <si>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</si>
  <si>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</si>
  <si>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</si>
  <si>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</si>
  <si>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</si>
  <si>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</si>
  <si>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</si>
  <si>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</si>
  <si>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</si>
  <si>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</si>
  <si>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</si>
  <si>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</si>
  <si>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</si>
  <si>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</si>
  <si>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</si>
  <si>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</si>
  <si>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</si>
  <si>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</si>
  <si>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</si>
  <si>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</si>
  <si>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</si>
  <si>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</si>
  <si>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</si>
  <si>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</si>
  <si>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</si>
  <si>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</si>
  <si>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</si>
  <si>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</si>
  <si>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</si>
  <si>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</si>
  <si>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</si>
  <si>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</si>
  <si>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</si>
  <si>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</si>
  <si>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</si>
  <si>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</si>
  <si>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</si>
  <si>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</si>
  <si>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</si>
  <si>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</si>
  <si>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</si>
  <si>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</si>
  <si>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</si>
  <si>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</si>
  <si>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</si>
  <si>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</si>
  <si>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</si>
  <si>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</si>
  <si>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</si>
  <si>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</si>
  <si>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</si>
  <si>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</si>
  <si>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</si>
  <si>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</si>
  <si>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</si>
  <si>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</si>
  <si>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</si>
  <si>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</si>
  <si>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</si>
  <si>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</si>
  <si>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</si>
  <si>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</si>
  <si>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</si>
  <si>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</si>
  <si>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</si>
  <si>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</si>
  <si>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</si>
  <si>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</si>
  <si>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</si>
  <si>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</si>
  <si>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</si>
  <si>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</si>
  <si>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</si>
  <si>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</si>
  <si>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</si>
  <si>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</si>
  <si>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</si>
  <si>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</si>
  <si>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</si>
  <si>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</si>
  <si>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</si>
  <si>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</si>
  <si>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</si>
  <si>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</si>
  <si>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</si>
  <si>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</si>
  <si>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</si>
  <si>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</si>
  <si>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</si>
  <si>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</si>
  <si>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</si>
  <si>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</si>
  <si>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</si>
  <si>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</si>
  <si>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</si>
  <si>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</si>
  <si>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</si>
  <si>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</si>
  <si>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</si>
  <si>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</si>
  <si>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</si>
  <si>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</si>
  <si>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</si>
  <si>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</si>
  <si>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</si>
  <si>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</si>
  <si>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</si>
  <si>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</si>
  <si>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</si>
  <si>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</si>
  <si>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</si>
  <si>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</si>
  <si>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</si>
  <si>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</si>
  <si>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</si>
  <si>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</si>
  <si>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</si>
  <si>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</si>
  <si>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</si>
  <si>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</si>
  <si>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</si>
  <si>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</si>
  <si>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</si>
  <si>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</si>
  <si>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</si>
  <si>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</si>
  <si>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</si>
  <si>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</si>
  <si>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</si>
  <si>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</si>
  <si>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</si>
  <si>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</si>
  <si>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</si>
  <si>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</si>
  <si>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</si>
  <si>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</si>
  <si>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</si>
  <si>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</si>
  <si>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</si>
  <si>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</si>
  <si>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</si>
  <si>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</si>
  <si>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</si>
  <si>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</si>
  <si>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</si>
  <si>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</si>
  <si>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</si>
  <si>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</si>
  <si>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</si>
  <si>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</si>
  <si>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</si>
  <si>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</si>
  <si>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</si>
  <si>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</si>
  <si>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</si>
  <si>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</si>
  <si>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</si>
  <si>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</si>
  <si>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</si>
  <si>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</si>
  <si>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</si>
  <si>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</si>
  <si>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</si>
  <si>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</si>
  <si>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</si>
  <si>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</si>
  <si>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</si>
  <si>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</si>
  <si>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</si>
  <si>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</si>
  <si>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</si>
  <si>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</si>
  <si>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</si>
  <si>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</si>
  <si>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</si>
  <si>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</si>
  <si>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</si>
  <si>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</si>
  <si>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</si>
  <si>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</si>
  <si>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</si>
  <si>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</si>
  <si>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</si>
  <si>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</si>
  <si>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</si>
  <si>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</si>
  <si>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</si>
  <si>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</si>
  <si>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</si>
  <si>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</si>
  <si>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</si>
  <si>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</si>
  <si>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</si>
  <si>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</si>
  <si>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</si>
  <si>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</si>
  <si>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</si>
  <si>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</si>
  <si>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</si>
  <si>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</si>
  <si>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</si>
  <si>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</si>
  <si>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</si>
  <si>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</si>
  <si>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</si>
  <si>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</si>
  <si>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</si>
  <si>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</si>
  <si>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</si>
  <si>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</si>
  <si>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</si>
  <si>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</si>
  <si>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</si>
  <si>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</si>
  <si>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</si>
  <si>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</si>
  <si>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</si>
  <si>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</si>
  <si>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</si>
  <si>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</si>
  <si>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</si>
  <si>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</si>
  <si>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</si>
  <si>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</si>
  <si>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</si>
  <si>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</si>
  <si>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</si>
  <si>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</si>
  <si>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</si>
  <si>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</si>
  <si>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</si>
  <si>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</si>
  <si>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</si>
  <si>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</si>
  <si>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</si>
  <si>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</si>
  <si>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</si>
  <si>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</si>
  <si>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</si>
  <si>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</si>
  <si>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</si>
  <si>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</si>
  <si>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</si>
  <si>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</si>
  <si>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</si>
  <si>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</si>
  <si>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</si>
  <si>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</si>
  <si>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</si>
  <si>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</si>
  <si>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</si>
  <si>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</si>
  <si>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</si>
  <si>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</si>
  <si>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</si>
  <si>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</si>
  <si>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</si>
  <si>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</si>
  <si>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</si>
  <si>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</si>
  <si>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</si>
  <si>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</si>
  <si>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</si>
  <si>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</si>
  <si>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</si>
  <si>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</si>
  <si>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</si>
  <si>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</si>
  <si>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</si>
  <si>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</si>
  <si>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</si>
  <si>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</si>
  <si>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</si>
  <si>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</si>
  <si>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</si>
  <si>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</si>
  <si>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</si>
  <si>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</si>
  <si>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</si>
  <si>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</si>
  <si>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</si>
  <si>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</si>
  <si>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</si>
  <si>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</si>
  <si>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</si>
  <si>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</si>
  <si>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</si>
  <si>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</si>
  <si>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</si>
  <si>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</si>
  <si>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</si>
  <si>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</si>
  <si>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</si>
  <si>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</si>
  <si>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</si>
  <si>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</si>
  <si>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</si>
  <si>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</si>
  <si>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</si>
  <si>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</si>
  <si>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</si>
  <si>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</si>
  <si>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</si>
  <si>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</si>
  <si>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</si>
  <si>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</si>
  <si>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</si>
  <si>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</si>
  <si>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</si>
  <si>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</si>
  <si>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</si>
  <si>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</si>
  <si>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</si>
  <si>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</si>
  <si>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</si>
  <si>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</si>
  <si>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</si>
  <si>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</si>
  <si>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</si>
  <si>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</si>
  <si>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</si>
  <si>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</si>
  <si>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</si>
  <si>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</si>
  <si>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</si>
  <si>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</si>
  <si>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</si>
  <si>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</si>
  <si>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</si>
  <si>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</si>
  <si>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</si>
  <si>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</si>
  <si>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</si>
  <si>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</si>
  <si>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</si>
  <si>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</si>
  <si>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</si>
  <si>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</si>
  <si>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</si>
  <si>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</si>
  <si>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</si>
  <si>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</si>
  <si>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</si>
  <si>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</si>
  <si>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</si>
  <si>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</si>
  <si>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</si>
  <si>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</si>
  <si>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</si>
  <si>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</si>
  <si>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</si>
  <si>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</si>
  <si>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</si>
  <si>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</si>
  <si>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</si>
  <si>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</si>
  <si>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</si>
  <si>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</si>
  <si>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</si>
  <si>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</si>
  <si>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</si>
  <si>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</si>
  <si>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</si>
  <si>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</si>
  <si>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</si>
  <si>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</si>
  <si>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</si>
  <si>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</si>
  <si>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</si>
  <si>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</si>
  <si>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</si>
  <si>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</si>
  <si>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</si>
  <si>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</si>
  <si>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</si>
  <si>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</si>
  <si>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</si>
  <si>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</si>
  <si>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</si>
  <si>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</si>
  <si>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</si>
  <si>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</si>
  <si>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</si>
  <si>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</si>
  <si>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</si>
  <si>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</si>
  <si>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</si>
  <si>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</si>
  <si>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</si>
  <si>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</si>
  <si>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</si>
  <si>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</si>
  <si>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</si>
  <si>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</si>
  <si>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</si>
  <si>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</si>
  <si>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</si>
  <si>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</si>
  <si>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</si>
  <si>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</si>
  <si>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</si>
  <si>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</si>
  <si>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</si>
  <si>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</si>
  <si>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</si>
  <si>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</si>
  <si>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</si>
  <si>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</si>
  <si>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</si>
  <si>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</si>
  <si>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</si>
  <si>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</si>
  <si>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</si>
  <si>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</si>
  <si>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</si>
  <si>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</si>
  <si>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</si>
  <si>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</si>
  <si>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</si>
  <si>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</si>
  <si>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</si>
  <si>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</si>
  <si>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</si>
  <si>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</si>
  <si>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</si>
  <si>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</si>
  <si>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</si>
  <si>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</si>
  <si>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</si>
  <si>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</si>
  <si>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</si>
  <si>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</si>
  <si>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</si>
  <si>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</si>
  <si>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</si>
  <si>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</si>
  <si>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</si>
  <si>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</si>
  <si>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</si>
  <si>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</si>
  <si>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</si>
  <si>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</si>
  <si>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</si>
  <si>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</si>
  <si>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</si>
  <si>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</si>
  <si>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</si>
  <si>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</si>
  <si>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</si>
  <si>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</si>
  <si>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</si>
  <si>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</si>
  <si>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</si>
  <si>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</si>
  <si>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</si>
  <si>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</si>
  <si>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</si>
  <si>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</si>
  <si>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</si>
  <si>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</si>
  <si>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</si>
  <si>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</si>
  <si>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</si>
  <si>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</si>
  <si>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</si>
  <si>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</si>
  <si>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</si>
  <si>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</si>
  <si>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</si>
  <si>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</si>
  <si>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</si>
  <si>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</si>
  <si>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</si>
  <si>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</si>
  <si>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</si>
  <si>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</si>
  <si>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</si>
  <si>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</si>
  <si>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</si>
  <si>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</si>
  <si>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</si>
  <si>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</si>
  <si>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</si>
  <si>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</si>
  <si>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</si>
  <si>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</si>
  <si>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</si>
  <si>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</si>
  <si>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</si>
  <si>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</si>
  <si>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</si>
  <si>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</si>
  <si>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</si>
  <si>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</si>
  <si>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</si>
  <si>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</si>
  <si>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</si>
  <si>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</si>
  <si>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</si>
  <si>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</si>
  <si>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</si>
  <si>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</si>
  <si>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</si>
  <si>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</si>
  <si>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</si>
  <si>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</si>
  <si>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</si>
  <si>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</si>
  <si>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</si>
  <si>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</si>
  <si>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</si>
  <si>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</si>
  <si>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</si>
  <si>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</si>
  <si>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</si>
  <si>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</si>
  <si>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</si>
  <si>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</si>
  <si>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</si>
  <si>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</si>
  <si>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</si>
  <si>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</si>
  <si>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</si>
  <si>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</si>
  <si>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</si>
  <si>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</si>
  <si>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</si>
  <si>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</si>
  <si>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</si>
  <si>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</si>
  <si>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</si>
  <si>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</si>
  <si>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</si>
  <si>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</si>
  <si>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</si>
  <si>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</si>
  <si>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</si>
  <si>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</si>
  <si>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</si>
  <si>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</si>
  <si>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</si>
  <si>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</si>
  <si>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</si>
  <si>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</si>
  <si>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</si>
  <si>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</si>
  <si>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</si>
  <si>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</si>
  <si>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</si>
  <si>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</si>
  <si>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</si>
  <si>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</si>
  <si>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</si>
  <si>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</si>
  <si>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</si>
  <si>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</si>
  <si>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</si>
  <si>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</si>
  <si>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</si>
  <si>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</si>
  <si>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</si>
  <si>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</si>
  <si>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</si>
  <si>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</si>
  <si>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</si>
  <si>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</si>
  <si>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</si>
  <si>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</si>
  <si>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</si>
  <si>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</si>
  <si>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</si>
  <si>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</si>
  <si>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</si>
  <si>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</si>
  <si>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</si>
  <si>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</si>
  <si>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</si>
  <si>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</si>
  <si>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</si>
  <si>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</si>
  <si>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</si>
  <si>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</si>
  <si>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</si>
  <si>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</si>
  <si>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</si>
  <si>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</si>
  <si>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</si>
  <si>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</si>
  <si>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</si>
  <si>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</si>
  <si>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</si>
  <si>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</si>
  <si>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</si>
  <si>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</si>
  <si>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</si>
  <si>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</si>
  <si>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</si>
  <si>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</si>
  <si>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</si>
  <si>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</si>
  <si>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</si>
  <si>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</si>
  <si>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</si>
  <si>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</si>
  <si>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</si>
  <si>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</si>
  <si>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</si>
  <si>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</si>
  <si>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</si>
  <si>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</si>
  <si>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</si>
  <si>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</si>
  <si>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</si>
  <si>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</si>
  <si>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</si>
  <si>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</si>
  <si>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</si>
  <si>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</si>
  <si>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</si>
  <si>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</si>
  <si>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</si>
  <si>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</si>
  <si>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</si>
  <si>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</si>
  <si>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</si>
  <si>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</si>
  <si>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</si>
  <si>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</si>
  <si>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</si>
  <si>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</si>
  <si>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</si>
  <si>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</si>
  <si>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</si>
  <si>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</si>
  <si>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</si>
  <si>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</si>
  <si>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</si>
  <si>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</si>
  <si>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</si>
  <si>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</si>
  <si>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</si>
  <si>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</si>
  <si>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</si>
  <si>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</si>
  <si>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</si>
  <si>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</si>
  <si>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</si>
  <si>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</si>
  <si>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</si>
  <si>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</si>
  <si>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</si>
  <si>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</si>
  <si>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</si>
  <si>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</si>
  <si>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</si>
  <si>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</si>
  <si>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</si>
  <si>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</si>
  <si>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</si>
  <si>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</si>
  <si>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</si>
  <si>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</si>
  <si>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</si>
  <si>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</si>
  <si>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</si>
  <si>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</si>
  <si>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</si>
  <si>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</si>
  <si>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</si>
  <si>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</si>
  <si>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</si>
  <si>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</si>
  <si>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</si>
  <si>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</si>
  <si>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</si>
  <si>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</si>
  <si>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</si>
  <si>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</si>
  <si>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</si>
  <si>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</si>
  <si>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</si>
  <si>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</si>
  <si>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</si>
  <si>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</si>
  <si>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</si>
  <si>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</si>
  <si>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</si>
  <si>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</si>
  <si>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</si>
  <si>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</si>
  <si>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</si>
  <si>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</si>
  <si>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</si>
  <si>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</si>
  <si>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</si>
  <si>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</si>
  <si>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</si>
  <si>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</si>
  <si>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</si>
  <si>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</si>
  <si>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</si>
  <si>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</si>
  <si>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</si>
  <si>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</si>
  <si>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</si>
  <si>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</si>
  <si>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</si>
  <si>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</si>
  <si>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</si>
  <si>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</si>
  <si>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</si>
  <si>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</si>
  <si>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</si>
  <si>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</si>
  <si>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</si>
  <si>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</si>
  <si>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</si>
  <si>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</si>
  <si>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</si>
  <si>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</si>
  <si>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</si>
  <si>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</si>
  <si>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</si>
  <si>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</si>
  <si>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</si>
  <si>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</si>
  <si>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</si>
  <si>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</si>
  <si>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</si>
  <si>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</si>
  <si>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</si>
  <si>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</si>
  <si>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</si>
  <si>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</si>
  <si>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</si>
  <si>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</si>
  <si>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</si>
  <si>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</si>
  <si>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</si>
  <si>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</si>
  <si>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</si>
  <si>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</si>
  <si>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</si>
  <si>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</si>
  <si>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</si>
  <si>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</si>
  <si>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</si>
  <si>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</si>
  <si>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</si>
  <si>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</si>
  <si>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</si>
  <si>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</si>
  <si>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</si>
  <si>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</si>
  <si>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</si>
  <si>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</si>
  <si>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</si>
  <si>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</si>
  <si>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</si>
  <si>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</si>
  <si>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</si>
  <si>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</si>
  <si>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</si>
  <si>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</si>
  <si>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</si>
  <si>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</si>
  <si>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</si>
  <si>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</si>
  <si>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</si>
  <si>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</si>
  <si>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</si>
  <si>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</si>
  <si>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</si>
  <si>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</si>
  <si>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</si>
  <si>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</si>
  <si>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</si>
  <si>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</si>
  <si>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</si>
  <si>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</si>
  <si>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</si>
  <si>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</si>
  <si>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</si>
  <si>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</si>
  <si>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</si>
  <si>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</si>
  <si>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</si>
  <si>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</si>
  <si>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</si>
  <si>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</si>
  <si>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</si>
  <si>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</si>
  <si>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</si>
  <si>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</si>
  <si>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</si>
  <si>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</si>
  <si>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</si>
  <si>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</si>
  <si>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</si>
  <si>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</si>
  <si>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</si>
  <si>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</si>
  <si>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</si>
  <si>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</si>
  <si>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</si>
  <si>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</si>
  <si>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</si>
  <si>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</si>
  <si>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</si>
  <si>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</si>
  <si>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</si>
  <si>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</si>
  <si>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</si>
  <si>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</si>
  <si>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</si>
  <si>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</si>
  <si>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</si>
  <si>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</si>
  <si>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</si>
  <si>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</si>
  <si>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</si>
  <si>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</si>
  <si>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</si>
  <si>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</si>
  <si>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</si>
  <si>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</si>
  <si>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</si>
  <si>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</si>
  <si>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</si>
  <si>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</si>
  <si>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</si>
  <si>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</si>
  <si>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</si>
  <si>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</si>
  <si>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</si>
  <si>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</si>
  <si>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</si>
  <si>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</si>
  <si>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</si>
  <si>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</si>
  <si>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</si>
  <si>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</si>
  <si>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</si>
  <si>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</si>
  <si>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</si>
  <si>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</si>
  <si>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</si>
  <si>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</si>
  <si>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</si>
  <si>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</si>
  <si>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</si>
  <si>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</si>
  <si>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</si>
  <si>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</si>
  <si>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</si>
  <si>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</si>
  <si>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</si>
  <si>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</si>
  <si>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</si>
  <si>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</si>
  <si>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</si>
  <si>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</si>
  <si>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</si>
  <si>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</si>
  <si>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</si>
  <si>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</si>
  <si>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</si>
  <si>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</si>
  <si>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</si>
  <si>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</si>
  <si>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</si>
  <si>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</si>
  <si>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</si>
  <si>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</si>
  <si>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</si>
  <si>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</si>
  <si>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</si>
  <si>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</si>
  <si>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</si>
  <si>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</si>
  <si>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</si>
  <si>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</si>
  <si>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</si>
  <si>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</si>
  <si>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</si>
  <si>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</si>
  <si>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</si>
  <si>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</si>
  <si>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</si>
  <si>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</si>
  <si>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</si>
  <si>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</si>
  <si>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</si>
  <si>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</si>
  <si>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</si>
  <si>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</si>
  <si>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</si>
  <si>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</si>
  <si>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</si>
  <si>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</si>
  <si>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</si>
  <si>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</si>
  <si>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</si>
  <si>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</si>
  <si>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</si>
  <si>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</si>
  <si>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</si>
  <si>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</si>
  <si>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</si>
  <si>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</si>
  <si>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</si>
  <si>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</si>
  <si>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</si>
  <si>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</si>
  <si>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</si>
  <si>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</si>
  <si>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</si>
  <si>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</si>
  <si>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</si>
  <si>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</si>
  <si>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</si>
  <si>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</si>
  <si>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</si>
  <si>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</si>
  <si>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</si>
  <si>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</si>
  <si>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</si>
  <si>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</si>
  <si>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</si>
  <si>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</si>
  <si>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</si>
  <si>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</si>
  <si>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</si>
  <si>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</si>
  <si>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</si>
  <si>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</si>
  <si>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</si>
  <si>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</si>
  <si>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</si>
  <si>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</si>
  <si>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</si>
  <si>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</si>
  <si>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</si>
  <si>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</si>
  <si>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</si>
  <si>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</si>
  <si>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</si>
  <si>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</si>
  <si>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</si>
  <si>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</si>
  <si>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</si>
  <si>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</si>
  <si>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</si>
  <si>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</si>
  <si>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</si>
  <si>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</si>
  <si>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</si>
  <si>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</si>
  <si>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</si>
  <si>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</si>
  <si>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</si>
  <si>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</si>
  <si>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</si>
  <si>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</si>
  <si>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</si>
  <si>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</si>
  <si>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</si>
  <si>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</si>
  <si>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</si>
  <si>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</si>
  <si>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</si>
  <si>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</si>
  <si>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</si>
  <si>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</si>
  <si>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</si>
  <si>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</si>
  <si>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</si>
  <si>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</si>
  <si>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</si>
  <si>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</si>
  <si>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</si>
  <si>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</si>
  <si>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</si>
  <si>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</si>
  <si>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</si>
  <si>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</si>
  <si>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</si>
  <si>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</si>
  <si>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</si>
  <si>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</si>
  <si>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</si>
  <si>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</si>
  <si>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</si>
  <si>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</si>
  <si>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</si>
  <si>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</si>
  <si>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</si>
  <si>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</si>
  <si>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</si>
  <si>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</si>
  <si>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</si>
  <si>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</si>
  <si>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</si>
  <si>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</si>
  <si>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</si>
  <si>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</si>
  <si>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</si>
  <si>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</si>
  <si>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</si>
  <si>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</si>
  <si>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</si>
  <si>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</si>
  <si>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</si>
  <si>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</si>
  <si>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</si>
  <si>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</si>
  <si>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</si>
  <si>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</si>
  <si>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</si>
  <si>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</si>
  <si>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</si>
  <si>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</si>
  <si>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</si>
  <si>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</si>
  <si>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</si>
  <si>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</si>
  <si>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</si>
  <si>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</si>
  <si>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</si>
  <si>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</si>
  <si>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</si>
  <si>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</si>
  <si>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</si>
  <si>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</si>
  <si>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</si>
  <si>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</si>
  <si>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</si>
  <si>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</si>
  <si>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</si>
  <si>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</si>
  <si>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</si>
  <si>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</si>
  <si>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</si>
  <si>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</si>
  <si>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</si>
  <si>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</si>
  <si>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</si>
  <si>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</si>
  <si>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</si>
  <si>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</si>
  <si>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</si>
  <si>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</si>
  <si>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</si>
  <si>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</si>
  <si>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</si>
  <si>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</si>
  <si>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</si>
  <si>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</si>
  <si>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</si>
  <si>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</si>
  <si>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</si>
  <si>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</si>
  <si>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</si>
  <si>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</si>
  <si>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</si>
  <si>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</si>
  <si>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</si>
  <si>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</si>
  <si>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</si>
  <si>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</si>
  <si>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</si>
  <si>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</si>
  <si>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</si>
  <si>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</si>
  <si>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</si>
  <si>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</si>
  <si>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</si>
  <si>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</si>
  <si>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</si>
  <si>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</si>
  <si>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</si>
  <si>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</si>
  <si>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</si>
  <si>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</si>
  <si>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</si>
  <si>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</si>
  <si>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</si>
  <si>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</si>
  <si>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</si>
  <si>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</si>
  <si>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</si>
  <si>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</si>
  <si>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</si>
  <si>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</si>
  <si>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</si>
  <si>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</si>
  <si>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</si>
  <si>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</si>
  <si>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</si>
  <si>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</si>
  <si>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</si>
  <si>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</si>
  <si>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</si>
  <si>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</si>
  <si>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</si>
  <si>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</si>
  <si>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</si>
  <si>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</si>
  <si>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</si>
  <si>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</si>
  <si>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</si>
  <si>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</si>
  <si>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</si>
  <si>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</si>
  <si>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</si>
  <si>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</si>
  <si>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</si>
  <si>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</si>
  <si>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</si>
  <si>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</si>
  <si>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</si>
  <si>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</si>
  <si>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</si>
  <si>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</si>
  <si>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</si>
  <si>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</si>
  <si>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</si>
  <si>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</si>
  <si>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</si>
  <si>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</si>
  <si>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</si>
  <si>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</si>
  <si>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</si>
  <si>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</si>
  <si>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</si>
  <si>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</si>
  <si>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</si>
  <si>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</si>
  <si>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</si>
  <si>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</si>
  <si>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</si>
  <si>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</si>
  <si>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</si>
  <si>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</si>
  <si>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</si>
  <si>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</si>
  <si>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</si>
  <si>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</si>
  <si>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</si>
  <si>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</si>
  <si>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</si>
  <si>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</si>
  <si>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</si>
  <si>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</si>
  <si>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</si>
  <si>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</si>
  <si>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</si>
  <si>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</si>
  <si>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</si>
  <si>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</si>
  <si>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</si>
  <si>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</si>
  <si>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</si>
  <si>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</si>
  <si>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</si>
  <si>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</si>
  <si>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</si>
  <si>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</si>
  <si>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</si>
  <si>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</si>
  <si>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</si>
  <si>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</si>
  <si>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</si>
  <si>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</si>
  <si>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</si>
  <si>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</si>
  <si>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</si>
  <si>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</si>
  <si>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</si>
  <si>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</si>
  <si>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</si>
  <si>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</si>
  <si>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</si>
  <si>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</si>
  <si>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</si>
  <si>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</si>
  <si>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</si>
  <si>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</si>
  <si>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</si>
  <si>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</si>
  <si>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</si>
  <si>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</si>
  <si>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</si>
  <si>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</si>
  <si>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</si>
  <si>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</si>
  <si>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</si>
  <si>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</si>
  <si>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</si>
  <si>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</si>
  <si>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</si>
  <si>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</si>
  <si>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</si>
  <si>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</si>
  <si>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</si>
  <si>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</si>
  <si>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</si>
  <si>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</si>
  <si>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</si>
  <si>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</si>
  <si>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</si>
  <si>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</si>
  <si>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</si>
  <si>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</si>
  <si>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</si>
  <si>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</si>
  <si>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</si>
  <si>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</si>
  <si>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</si>
  <si>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</si>
  <si>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</si>
  <si>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</si>
  <si>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</si>
  <si>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</si>
  <si>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</si>
  <si>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</si>
  <si>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</si>
  <si>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</si>
  <si>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</si>
  <si>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</si>
  <si>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</si>
  <si>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</si>
  <si>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</si>
  <si>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</si>
  <si>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</si>
  <si>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</si>
  <si>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</si>
  <si>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</si>
  <si>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</si>
  <si>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</si>
  <si>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</si>
  <si>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</si>
  <si>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</si>
  <si>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</si>
  <si>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</si>
  <si>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</si>
  <si>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</si>
  <si>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</si>
  <si>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</si>
  <si>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</si>
  <si>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</si>
  <si>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</si>
  <si>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</si>
  <si>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</si>
  <si>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</si>
  <si>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</si>
  <si>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</si>
  <si>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</si>
  <si>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</si>
  <si>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</si>
  <si>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</si>
  <si>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</si>
  <si>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</si>
  <si>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</si>
  <si>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</si>
  <si>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</si>
  <si>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</si>
  <si>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</si>
  <si>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</si>
  <si>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</si>
  <si>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</si>
  <si>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</si>
  <si>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</si>
  <si>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</si>
  <si>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</si>
  <si>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</si>
  <si>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</si>
  <si>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</si>
  <si>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</si>
  <si>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</si>
  <si>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</si>
  <si>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</si>
  <si>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</si>
  <si>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</si>
  <si>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</si>
  <si>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</si>
  <si>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</si>
  <si>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</si>
  <si>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</si>
  <si>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</si>
  <si>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</si>
  <si>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</si>
  <si>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</si>
  <si>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</si>
  <si>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</si>
  <si>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</si>
  <si>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</si>
  <si>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</si>
  <si>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</si>
  <si>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</si>
  <si>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</si>
  <si>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</si>
  <si>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</si>
  <si>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</si>
  <si>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</si>
  <si>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</si>
  <si>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</si>
  <si>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</si>
  <si>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</si>
  <si>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</si>
  <si>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</si>
  <si>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</si>
  <si>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</si>
  <si>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</si>
  <si>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</si>
  <si>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</si>
  <si>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</si>
  <si>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</si>
  <si>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</si>
  <si>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</si>
  <si>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</si>
  <si>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</si>
  <si>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</si>
  <si>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</si>
  <si>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</si>
  <si>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</si>
  <si>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</si>
  <si>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</si>
  <si>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</si>
  <si>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</si>
  <si>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</si>
  <si>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</si>
  <si>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</si>
  <si>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</si>
  <si>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</si>
  <si>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</si>
  <si>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</si>
  <si>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</si>
  <si>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</si>
  <si>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</si>
  <si>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</si>
  <si>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</si>
  <si>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</si>
  <si>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</si>
  <si>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</si>
  <si>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</si>
  <si>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</si>
  <si>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</si>
  <si>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</si>
  <si>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</si>
  <si>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</si>
  <si>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</si>
  <si>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</si>
  <si>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</si>
  <si>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</si>
  <si>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</si>
  <si>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</si>
  <si>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</si>
  <si>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</si>
  <si>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</si>
  <si>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</si>
  <si>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</si>
  <si>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</si>
  <si>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</si>
  <si>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</si>
  <si>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</si>
  <si>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</si>
  <si>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</si>
  <si>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</si>
  <si>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</si>
  <si>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</si>
  <si>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</si>
  <si>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</si>
  <si>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</si>
  <si>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</si>
  <si>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</si>
  <si>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</si>
  <si>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</si>
  <si>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</si>
  <si>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</si>
  <si>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</si>
  <si>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</si>
  <si>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</si>
  <si>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</si>
  <si>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</si>
  <si>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</si>
  <si>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</si>
  <si>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</si>
  <si>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</si>
  <si>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</si>
  <si>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</si>
  <si>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</si>
  <si>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</si>
  <si>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</si>
  <si>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</si>
  <si>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</si>
  <si>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</si>
  <si>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</si>
  <si>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</si>
  <si>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</si>
  <si>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</si>
  <si>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</si>
  <si>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</si>
  <si>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</si>
  <si>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</si>
  <si>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</si>
  <si>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</si>
  <si>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</si>
  <si>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</si>
  <si>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</si>
  <si>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</si>
  <si>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</si>
  <si>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</si>
  <si>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</si>
  <si>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</si>
  <si>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</si>
  <si>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</si>
  <si>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</si>
  <si>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</si>
  <si>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</si>
  <si>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</si>
  <si>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</si>
  <si>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</si>
  <si>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</si>
  <si>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</si>
  <si>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</si>
  <si>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</si>
  <si>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</si>
  <si>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</si>
  <si>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</si>
  <si>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</si>
  <si>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</si>
  <si>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</si>
  <si>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</si>
  <si>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</si>
  <si>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</si>
  <si>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</si>
  <si>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</si>
  <si>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</si>
  <si>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</si>
  <si>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</si>
  <si>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</si>
  <si>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</si>
  <si>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</si>
  <si>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</si>
  <si>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</si>
  <si>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</si>
  <si>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</si>
  <si>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</si>
  <si>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</si>
  <si>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</si>
  <si>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</si>
  <si>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</si>
  <si>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</si>
  <si>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</si>
  <si>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</si>
  <si>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</si>
  <si>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</si>
  <si>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</si>
  <si>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</si>
  <si>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</si>
  <si>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</si>
  <si>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</si>
  <si>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</si>
  <si>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</si>
  <si>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</si>
  <si>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</si>
  <si>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</si>
  <si>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</si>
  <si>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</si>
  <si>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</si>
  <si>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</si>
  <si>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</si>
  <si>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</si>
  <si>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</si>
  <si>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</si>
  <si>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</si>
  <si>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</si>
  <si>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</si>
  <si>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</si>
  <si>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</si>
  <si>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</si>
  <si>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</si>
  <si>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</si>
  <si>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</si>
  <si>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</si>
  <si>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</si>
  <si>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</si>
  <si>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</si>
  <si>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</si>
  <si>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</si>
  <si>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</si>
  <si>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</si>
  <si>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</si>
  <si>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</si>
  <si>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</si>
  <si>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</si>
  <si>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</si>
  <si>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</si>
  <si>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</si>
  <si>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</si>
  <si>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</si>
  <si>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</si>
  <si>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</si>
  <si>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</si>
  <si>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</si>
  <si>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</si>
  <si>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</si>
  <si>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</si>
  <si>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</si>
  <si>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</si>
  <si>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</si>
  <si>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</si>
  <si>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</si>
  <si>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</si>
  <si>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</si>
  <si>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</si>
  <si>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</si>
  <si>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</si>
  <si>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</si>
  <si>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</si>
  <si>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</si>
  <si>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</si>
  <si>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</si>
  <si>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</si>
  <si>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</si>
  <si>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</si>
  <si>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</si>
  <si>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</si>
  <si>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F3多功能</t>
  </si>
  <si>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</si>
  <si>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</si>
  <si>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</si>
  <si>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</si>
  <si>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</si>
  <si>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</si>
  <si>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</si>
  <si>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</si>
  <si>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</si>
  <si>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</si>
  <si>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</si>
  <si>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</si>
  <si>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</si>
  <si>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</si>
  <si>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</si>
  <si>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</si>
  <si>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</si>
  <si>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</si>
  <si>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</si>
  <si>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</si>
  <si>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</si>
  <si>
    <t>按房产原值计税</t>
  </si>
  <si>
    <t>40</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</si>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</sst>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7"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262554</v>
      </c>
    </row>
    <row r="21" spans="1:2" s="1592" customFormat="1">
      <c r="A21" s="1590" t="s">
        <v>1227</v>
      </c>
      <c r="B21" s="1591">
        <f ca="1">'预评函-2'!D7</f>
        <v>9632</v>
      </c>
    </row>
    <row r="22" spans="1:2" s="1592" customFormat="1">
      <c r="A22" s="1590" t="s">
        <v>1228</v>
      </c>
      <c r="B22" s="1591" t="str">
        <f ca="1">'预评函-2'!D6</f>
        <v>贰拾陆亿贰仟伍佰伍拾肆万元整</v>
      </c>
    </row>
    <row r="23" spans="1:2" s="1592" customFormat="1">
      <c r="A23" s="1590" t="s">
        <v>1279</v>
      </c>
      <c r="B23" s="1591" t="str">
        <f>'预评函-2'!B8</f>
        <v>2.估价师知悉的法定优先受偿款</v>
      </c>
    </row>
    <row r="24" spans="1:2" s="1592" customFormat="1">
      <c r="A24" s="1590" t="s">
        <v>1285</v>
      </c>
      <c r="B24" s="1591">
        <f>'预评函-2'!D8</f>
        <v>1364</v>
      </c>
    </row>
    <row r="25" spans="1:2" s="1592" customFormat="1">
      <c r="A25" s="1590" t="s">
        <v>1229</v>
      </c>
      <c r="B25" s="1591" t="str">
        <f>'预评函-2'!D9</f>
        <v>壹仟叁佰陆拾肆万元整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1364</v>
      </c>
    </row>
    <row r="29" spans="1:2" s="1592" customFormat="1">
      <c r="A29" s="1590" t="s">
        <v>1283</v>
      </c>
      <c r="B29" s="1591" t="str">
        <f>'预评函-2'!B13</f>
        <v>3.房地产抵押价值</v>
      </c>
    </row>
    <row r="30" spans="1:2" s="1592" customFormat="1">
      <c r="A30" s="1590" t="s">
        <v>1284</v>
      </c>
      <c r="B30" s="1591">
        <f ca="1">'预评函-2'!D13</f>
        <v>261190</v>
      </c>
    </row>
    <row r="31" spans="1:2" s="1592" customFormat="1">
      <c r="A31" s="1590" t="s">
        <v>1266</v>
      </c>
      <c r="B31" s="1591">
        <f ca="1">'预评函-2'!D15</f>
        <v>9582</v>
      </c>
    </row>
    <row r="32" spans="1:2" s="1592" customFormat="1">
      <c r="A32" s="1590" t="s">
        <v>1233</v>
      </c>
      <c r="B32" s="1591" t="str">
        <f ca="1">'预评函-2'!D14</f>
        <v>贰拾陆亿壹仟壹佰玖拾万元整</v>
      </c>
    </row>
    <row r="33" spans="1:2" s="1592" customFormat="1">
      <c r="A33" s="1590" t="s">
        <v>1268</v>
      </c>
      <c r="B33" s="1591" t="str">
        <f>'预评函-2'!B16</f>
        <v>4.抵押担保权已注销时的房地产抵押价值</v>
      </c>
    </row>
    <row r="34" spans="1:2" s="1592" customFormat="1">
      <c r="A34" s="1590" t="s">
        <v>1286</v>
      </c>
      <c r="B34" s="1591">
        <f ca="1">'预评函-2'!D16</f>
        <v>261190</v>
      </c>
    </row>
    <row r="35" spans="1:2" s="1592" customFormat="1">
      <c r="A35" s="1590" t="s">
        <v>1267</v>
      </c>
      <c r="B35" s="1591">
        <f ca="1">'预评函-2'!D18</f>
        <v>9582</v>
      </c>
    </row>
    <row r="36" spans="1:2" s="1592" customFormat="1">
      <c r="A36" s="1590" t="s">
        <v>1234</v>
      </c>
      <c r="B36" s="1591" t="str">
        <f ca="1">'预评函-2'!D17</f>
        <v>贰拾陆亿壹仟壹佰玖拾万元整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c r="A42" s="1590" t="s">
        <v>1280</v>
      </c>
      <c r="B42" s="1591" t="str">
        <f>'预评函-3'!B2</f>
        <v>建筑面积</v>
      </c>
    </row>
    <row r="43" spans="1:2" s="1592" customFormat="1">
      <c r="A43" s="1590" t="s">
        <v>1281</v>
      </c>
      <c r="B43" s="1591">
        <f>'预评函-3'!B4</f>
        <v>272582</v>
      </c>
    </row>
    <row r="44" spans="1:2" s="1592" customFormat="1">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f ca="1">'预评函-3'!D4</f>
        <v>233148</v>
      </c>
    </row>
    <row r="48" spans="1:2" s="1592" customFormat="1">
      <c r="A48" s="1590" t="s">
        <v>1239</v>
      </c>
      <c r="B48" s="1591">
        <f ca="1">'预评函-3'!E4</f>
        <v>8553</v>
      </c>
    </row>
    <row r="49" spans="1:2" s="1592" customFormat="1">
      <c r="A49" s="1590" t="s">
        <v>1240</v>
      </c>
      <c r="B49" s="1591" t="str">
        <f ca="1">'预评函-3'!D5</f>
        <v>贰拾叁亿叁仟壹佰肆拾捌万元整</v>
      </c>
    </row>
    <row r="50" spans="1:2" s="1592" customFormat="1">
      <c r="A50" s="1590" t="s">
        <v>1264</v>
      </c>
      <c r="B50" s="1591" t="str">
        <f>'预评函-3'!F2</f>
        <v>在建建筑物价值</v>
      </c>
    </row>
    <row r="51" spans="1:2" s="1592" customFormat="1">
      <c r="A51" s="1590" t="s">
        <v>1241</v>
      </c>
      <c r="B51" s="1591">
        <f ca="1">'预评函-3'!F4</f>
        <v>29406</v>
      </c>
    </row>
    <row r="52" spans="1:2" s="1592" customFormat="1">
      <c r="A52" s="1590" t="s">
        <v>1242</v>
      </c>
      <c r="B52" s="1591">
        <f ca="1">'预评函-3'!G4</f>
        <v>1079</v>
      </c>
    </row>
    <row r="53" spans="1:2" s="1592" customFormat="1">
      <c r="A53" s="1590" t="s">
        <v>1270</v>
      </c>
      <c r="B53" s="1591" t="str">
        <f ca="1">'预评函-3'!F5</f>
        <v>贰亿玖仟肆佰零陆万元整</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故，本次评估估价师知悉的法定优先受偿款为人民币1364万元整。</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5" thickBot="1">
      <c r="A73" s="1593" t="s">
        <v>1255</v>
      </c>
      <c r="B73" s="1594">
        <f ca="1">'预评函-4'!B5</f>
        <v>1120070131</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1" t="s">
        <v>860</v>
      </c>
      <c r="C54" s="2018" t="s">
        <v>1273</v>
      </c>
    </row>
    <row r="55" spans="1:4">
      <c r="A55" s="3017"/>
      <c r="B55" s="2021" t="s">
        <v>861</v>
      </c>
      <c r="C55" s="2018" t="s">
        <v>1274</v>
      </c>
    </row>
    <row r="56" spans="1:4">
      <c r="A56" s="3017"/>
      <c r="B56" s="2021" t="s">
        <v>862</v>
      </c>
      <c r="C56" s="2018" t="s">
        <v>1278</v>
      </c>
    </row>
    <row r="57" spans="1:4">
      <c r="A57" s="3017"/>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1" customWidth="1"/>
    <col min="2" max="2" width="15.25" style="2031" customWidth="1"/>
    <col min="3" max="3" width="11.5" style="2031" customWidth="1"/>
    <col min="4" max="4" width="14.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26"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27"/>
      <c r="D1" s="3027"/>
      <c r="E1" s="3027"/>
      <c r="F1" s="3027"/>
      <c r="G1" s="3027"/>
      <c r="H1" s="3027"/>
      <c r="I1" s="302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29"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30"/>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36"/>
      <c r="C16" s="3037"/>
      <c r="D16" s="3038"/>
      <c r="E16" s="2085" t="s">
        <v>1761</v>
      </c>
      <c r="F16" s="3039"/>
      <c r="G16" s="3040"/>
      <c r="H16" s="3040"/>
      <c r="I16" s="3041"/>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042" t="s">
        <v>3150</v>
      </c>
      <c r="F17" s="3043"/>
      <c r="G17" s="3043"/>
      <c r="H17" s="3043"/>
      <c r="I17" s="3044"/>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045" t="s">
        <v>3149</v>
      </c>
      <c r="F18" s="3046"/>
      <c r="G18" s="3046"/>
      <c r="H18" s="3046"/>
      <c r="I18" s="3047"/>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32" t="s">
        <v>1771</v>
      </c>
      <c r="C20" s="3033"/>
      <c r="D20" s="3034" t="s">
        <v>1772</v>
      </c>
      <c r="E20" s="3035"/>
      <c r="F20" s="2097" t="s">
        <v>1773</v>
      </c>
      <c r="G20" s="2041"/>
      <c r="H20" s="2041"/>
      <c r="I20" s="2041"/>
      <c r="J20" s="2041"/>
      <c r="K20" s="3031"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19"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19"/>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19"/>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0"/>
      <c r="B30" s="2034" t="s">
        <v>1786</v>
      </c>
      <c r="C30" s="3021"/>
      <c r="D30" s="302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3"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3018" t="s">
        <v>1796</v>
      </c>
      <c r="T34" s="2134" t="str">
        <f>NUMBERSTRING(7-K34,1)&amp;"通"</f>
        <v>七通</v>
      </c>
      <c r="U34" s="2028"/>
      <c r="V34" s="2028"/>
    </row>
    <row r="35" spans="1:22" ht="18" customHeight="1">
      <c r="A35" s="2135"/>
      <c r="B35" s="3025" t="s">
        <v>1797</v>
      </c>
      <c r="C35" s="3025"/>
      <c r="D35" s="3025"/>
      <c r="E35" s="3025"/>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C27" sqref="C27"/>
    </sheetView>
  </sheetViews>
  <sheetFormatPr defaultColWidth="8.875" defaultRowHeight="14.25"/>
  <cols>
    <col min="1" max="1" width="11.875" style="2159" customWidth="1"/>
    <col min="2" max="2" width="10.125" style="2159" customWidth="1"/>
    <col min="3" max="3" width="20.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11.2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1833</v>
      </c>
      <c r="B5" s="1802"/>
      <c r="C5" s="1802"/>
      <c r="D5" s="1805"/>
      <c r="E5" s="16" t="s">
        <v>1</v>
      </c>
      <c r="F5" s="16">
        <f>SUM(F13:F587)</f>
        <v>0</v>
      </c>
      <c r="G5" s="16">
        <f>SUM(G13:G587)</f>
        <v>286348</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35256.26</v>
      </c>
      <c r="AE5" s="16">
        <f t="shared" si="0"/>
        <v>0</v>
      </c>
      <c r="AF5" s="16">
        <f t="shared" si="0"/>
        <v>6166.9</v>
      </c>
      <c r="AG5" s="16">
        <f t="shared" si="0"/>
        <v>0</v>
      </c>
      <c r="AH5" s="16">
        <f t="shared" si="0"/>
        <v>0</v>
      </c>
      <c r="AI5" s="16">
        <f t="shared" si="0"/>
        <v>0</v>
      </c>
      <c r="AJ5" s="16">
        <f t="shared" si="0"/>
        <v>0</v>
      </c>
      <c r="AK5" s="16">
        <f t="shared" si="0"/>
        <v>0</v>
      </c>
      <c r="AL5" s="16">
        <f t="shared" si="0"/>
        <v>0</v>
      </c>
      <c r="AM5" s="16">
        <f t="shared" si="0"/>
        <v>0</v>
      </c>
      <c r="AN5" s="16">
        <f t="shared" si="0"/>
        <v>5711.5</v>
      </c>
      <c r="AO5" s="16">
        <f t="shared" si="0"/>
        <v>0</v>
      </c>
      <c r="AP5" s="16">
        <f t="shared" si="0"/>
        <v>0</v>
      </c>
      <c r="AQ5" s="16">
        <f t="shared" si="0"/>
        <v>0</v>
      </c>
      <c r="AR5" s="16">
        <f t="shared" si="0"/>
        <v>0</v>
      </c>
      <c r="AS5" s="16">
        <f t="shared" si="0"/>
        <v>0</v>
      </c>
      <c r="AT5" s="16">
        <f t="shared" si="0"/>
        <v>13766</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35256.26</v>
      </c>
      <c r="BN5" s="18">
        <f t="shared" si="1"/>
        <v>6166.9</v>
      </c>
      <c r="BO5" s="18">
        <f t="shared" si="1"/>
        <v>0</v>
      </c>
      <c r="BP5" s="18">
        <f t="shared" si="1"/>
        <v>0</v>
      </c>
      <c r="BQ5" s="18">
        <f t="shared" si="1"/>
        <v>0</v>
      </c>
      <c r="BR5" s="18">
        <f t="shared" si="1"/>
        <v>5711.5</v>
      </c>
      <c r="BS5" s="18">
        <f t="shared" si="1"/>
        <v>0</v>
      </c>
      <c r="BT5" s="19">
        <f t="shared" si="1"/>
        <v>0</v>
      </c>
    </row>
    <row r="6" spans="1:72" s="2177" customFormat="1" ht="12.75">
      <c r="A6" s="15" t="s">
        <v>1834</v>
      </c>
      <c r="B6" s="2174"/>
      <c r="C6" s="2174"/>
      <c r="D6" s="2175"/>
      <c r="E6" s="16">
        <f>H6+AC6+AT6</f>
        <v>54579.399999999994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9437.8299999999981</v>
      </c>
      <c r="AD6" s="16">
        <f t="shared" ref="AD6:AS6" si="3">ROUND($A$3*AD5/$B$3,2)</f>
        <v>7059.4</v>
      </c>
      <c r="AE6" s="16">
        <f t="shared" si="3"/>
        <v>0</v>
      </c>
      <c r="AF6" s="16">
        <f t="shared" si="3"/>
        <v>1234.81</v>
      </c>
      <c r="AG6" s="16">
        <f t="shared" si="3"/>
        <v>0</v>
      </c>
      <c r="AH6" s="16">
        <f t="shared" si="3"/>
        <v>0</v>
      </c>
      <c r="AI6" s="16">
        <f t="shared" si="3"/>
        <v>0</v>
      </c>
      <c r="AJ6" s="16">
        <f t="shared" si="3"/>
        <v>0</v>
      </c>
      <c r="AK6" s="16">
        <f t="shared" si="3"/>
        <v>0</v>
      </c>
      <c r="AL6" s="16">
        <f t="shared" si="3"/>
        <v>0</v>
      </c>
      <c r="AM6" s="16">
        <f t="shared" si="3"/>
        <v>0</v>
      </c>
      <c r="AN6" s="16">
        <f t="shared" si="3"/>
        <v>1143.6199999999999</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7059.4</v>
      </c>
      <c r="BN6" s="16">
        <f t="shared" si="5"/>
        <v>1234.81</v>
      </c>
      <c r="BO6" s="16">
        <f t="shared" si="5"/>
        <v>0</v>
      </c>
      <c r="BP6" s="16">
        <f t="shared" si="5"/>
        <v>0</v>
      </c>
      <c r="BQ6" s="16">
        <f t="shared" si="5"/>
        <v>0</v>
      </c>
      <c r="BR6" s="16">
        <f t="shared" si="5"/>
        <v>1143.6199999999999</v>
      </c>
      <c r="BS6" s="16">
        <f t="shared" si="5"/>
        <v>0</v>
      </c>
      <c r="BT6" s="22">
        <f t="shared" si="5"/>
        <v>0</v>
      </c>
    </row>
    <row r="7" spans="1:72" s="2167" customFormat="1" ht="24.75">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2.75">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2954"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2954"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2954"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2954"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2954"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v>3522.56</v>
      </c>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3522.56</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2954"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2954" t="s">
        <v>3036</v>
      </c>
      <c r="C19" s="2953" t="s">
        <v>3014</v>
      </c>
      <c r="D19" s="2213" t="s">
        <v>3023</v>
      </c>
      <c r="E19" s="35">
        <f t="shared" si="7"/>
        <v>6192.11</v>
      </c>
      <c r="F19" s="36"/>
      <c r="G19" s="37">
        <f t="shared" si="8"/>
        <v>44690.8</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v>13766</v>
      </c>
      <c r="AU19" s="2219"/>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2953"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v>10003.4</v>
      </c>
      <c r="AE20" s="40"/>
      <c r="AF20" s="40"/>
      <c r="AG20" s="40"/>
      <c r="AH20" s="40"/>
      <c r="AI20" s="40"/>
      <c r="AJ20" s="40"/>
      <c r="AK20" s="40"/>
      <c r="AL20" s="40"/>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10003.4</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2953"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v>9996.4</v>
      </c>
      <c r="AE21" s="40"/>
      <c r="AF21" s="40"/>
      <c r="AG21" s="40"/>
      <c r="AH21" s="40"/>
      <c r="AI21" s="40"/>
      <c r="AJ21" s="40"/>
      <c r="AK21" s="40"/>
      <c r="AL21" s="40"/>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9996.4</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2953"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v>9760.6</v>
      </c>
      <c r="AE22" s="40"/>
      <c r="AF22" s="40"/>
      <c r="AG22" s="40"/>
      <c r="AH22" s="40"/>
      <c r="AI22" s="40"/>
      <c r="AJ22" s="40"/>
      <c r="AK22" s="40"/>
      <c r="AL22" s="40"/>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9760.6</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2953"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v>1582</v>
      </c>
      <c r="AE23" s="40"/>
      <c r="AF23" s="40"/>
      <c r="AG23" s="40"/>
      <c r="AH23" s="40"/>
      <c r="AI23" s="40"/>
      <c r="AJ23" s="40"/>
      <c r="AK23" s="40"/>
      <c r="AL23" s="40"/>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1582</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2953"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2953"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f>174.8+179.4+37.1</f>
        <v>391.30000000000007</v>
      </c>
      <c r="AE25" s="40"/>
      <c r="AF25" s="40">
        <f>584.2+1094.2+101.9+510.2+387.8+118+3370.6</f>
        <v>6166.9</v>
      </c>
      <c r="AG25" s="40"/>
      <c r="AH25" s="40"/>
      <c r="AI25" s="40"/>
      <c r="AJ25" s="40"/>
      <c r="AK25" s="40"/>
      <c r="AL25" s="40"/>
      <c r="AM25" s="40"/>
      <c r="AN25" s="40">
        <v>4191.3999999999996</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391.30000000000007</v>
      </c>
      <c r="BN25" s="35">
        <f t="shared" si="29"/>
        <v>6166.9</v>
      </c>
      <c r="BO25" s="35">
        <f t="shared" si="30"/>
        <v>0</v>
      </c>
      <c r="BP25" s="35">
        <f t="shared" si="31"/>
        <v>0</v>
      </c>
      <c r="BQ25" s="35">
        <f t="shared" si="32"/>
        <v>0</v>
      </c>
      <c r="BR25" s="35">
        <f t="shared" si="33"/>
        <v>4191.3999999999996</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21" sqref="I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1892</v>
      </c>
      <c r="B1" s="1392"/>
      <c r="C1" s="1392"/>
      <c r="D1" s="1392"/>
      <c r="E1" s="1392"/>
      <c r="F1" s="1392"/>
      <c r="G1" s="1392"/>
      <c r="H1" s="1392"/>
      <c r="I1" s="1392"/>
      <c r="J1" s="1392"/>
      <c r="K1" s="1392"/>
      <c r="L1" s="1392"/>
      <c r="M1" s="1392"/>
      <c r="N1" s="1392"/>
      <c r="O1" s="1392"/>
      <c r="P1" s="1392"/>
    </row>
    <row r="2" spans="1:16" ht="15">
      <c r="A2" s="3059" t="s">
        <v>1893</v>
      </c>
      <c r="B2" s="3059"/>
      <c r="C2" s="3059"/>
      <c r="D2" s="967" t="s">
        <v>1869</v>
      </c>
      <c r="E2" s="2227" t="s">
        <v>1870</v>
      </c>
      <c r="F2" s="1392"/>
      <c r="G2" s="2228"/>
      <c r="H2" s="2229"/>
      <c r="I2" s="2230" t="s">
        <v>1894</v>
      </c>
      <c r="J2" s="1392"/>
      <c r="K2" s="1392"/>
      <c r="L2" s="1392"/>
      <c r="M2" s="1392"/>
      <c r="N2" s="1427"/>
      <c r="O2" s="1392"/>
      <c r="P2" s="1392"/>
    </row>
    <row r="3" spans="1:16" ht="15.75" thickBot="1">
      <c r="A3" s="3060" t="s">
        <v>1867</v>
      </c>
      <c r="B3" s="3060"/>
      <c r="C3" s="3060"/>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5">
      <c r="A4" s="3061"/>
      <c r="B4" s="3062"/>
      <c r="C4" s="3063"/>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c r="A5" s="47" t="s">
        <v>1871</v>
      </c>
      <c r="B5" s="3064" t="s">
        <v>1872</v>
      </c>
      <c r="C5" s="3064"/>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64" t="s">
        <v>1873</v>
      </c>
      <c r="C6" s="3064"/>
      <c r="D6" s="48">
        <f>ROUND($D$3*E6/$E$3,2)</f>
        <v>54579.4</v>
      </c>
      <c r="E6" s="49">
        <f>E3-E5</f>
        <v>272582</v>
      </c>
      <c r="F6" s="1392"/>
      <c r="G6" s="2235" t="s">
        <v>1874</v>
      </c>
      <c r="H6" s="1399" t="s">
        <v>1875</v>
      </c>
      <c r="I6" s="939">
        <f>ROUND(F31/D31,2)</f>
        <v>3.5</v>
      </c>
      <c r="J6" s="1392"/>
      <c r="K6" s="1392"/>
      <c r="L6" s="1392"/>
      <c r="M6" s="1392"/>
      <c r="N6" s="1392"/>
      <c r="O6" s="1392"/>
      <c r="P6" s="1392"/>
    </row>
    <row r="7" spans="1:16" ht="15">
      <c r="A7" s="3056"/>
      <c r="B7" s="3057"/>
      <c r="C7" s="3058"/>
      <c r="D7" s="2231" t="s">
        <v>1869</v>
      </c>
      <c r="E7" s="2236" t="s">
        <v>1876</v>
      </c>
      <c r="F7" s="1392"/>
      <c r="G7" s="2228" t="s">
        <v>1877</v>
      </c>
      <c r="H7" s="64"/>
      <c r="I7" s="420"/>
      <c r="J7" s="1392"/>
      <c r="K7" s="1392"/>
      <c r="L7" s="1392"/>
      <c r="M7" s="1392"/>
      <c r="N7" s="1392"/>
      <c r="O7" s="1392"/>
      <c r="P7" s="1392"/>
    </row>
    <row r="8" spans="1:16">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c r="A9" s="2238"/>
      <c r="B9" s="2239"/>
      <c r="C9" s="48" t="s">
        <v>1881</v>
      </c>
      <c r="D9" s="48">
        <f t="shared" si="0"/>
        <v>0</v>
      </c>
      <c r="E9" s="52">
        <v>0</v>
      </c>
      <c r="F9" s="1392"/>
      <c r="G9" s="2237"/>
      <c r="H9" s="2237"/>
      <c r="I9" s="1392"/>
      <c r="J9" s="1392"/>
      <c r="K9" s="1392"/>
      <c r="L9" s="1392"/>
      <c r="M9" s="1392"/>
      <c r="N9" s="1392"/>
      <c r="O9" s="1392"/>
      <c r="P9" s="1392"/>
    </row>
    <row r="10" spans="1:16">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1885</v>
      </c>
      <c r="D16" s="50">
        <f>SUM(D8:D15)</f>
        <v>45141.57</v>
      </c>
      <c r="E16" s="53">
        <f>SUM(E8:E15)</f>
        <v>225447.34000000003</v>
      </c>
      <c r="F16" s="1392"/>
      <c r="G16" s="2237"/>
      <c r="H16" s="2240" t="s">
        <v>1897</v>
      </c>
      <c r="I16" s="2241"/>
      <c r="J16" s="1392"/>
      <c r="K16" s="3053" t="s">
        <v>1897</v>
      </c>
      <c r="L16" s="3054"/>
      <c r="M16" s="3054"/>
      <c r="N16" s="3054"/>
      <c r="O16" s="3054"/>
      <c r="P16" s="3055"/>
    </row>
    <row r="17" spans="1:19" ht="15">
      <c r="A17" s="2242" t="s">
        <v>1898</v>
      </c>
      <c r="B17" s="2243" t="s">
        <v>1899</v>
      </c>
      <c r="C17" s="2244" t="s">
        <v>1900</v>
      </c>
      <c r="D17" s="2245" t="s">
        <v>1888</v>
      </c>
      <c r="E17" s="2246" t="s">
        <v>1889</v>
      </c>
      <c r="F17" s="2247"/>
      <c r="G17" s="2248"/>
      <c r="H17" s="2249" t="s">
        <v>1901</v>
      </c>
      <c r="I17" s="2250" t="s">
        <v>1886</v>
      </c>
      <c r="J17" s="1392"/>
      <c r="K17" s="3050" t="s">
        <v>1902</v>
      </c>
      <c r="L17" s="3051"/>
      <c r="M17" s="3052"/>
      <c r="N17" s="3050" t="s">
        <v>1903</v>
      </c>
      <c r="O17" s="3051"/>
      <c r="P17" s="3052"/>
      <c r="R17" s="2228" t="s">
        <v>1904</v>
      </c>
      <c r="S17" s="64"/>
    </row>
    <row r="18" spans="1:19" ht="15">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c r="A19" s="2259"/>
      <c r="B19" s="50" t="s">
        <v>1887</v>
      </c>
      <c r="C19" s="2260" t="str">
        <f>定义!A3</f>
        <v>办公用房</v>
      </c>
      <c r="D19" s="48">
        <f>ROUND($D$3*E19/$E$3,2)</f>
        <v>25141.5</v>
      </c>
      <c r="E19" s="56">
        <f t="shared" ref="E19:E26" si="1">SUM(F19:G19)</f>
        <v>125562.38</v>
      </c>
      <c r="F19" s="57">
        <f>'数据-基础表'!I5</f>
        <v>125562.38</v>
      </c>
      <c r="G19" s="58"/>
      <c r="H19" s="723">
        <f>ROUND($D$3*I19/$E$3,2)</f>
        <v>636.94000000000005</v>
      </c>
      <c r="I19" s="51">
        <f t="shared" ref="I19:I26" si="2">IF($I$17="自定义",P19,M19)</f>
        <v>3181.01</v>
      </c>
      <c r="J19" s="1392"/>
      <c r="K19" s="1391">
        <f t="shared" ref="K19:K26" si="3">ROUND(E$28*E19/E$27,2)</f>
        <v>3181.01</v>
      </c>
      <c r="L19" s="1247">
        <f t="shared" ref="L19:L26" si="4">ROUND(IF(COUNTIF(C19,"*住宅*")&gt;0,E$29*E19/E$32,0),2)</f>
        <v>0</v>
      </c>
      <c r="M19" s="1403">
        <f>K19+L19</f>
        <v>3181.01</v>
      </c>
      <c r="N19" s="2261"/>
      <c r="O19" s="2262"/>
      <c r="P19" s="1403">
        <f>N19+O19</f>
        <v>0</v>
      </c>
      <c r="R19" s="1247">
        <f t="shared" ref="R19:S26" si="5">D19+H19</f>
        <v>25778.44</v>
      </c>
      <c r="S19" s="1248">
        <f t="shared" si="5"/>
        <v>128743.39</v>
      </c>
    </row>
    <row r="20" spans="1:19">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57.71</v>
      </c>
      <c r="I20" s="51">
        <f t="shared" si="2"/>
        <v>288.20999999999998</v>
      </c>
      <c r="J20" s="1392"/>
      <c r="K20" s="1391">
        <f t="shared" si="3"/>
        <v>288.20999999999998</v>
      </c>
      <c r="L20" s="1247">
        <f t="shared" si="4"/>
        <v>0</v>
      </c>
      <c r="M20" s="1403">
        <f t="shared" ref="M20:M26" si="8">K20+L20</f>
        <v>288.20999999999998</v>
      </c>
      <c r="N20" s="2261"/>
      <c r="O20" s="2262"/>
      <c r="P20" s="1403">
        <f t="shared" ref="P20:P26" si="9">N20+O20</f>
        <v>0</v>
      </c>
      <c r="R20" s="1247">
        <f t="shared" si="5"/>
        <v>2335.62</v>
      </c>
      <c r="S20" s="1248">
        <f t="shared" si="5"/>
        <v>11664.63</v>
      </c>
    </row>
    <row r="21" spans="1:19">
      <c r="A21" s="2263"/>
      <c r="B21" s="50" t="s">
        <v>1915</v>
      </c>
      <c r="C21" s="2260" t="str">
        <f>定义!A5</f>
        <v>酒店用房</v>
      </c>
      <c r="D21" s="48">
        <f t="shared" si="6"/>
        <v>3770.94</v>
      </c>
      <c r="E21" s="56">
        <f t="shared" si="1"/>
        <v>18832.939999999999</v>
      </c>
      <c r="F21" s="57">
        <f>'数据-基础表'!M5</f>
        <v>18832.939999999999</v>
      </c>
      <c r="G21" s="58"/>
      <c r="H21" s="723">
        <f t="shared" si="7"/>
        <v>95.53</v>
      </c>
      <c r="I21" s="51">
        <f t="shared" si="2"/>
        <v>477.12</v>
      </c>
      <c r="J21" s="1392"/>
      <c r="K21" s="1391">
        <f t="shared" si="3"/>
        <v>477.12</v>
      </c>
      <c r="L21" s="1247">
        <f t="shared" si="4"/>
        <v>0</v>
      </c>
      <c r="M21" s="1403">
        <f t="shared" si="8"/>
        <v>477.12</v>
      </c>
      <c r="N21" s="2261"/>
      <c r="O21" s="2262"/>
      <c r="P21" s="1403">
        <f t="shared" si="9"/>
        <v>0</v>
      </c>
      <c r="R21" s="1247">
        <f t="shared" si="5"/>
        <v>3866.4700000000003</v>
      </c>
      <c r="S21" s="1248">
        <f t="shared" si="5"/>
        <v>19310.059999999998</v>
      </c>
    </row>
    <row r="22" spans="1:19">
      <c r="A22" s="2263"/>
      <c r="B22" s="50" t="s">
        <v>1915</v>
      </c>
      <c r="C22" s="60" t="str">
        <f>定义!A6</f>
        <v>地下车库用房</v>
      </c>
      <c r="D22" s="48">
        <f t="shared" si="6"/>
        <v>13951.22</v>
      </c>
      <c r="E22" s="56">
        <f t="shared" si="1"/>
        <v>69675.600000000006</v>
      </c>
      <c r="F22" s="61"/>
      <c r="G22" s="62">
        <f>'数据-基础表'!O5</f>
        <v>69675.600000000006</v>
      </c>
      <c r="H22" s="723">
        <f t="shared" si="7"/>
        <v>353.44</v>
      </c>
      <c r="I22" s="51">
        <f t="shared" si="2"/>
        <v>1765.17</v>
      </c>
      <c r="J22" s="1392"/>
      <c r="K22" s="1391">
        <f t="shared" si="3"/>
        <v>1765.17</v>
      </c>
      <c r="L22" s="1247">
        <f t="shared" si="4"/>
        <v>0</v>
      </c>
      <c r="M22" s="1403">
        <f t="shared" si="8"/>
        <v>1765.17</v>
      </c>
      <c r="N22" s="2261"/>
      <c r="O22" s="2262"/>
      <c r="P22" s="1403">
        <f t="shared" si="9"/>
        <v>0</v>
      </c>
      <c r="R22" s="1247">
        <f t="shared" si="5"/>
        <v>14304.66</v>
      </c>
      <c r="S22" s="1248">
        <f t="shared" si="5"/>
        <v>71440.77</v>
      </c>
    </row>
    <row r="23" spans="1:19">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43.5"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1143.6200000000001</v>
      </c>
      <c r="I27" s="1397">
        <f>SUM(I19:I26)</f>
        <v>5711.51</v>
      </c>
      <c r="J27" s="1392"/>
      <c r="K27" s="1400">
        <f>SUM(K19:K26)</f>
        <v>5711.51</v>
      </c>
      <c r="L27" s="1401">
        <f>SUM(L19:L26)</f>
        <v>0</v>
      </c>
      <c r="M27" s="1404">
        <f>SUM(M19:M26)</f>
        <v>5711.51</v>
      </c>
      <c r="N27" s="1400">
        <f t="shared" ref="N27:O27" si="10">SUM(N19:N26)</f>
        <v>0</v>
      </c>
      <c r="O27" s="1401">
        <f t="shared" si="10"/>
        <v>0</v>
      </c>
      <c r="P27" s="1402">
        <f>SUM(P19:P26)</f>
        <v>0</v>
      </c>
      <c r="R27" s="1249" t="str">
        <f>IF(SUM(R19:R26)=$D$3,SUM(R19:R26),SUM(R19:R26)&amp;"误差"&amp;ROUND(SUM(R19:R26)-$D$3,2))</f>
        <v>46285.19误差-8294.21</v>
      </c>
      <c r="S27" s="1247" t="str">
        <f>IF(SUM(S19:S26)=$E$3,SUM(S19:S26),SUM(S19:S26)&amp;"误差"&amp;ROUND(SUM(S19:S26)-E3,2))</f>
        <v>231158.85误差-41423.15</v>
      </c>
    </row>
    <row r="28" spans="1:19">
      <c r="A28" s="2263"/>
      <c r="B28" s="50" t="s">
        <v>1917</v>
      </c>
      <c r="C28" s="1259" t="s">
        <v>1918</v>
      </c>
      <c r="D28" s="48">
        <f>ROUND($D$3*E28/$E$3,2)</f>
        <v>1143.6199999999999</v>
      </c>
      <c r="E28" s="56">
        <f>SUM(F28:G28)</f>
        <v>5711.5</v>
      </c>
      <c r="F28" s="64">
        <f>'数据-基础表'!BQ5+'数据-基础表'!BS5</f>
        <v>0</v>
      </c>
      <c r="G28" s="65">
        <f>'数据-基础表'!BR5+'数据-基础表'!BT5</f>
        <v>5711.5</v>
      </c>
      <c r="H28" s="1392"/>
      <c r="I28" s="1392"/>
      <c r="J28" s="1392"/>
      <c r="K28" s="1392"/>
      <c r="L28" s="1392"/>
      <c r="M28" s="1392"/>
      <c r="N28" s="1392"/>
      <c r="O28" s="1392"/>
      <c r="P28" s="1392"/>
    </row>
    <row r="29" spans="1:19">
      <c r="A29" s="2263"/>
      <c r="B29" s="50" t="s">
        <v>1917</v>
      </c>
      <c r="C29" s="2267" t="s">
        <v>1919</v>
      </c>
      <c r="D29" s="48">
        <f>ROUND($D$3*E29/$E$3,2)</f>
        <v>8294.2099999999991</v>
      </c>
      <c r="E29" s="56">
        <f>SUM(F29:G29)</f>
        <v>41423.160000000003</v>
      </c>
      <c r="F29" s="66">
        <f>'数据-基础表'!BM5+'数据-基础表'!BO5</f>
        <v>35256.26</v>
      </c>
      <c r="G29" s="67">
        <f>'数据-基础表'!BN5+'数据-基础表'!BP5</f>
        <v>6166.9</v>
      </c>
      <c r="H29" s="1392"/>
      <c r="I29" s="1392"/>
      <c r="J29" s="1392"/>
      <c r="K29" s="1392"/>
      <c r="L29" s="1392"/>
      <c r="M29" s="1392"/>
      <c r="N29" s="1392"/>
      <c r="O29" s="1392"/>
      <c r="P29" s="1392"/>
    </row>
    <row r="30" spans="1:19" ht="15">
      <c r="A30" s="2263"/>
      <c r="B30" s="50"/>
      <c r="C30" s="2268" t="s">
        <v>1916</v>
      </c>
      <c r="D30" s="1393">
        <f>SUM(D28:D29)</f>
        <v>9437.8299999999981</v>
      </c>
      <c r="E30" s="1393">
        <f>SUM(E28:E29)</f>
        <v>47134.66</v>
      </c>
      <c r="F30" s="1393">
        <f>SUM(F28:F29)</f>
        <v>35256.26</v>
      </c>
      <c r="G30" s="1395">
        <f>SUM(G28:G29)</f>
        <v>11878.4</v>
      </c>
      <c r="H30" s="1392"/>
      <c r="I30" s="1392"/>
      <c r="J30" s="1392"/>
      <c r="K30" s="1392"/>
      <c r="L30" s="1392"/>
      <c r="M30" s="1392"/>
      <c r="N30" s="1392"/>
      <c r="O30" s="1392"/>
      <c r="P30" s="1392"/>
    </row>
    <row r="31" spans="1:19" ht="15.75" thickBot="1">
      <c r="A31" s="2269"/>
      <c r="B31" s="2270"/>
      <c r="C31" s="1007" t="s">
        <v>1920</v>
      </c>
      <c r="D31" s="729">
        <f>D27+D30</f>
        <v>54579.399999999994</v>
      </c>
      <c r="E31" s="729">
        <f>E27+E30</f>
        <v>272582</v>
      </c>
      <c r="F31" s="730">
        <f>F27+F30</f>
        <v>191028.00000000003</v>
      </c>
      <c r="G31" s="731">
        <f>G27+G30</f>
        <v>81554</v>
      </c>
      <c r="H31" s="1392"/>
      <c r="I31" s="1392"/>
      <c r="J31" s="1392"/>
      <c r="K31" s="1392"/>
      <c r="L31" s="1392"/>
      <c r="M31" s="1392"/>
      <c r="N31" s="1392"/>
      <c r="O31" s="1392"/>
      <c r="P31" s="1392"/>
    </row>
    <row r="32" spans="1:19">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0.75" style="2275" customWidth="1"/>
    <col min="22" max="22" width="6.375" style="2275" customWidth="1"/>
    <col min="23" max="24" width="6.75" style="2275" customWidth="1"/>
    <col min="25" max="25" width="9.75" style="2275" customWidth="1"/>
    <col min="26"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0.38390000000000002</v>
      </c>
      <c r="O6" s="75">
        <f>IF($N$5="成新度","——",ROUND(M6*N6,0))</f>
        <v>16871</v>
      </c>
      <c r="P6" s="76">
        <f>IF($N$5="成新度","——",M6-O6)</f>
        <v>27076</v>
      </c>
      <c r="Q6" s="804">
        <v>0.15</v>
      </c>
      <c r="R6" s="77">
        <f ca="1">SUMIF('数据-汇总表'!C$19:C$33,A6,'数据-汇总表'!R$19:R$27)</f>
        <v>25778.44</v>
      </c>
      <c r="S6" s="54">
        <f>IF('数据-汇总表'!$I$17="按面积比例",SUMIF('数据-汇总表'!C$19:C$33,A6,'数据-汇总表'!K$19:K$33),SUMIF('数据-汇总表'!C$19:C$33,A6,'数据-汇总表'!N$19:N$33))</f>
        <v>3181.01</v>
      </c>
      <c r="T6" s="1443">
        <f>ROUND($L$14*S6/10000,0)</f>
        <v>795</v>
      </c>
      <c r="U6" s="78">
        <v>4</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282369</v>
      </c>
      <c r="AP6" s="2310">
        <f>IF(C6="住宅",K6*L6,0)</f>
        <v>0</v>
      </c>
      <c r="AQ6" s="55">
        <f>ROUND($L$14*$N$14*S6/10000,0)</f>
        <v>379</v>
      </c>
      <c r="AR6" s="55">
        <f>ROUND($L$14*(1-$N$14)*S6/10000,0)</f>
        <v>416</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0.44340000000000002</v>
      </c>
      <c r="O7" s="75">
        <f t="shared" ref="O7:O14" si="3">IF($N$5="成新度","——",ROUND(M7*N7,0))</f>
        <v>2018</v>
      </c>
      <c r="P7" s="76">
        <f t="shared" ref="P7:P14" si="4">IF($N$5="成新度","——",M7-O7)</f>
        <v>2533</v>
      </c>
      <c r="Q7" s="804">
        <v>0.25</v>
      </c>
      <c r="R7" s="77">
        <f ca="1">SUMIF('数据-汇总表'!C$19:C$33,A7,'数据-汇总表'!R$19:R$27)</f>
        <v>2335.62</v>
      </c>
      <c r="S7" s="54">
        <f>IF('数据-汇总表'!$I$17="按面积比例",SUMIF('数据-汇总表'!C$19:C$33,A7,'数据-汇总表'!K$19:K$33),SUMIF('数据-汇总表'!C$19:C$33,A7,'数据-汇总表'!N$19:N$33))</f>
        <v>288.20999999999998</v>
      </c>
      <c r="T7" s="1443">
        <f t="shared" ref="T7:T13" si="5">ROUND($L$14*S7/10000,0)</f>
        <v>72</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30404</v>
      </c>
      <c r="AP7" s="2310">
        <f t="shared" ref="AP7:AP13" si="9">IF(C7="住宅",K7*L7,0)</f>
        <v>0</v>
      </c>
      <c r="AQ7" s="55">
        <f t="shared" ref="AQ7:AQ13" si="10">ROUND($L$14*$N$14*S7/10000,0)</f>
        <v>34</v>
      </c>
      <c r="AR7" s="55">
        <f t="shared" ref="AR7:AR13" si="11">ROUND($L$14*(1-$N$14)*S7/10000,0)</f>
        <v>38</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5000</v>
      </c>
      <c r="M8" s="75">
        <f>ROUND(K8*L8/10000,0)</f>
        <v>9416</v>
      </c>
      <c r="N8" s="801">
        <f>工程进度!H24</f>
        <v>0</v>
      </c>
      <c r="O8" s="75">
        <f t="shared" si="3"/>
        <v>0</v>
      </c>
      <c r="P8" s="76">
        <f t="shared" si="4"/>
        <v>9416</v>
      </c>
      <c r="Q8" s="804">
        <v>0.3</v>
      </c>
      <c r="R8" s="77">
        <f ca="1">SUMIF('数据-汇总表'!C$19:C$33,A8,'数据-汇总表'!R$19:R$27)</f>
        <v>3866.4700000000003</v>
      </c>
      <c r="S8" s="54">
        <f>IF('数据-汇总表'!$I$17="按面积比例",SUMIF('数据-汇总表'!C$19:C$33,A8,'数据-汇总表'!K$19:K$33),SUMIF('数据-汇总表'!C$19:C$33,A8,'数据-汇总表'!N$19:N$33))</f>
        <v>477.12</v>
      </c>
      <c r="T8" s="1443">
        <f t="shared" si="5"/>
        <v>119</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27474</v>
      </c>
      <c r="AP8" s="2310">
        <f t="shared" si="9"/>
        <v>0</v>
      </c>
      <c r="AQ8" s="55">
        <f t="shared" si="10"/>
        <v>57</v>
      </c>
      <c r="AR8" s="55">
        <f t="shared" si="11"/>
        <v>62</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0.37569999999999998</v>
      </c>
      <c r="O9" s="75">
        <f t="shared" si="3"/>
        <v>6544</v>
      </c>
      <c r="P9" s="76">
        <f t="shared" si="4"/>
        <v>10875</v>
      </c>
      <c r="Q9" s="90">
        <v>0.1</v>
      </c>
      <c r="R9" s="77">
        <f ca="1">SUMIF('数据-汇总表'!C$19:C$33,A9,'数据-汇总表'!R$19:R$27)</f>
        <v>14304.66</v>
      </c>
      <c r="S9" s="54">
        <f>IF('数据-汇总表'!$I$17="按面积比例",SUMIF('数据-汇总表'!C$19:C$33,A9,'数据-汇总表'!K$19:K$33),SUMIF('数据-汇总表'!C$19:C$33,A9,'数据-汇总表'!N$19:N$33))</f>
        <v>1765.17</v>
      </c>
      <c r="T9" s="1443">
        <f t="shared" si="5"/>
        <v>441</v>
      </c>
      <c r="U9" s="78">
        <v>500</v>
      </c>
      <c r="V9" s="79">
        <v>0.02</v>
      </c>
      <c r="W9" s="79">
        <v>0.1</v>
      </c>
      <c r="X9" s="1261"/>
      <c r="Y9" s="80">
        <v>1</v>
      </c>
      <c r="Z9" s="81"/>
      <c r="AA9" s="74"/>
      <c r="AB9" s="74"/>
      <c r="AC9" s="1261"/>
      <c r="AD9" s="82"/>
      <c r="AE9" s="1262">
        <f t="shared" ca="1" si="6"/>
        <v>43.68</v>
      </c>
      <c r="AF9" s="1803"/>
      <c r="AG9" s="147">
        <f t="shared" si="7"/>
        <v>0</v>
      </c>
      <c r="AH9" s="83">
        <f>ROUND('数据-汇总表'!G22/50,0)</f>
        <v>1394</v>
      </c>
      <c r="AI9" s="85">
        <v>12</v>
      </c>
      <c r="AJ9" s="86"/>
      <c r="AK9" s="87">
        <v>1.4999999999999999E-2</v>
      </c>
      <c r="AL9" s="88">
        <v>1.5E-3</v>
      </c>
      <c r="AM9" s="89">
        <v>1.4999999999999999E-2</v>
      </c>
      <c r="AN9" s="2309" t="s">
        <v>3146</v>
      </c>
      <c r="AO9" s="55">
        <f t="shared" ca="1" si="8"/>
        <v>4069</v>
      </c>
      <c r="AP9" s="2310">
        <f t="shared" si="9"/>
        <v>0</v>
      </c>
      <c r="AQ9" s="55">
        <f t="shared" si="10"/>
        <v>210</v>
      </c>
      <c r="AR9" s="55">
        <f t="shared" si="11"/>
        <v>231</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5711.5</v>
      </c>
      <c r="L14" s="91">
        <v>2500</v>
      </c>
      <c r="M14" s="75">
        <f t="shared" si="0"/>
        <v>1428</v>
      </c>
      <c r="N14" s="92">
        <f>工程进度!H26</f>
        <v>0.47699999999999998</v>
      </c>
      <c r="O14" s="75">
        <f t="shared" si="3"/>
        <v>681</v>
      </c>
      <c r="P14" s="76">
        <f t="shared" si="4"/>
        <v>747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41423.160000000003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3321</v>
      </c>
      <c r="M16" s="102">
        <f>SUM(M6:M14)</f>
        <v>76761</v>
      </c>
      <c r="N16" s="103">
        <f>ROUND(SUMPRODUCT(M6:M14,N6:N14)/M16,3)</f>
        <v>0.34</v>
      </c>
      <c r="O16" s="102">
        <f>SUM(O6:O14)</f>
        <v>26114</v>
      </c>
      <c r="P16" s="102">
        <f>SUM(P6:P14)</f>
        <v>50647</v>
      </c>
      <c r="Q16" s="104">
        <f>ROUND(SUMPRODUCT(Q6:Q13,K6:K13)/SUMPRODUCT((Q6:Q13&gt;0)*(K6:K13)),2)</f>
        <v>0.15</v>
      </c>
      <c r="R16" s="1255">
        <f ca="1">SUM(R6:R13)</f>
        <v>46285.19</v>
      </c>
      <c r="S16" s="105">
        <f>SUM(S6:S13)</f>
        <v>5711.51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5" t="s">
        <v>2039</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2040</v>
      </c>
      <c r="D2" s="2366"/>
      <c r="E2" s="2367"/>
      <c r="F2" s="2286"/>
      <c r="G2" s="2365" t="s">
        <v>2041</v>
      </c>
      <c r="H2" s="2368"/>
      <c r="I2" s="2368"/>
      <c r="J2" s="2368"/>
      <c r="K2" s="2368"/>
      <c r="L2" s="2368"/>
      <c r="M2" s="2368"/>
      <c r="N2" s="2368"/>
      <c r="O2" s="2368"/>
      <c r="P2" s="2368"/>
      <c r="Q2" s="2368"/>
      <c r="R2" s="2368"/>
    </row>
    <row r="3" spans="1:29" ht="27">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4">
      <c r="A4" s="431"/>
      <c r="B4" s="1794" t="s">
        <v>2045</v>
      </c>
      <c r="C4" s="2966" t="s">
        <v>3152</v>
      </c>
      <c r="D4" s="2371"/>
      <c r="E4" s="2374"/>
      <c r="F4" s="42" t="s">
        <v>2046</v>
      </c>
      <c r="G4" s="2375"/>
      <c r="H4" s="2368"/>
      <c r="I4" s="2368"/>
      <c r="J4" s="2368"/>
      <c r="K4" s="2368"/>
      <c r="L4" s="2368"/>
      <c r="M4" s="2368"/>
      <c r="N4" s="2368"/>
      <c r="O4" s="2368"/>
      <c r="P4" s="2368"/>
      <c r="Q4" s="2368"/>
      <c r="R4" s="2368"/>
    </row>
    <row r="5" spans="1:29" ht="54">
      <c r="A5" s="431"/>
      <c r="B5" s="1794" t="s">
        <v>2047</v>
      </c>
      <c r="C5" s="2966" t="s">
        <v>3154</v>
      </c>
      <c r="D5" s="2371"/>
      <c r="E5" s="2374"/>
      <c r="F5" s="1794" t="s">
        <v>2048</v>
      </c>
      <c r="G5" s="2375"/>
      <c r="H5" s="2368"/>
      <c r="I5" s="2368"/>
      <c r="J5" s="2368"/>
      <c r="K5" s="2368"/>
      <c r="L5" s="2368"/>
      <c r="M5" s="2368"/>
      <c r="N5" s="2368"/>
      <c r="O5" s="2368"/>
      <c r="P5" s="2368"/>
      <c r="Q5" s="2368"/>
      <c r="R5" s="2368"/>
    </row>
    <row r="6" spans="1:29" ht="67.5">
      <c r="A6" s="431"/>
      <c r="B6" s="1794" t="s">
        <v>2049</v>
      </c>
      <c r="C6" s="2967" t="s">
        <v>3155</v>
      </c>
      <c r="D6" s="2371"/>
      <c r="E6" s="2374"/>
      <c r="F6" s="1794" t="s">
        <v>2050</v>
      </c>
      <c r="G6" s="2375"/>
      <c r="H6" s="2368"/>
      <c r="I6" s="2368"/>
      <c r="J6" s="2368"/>
      <c r="K6" s="2368"/>
      <c r="L6" s="2368"/>
      <c r="M6" s="2368"/>
      <c r="N6" s="2368"/>
      <c r="O6" s="2368"/>
      <c r="P6" s="2368"/>
      <c r="Q6" s="2368"/>
      <c r="R6" s="2368"/>
    </row>
    <row r="7" spans="1:29" ht="27.75" thickBot="1">
      <c r="A7" s="431"/>
      <c r="B7" s="1794" t="s">
        <v>2048</v>
      </c>
      <c r="C7" s="2967" t="s">
        <v>3165</v>
      </c>
      <c r="D7" s="2376"/>
      <c r="E7" s="2377"/>
      <c r="F7" s="2378" t="s">
        <v>2051</v>
      </c>
      <c r="G7" s="2379"/>
      <c r="H7" s="2368"/>
      <c r="I7" s="2368"/>
      <c r="J7" s="2368"/>
      <c r="K7" s="2368"/>
      <c r="L7" s="2368"/>
      <c r="M7" s="2368"/>
      <c r="N7" s="2368"/>
      <c r="O7" s="2368"/>
      <c r="P7" s="2368"/>
      <c r="Q7" s="2368"/>
      <c r="R7" s="2368"/>
    </row>
    <row r="8" spans="1:29" ht="27">
      <c r="A8" s="431"/>
      <c r="B8" s="1794" t="s">
        <v>2050</v>
      </c>
      <c r="C8" s="2967" t="s">
        <v>3157</v>
      </c>
      <c r="D8" s="2376"/>
      <c r="E8" s="2376"/>
      <c r="F8" s="1133"/>
      <c r="G8" s="1133"/>
      <c r="H8" s="2368"/>
      <c r="I8" s="2368"/>
      <c r="J8" s="2368"/>
      <c r="K8" s="2368"/>
      <c r="L8" s="2368"/>
      <c r="M8" s="2368"/>
      <c r="N8" s="2368"/>
      <c r="O8" s="2368"/>
      <c r="P8" s="2368"/>
      <c r="Q8" s="2368"/>
      <c r="R8" s="2368"/>
    </row>
    <row r="9" spans="1:29" ht="40.5">
      <c r="A9" s="431"/>
      <c r="B9" s="1794" t="s">
        <v>2052</v>
      </c>
      <c r="C9" s="2966" t="s">
        <v>3159</v>
      </c>
      <c r="D9" s="2371"/>
      <c r="E9" s="2376"/>
      <c r="F9" s="1133"/>
      <c r="G9" s="1133"/>
      <c r="H9" s="2368"/>
      <c r="I9" s="2368"/>
      <c r="J9" s="2368"/>
      <c r="K9" s="2368"/>
      <c r="L9" s="2368"/>
      <c r="M9" s="2368"/>
      <c r="N9" s="2368"/>
      <c r="O9" s="2368"/>
      <c r="P9" s="2368"/>
      <c r="Q9" s="2368"/>
      <c r="R9" s="2368"/>
    </row>
    <row r="10" spans="1:29" s="117" customFormat="1" ht="15.7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2054</v>
      </c>
      <c r="B13" s="2387"/>
      <c r="C13" s="2387"/>
      <c r="D13" s="2394"/>
      <c r="E13" s="2387"/>
      <c r="F13" s="2387"/>
      <c r="G13" s="2387"/>
    </row>
    <row r="14" spans="1:29" ht="15.75" thickBot="1">
      <c r="A14" s="2398"/>
      <c r="B14" s="2399"/>
      <c r="C14" s="2400" t="s">
        <v>2055</v>
      </c>
      <c r="D14" s="2371"/>
      <c r="E14" s="2401"/>
      <c r="F14" s="2401"/>
      <c r="G14" s="2365" t="s">
        <v>2056</v>
      </c>
    </row>
    <row r="15" spans="1:29" ht="27">
      <c r="A15" s="68" t="s">
        <v>2057</v>
      </c>
      <c r="B15" s="1267" t="s">
        <v>2043</v>
      </c>
      <c r="C15" s="2402" t="str">
        <f>C3</f>
        <v>——</v>
      </c>
      <c r="D15" s="2371"/>
      <c r="E15" s="2403" t="s">
        <v>2058</v>
      </c>
      <c r="F15" s="1267" t="s">
        <v>2059</v>
      </c>
      <c r="G15" s="135">
        <f>G3</f>
        <v>0</v>
      </c>
    </row>
    <row r="16" spans="1:29" ht="57">
      <c r="A16" s="645"/>
      <c r="B16" s="2404" t="s">
        <v>2045</v>
      </c>
      <c r="C16" s="2405" t="str">
        <f>C4</f>
        <v>估价对象位于经济开发区，周边商业氛围成熟度一般，人流量一般，商业繁华度一般</v>
      </c>
      <c r="D16" s="2371"/>
      <c r="E16" s="2406"/>
      <c r="F16" s="2407" t="s">
        <v>2046</v>
      </c>
      <c r="G16" s="136">
        <f>G4</f>
        <v>0</v>
      </c>
    </row>
    <row r="17" spans="1:18" ht="57">
      <c r="A17" s="645"/>
      <c r="B17" s="2404" t="s">
        <v>2047</v>
      </c>
      <c r="C17" s="2405" t="str">
        <f>C5</f>
        <v>估价对象位于经济开发区，周边办公楼项目较多，有中荣科技大厦等，入驻率高，办公集聚程度较好</v>
      </c>
      <c r="D17" s="2376"/>
      <c r="E17" s="2406"/>
      <c r="F17" s="2407" t="s">
        <v>2060</v>
      </c>
      <c r="G17" s="1568"/>
    </row>
    <row r="18" spans="1:18" ht="71.25">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5">
      <c r="A19" s="645"/>
      <c r="B19" s="2407" t="s">
        <v>2061</v>
      </c>
      <c r="C19" s="2955" t="s">
        <v>3050</v>
      </c>
      <c r="D19" s="2371"/>
      <c r="E19" s="2406"/>
      <c r="F19" s="1794" t="s">
        <v>2048</v>
      </c>
      <c r="G19" s="136">
        <f>G5</f>
        <v>0</v>
      </c>
    </row>
    <row r="20" spans="1:18" ht="42.75">
      <c r="A20" s="645"/>
      <c r="B20" s="2407" t="s">
        <v>2062</v>
      </c>
      <c r="C20" s="2405" t="str">
        <f>C9</f>
        <v>区域自然环境一般；人文环境一般；综合评价环境状况一般</v>
      </c>
      <c r="D20" s="2376"/>
      <c r="E20" s="2406"/>
      <c r="F20" s="1794" t="s">
        <v>2063</v>
      </c>
      <c r="G20" s="136">
        <f>G6</f>
        <v>0</v>
      </c>
    </row>
    <row r="21" spans="1:18" ht="28.5">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7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7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272582</v>
      </c>
      <c r="C1" s="1741"/>
      <c r="D1" s="1741"/>
      <c r="E1" s="1741"/>
      <c r="F1" s="1741"/>
      <c r="G1" s="1739"/>
    </row>
    <row r="2" spans="1:10" ht="16.5">
      <c r="A2" s="1742" t="s">
        <v>1345</v>
      </c>
      <c r="B2" s="1742">
        <f>SUM(C14:C23)</f>
        <v>54579.4</v>
      </c>
      <c r="C2" s="1741"/>
      <c r="D2" s="1741"/>
      <c r="E2" s="1741"/>
      <c r="F2" s="1741"/>
      <c r="G2" s="1739"/>
    </row>
    <row r="3" spans="1:10" ht="16.5">
      <c r="A3" s="1742" t="s">
        <v>1354</v>
      </c>
      <c r="B3" s="1743">
        <f>项目基本情况!D3</f>
        <v>43537</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262554</v>
      </c>
      <c r="C5" s="1742">
        <f ca="1">ROUND(B5*10000/$B$1,0)</f>
        <v>9632</v>
      </c>
      <c r="D5" s="1742">
        <f ca="1">ROUND(B5*10000/$B$2,0)</f>
        <v>48105</v>
      </c>
      <c r="E5" s="1741"/>
      <c r="F5" s="1739"/>
      <c r="G5" s="1739"/>
    </row>
    <row r="6" spans="1:10" ht="16.5">
      <c r="A6" s="1742" t="s">
        <v>1348</v>
      </c>
      <c r="B6" s="1742">
        <f ca="1">SUM(G14:G23)</f>
        <v>261190</v>
      </c>
      <c r="C6" s="1742">
        <f ca="1">ROUND(B6*10000/$B$1,0)</f>
        <v>9582</v>
      </c>
      <c r="D6" s="1742">
        <f ca="1">ROUND(B6*10000/$B$2,0)</f>
        <v>47855</v>
      </c>
      <c r="E6" s="1741"/>
      <c r="F6" s="1739"/>
      <c r="G6" s="1739"/>
    </row>
    <row r="7" spans="1:10" ht="16.5">
      <c r="A7" s="1742" t="s">
        <v>1356</v>
      </c>
      <c r="B7" s="1742">
        <f ca="1">SUM(H14:H23)</f>
        <v>261190</v>
      </c>
      <c r="C7" s="1742">
        <f ca="1">ROUND(B7*10000/$B$1,0)</f>
        <v>9582</v>
      </c>
      <c r="D7" s="1742">
        <f ca="1">ROUND(B7*10000/$B$2,0)</f>
        <v>47855</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272582</v>
      </c>
      <c r="C14" s="1740">
        <f>结果表!C118</f>
        <v>54579.4</v>
      </c>
      <c r="D14" s="1740">
        <f ca="1">结果表!H118</f>
        <v>262554</v>
      </c>
      <c r="E14" s="1740">
        <f ca="1">ROUND(D14*10000/B14,0)</f>
        <v>9632</v>
      </c>
      <c r="F14" s="1740">
        <f ca="1">ROUND(D14*10000/C14,0)</f>
        <v>48105</v>
      </c>
      <c r="G14" s="1740">
        <f ca="1">结果表!D122</f>
        <v>261190</v>
      </c>
      <c r="H14" s="1740">
        <f ca="1">结果表!D124</f>
        <v>261190</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10" zoomScaleNormal="100" zoomScaleSheetLayoutView="100" zoomScalePageLayoutView="80" workbookViewId="0">
      <selection activeCell="D122" sqref="D122:I12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100" t="str">
        <f>项目基本情况!S2</f>
        <v>北京市北京经济技术开发区东区A18街区出让国有建设用地使用权及在建建筑物房地产</v>
      </c>
      <c r="B2" s="3101"/>
      <c r="C2" s="3101"/>
      <c r="D2" s="3101"/>
      <c r="E2" s="3101"/>
      <c r="F2" s="3101"/>
      <c r="G2" s="3101"/>
      <c r="H2" s="3101"/>
      <c r="I2" s="3102"/>
    </row>
    <row r="3" spans="1:12" ht="12.75">
      <c r="A3" s="3103" t="s">
        <v>2070</v>
      </c>
      <c r="B3" s="3104"/>
      <c r="C3" s="3104"/>
      <c r="D3" s="3104"/>
      <c r="E3" s="3104"/>
      <c r="F3" s="3104"/>
      <c r="G3" s="3104"/>
      <c r="H3" s="3104"/>
      <c r="I3" s="3104"/>
    </row>
    <row r="4" spans="1:12" ht="14.25">
      <c r="A4" s="2425" t="s">
        <v>2071</v>
      </c>
      <c r="B4" s="2426" t="s">
        <v>2072</v>
      </c>
      <c r="C4" s="2427" t="s">
        <v>3078</v>
      </c>
      <c r="D4" s="2427" t="s">
        <v>3079</v>
      </c>
      <c r="E4" s="3097" t="s">
        <v>2073</v>
      </c>
      <c r="F4" s="3098"/>
      <c r="G4" s="3098"/>
      <c r="H4" s="3098"/>
      <c r="I4" s="310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080" t="s">
        <v>2074</v>
      </c>
      <c r="B5" s="3018">
        <v>25</v>
      </c>
      <c r="C5" s="3083">
        <v>13</v>
      </c>
      <c r="D5" s="3083">
        <v>20</v>
      </c>
      <c r="E5" s="140" t="s">
        <v>2075</v>
      </c>
      <c r="F5" s="2429"/>
      <c r="G5" s="2429"/>
      <c r="H5" s="2429"/>
      <c r="I5" s="1830"/>
    </row>
    <row r="6" spans="1:12" ht="12.75" customHeight="1">
      <c r="A6" s="3080"/>
      <c r="B6" s="3018"/>
      <c r="C6" s="3084"/>
      <c r="D6" s="3084"/>
      <c r="E6" s="140" t="s">
        <v>2076</v>
      </c>
      <c r="F6" s="2429"/>
      <c r="G6" s="2429"/>
      <c r="H6" s="2429"/>
      <c r="I6" s="1830"/>
    </row>
    <row r="7" spans="1:12" ht="12.75" customHeight="1">
      <c r="A7" s="3080"/>
      <c r="B7" s="3018"/>
      <c r="C7" s="3085"/>
      <c r="D7" s="3085"/>
      <c r="E7" s="140" t="s">
        <v>2077</v>
      </c>
      <c r="F7" s="2429"/>
      <c r="G7" s="2429"/>
      <c r="H7" s="2429"/>
      <c r="I7" s="1830"/>
    </row>
    <row r="8" spans="1:12" ht="12.75" customHeight="1">
      <c r="A8" s="3080" t="s">
        <v>2078</v>
      </c>
      <c r="B8" s="3018">
        <v>15</v>
      </c>
      <c r="C8" s="3083">
        <v>8</v>
      </c>
      <c r="D8" s="3083">
        <v>10</v>
      </c>
      <c r="E8" s="140" t="s">
        <v>2079</v>
      </c>
      <c r="F8" s="2429"/>
      <c r="G8" s="2429"/>
      <c r="H8" s="2429"/>
      <c r="I8" s="1830"/>
    </row>
    <row r="9" spans="1:12" ht="12.75" customHeight="1">
      <c r="A9" s="3080"/>
      <c r="B9" s="3018"/>
      <c r="C9" s="3085"/>
      <c r="D9" s="3085"/>
      <c r="E9" s="140" t="s">
        <v>2080</v>
      </c>
      <c r="F9" s="2429"/>
      <c r="G9" s="2429"/>
      <c r="H9" s="2429"/>
      <c r="I9" s="1830"/>
    </row>
    <row r="10" spans="1:12" ht="12.75" customHeight="1">
      <c r="A10" s="3080" t="s">
        <v>2081</v>
      </c>
      <c r="B10" s="3018">
        <v>15</v>
      </c>
      <c r="C10" s="3083">
        <v>8</v>
      </c>
      <c r="D10" s="3083">
        <v>10</v>
      </c>
      <c r="E10" s="140" t="s">
        <v>2082</v>
      </c>
      <c r="F10" s="2429"/>
      <c r="G10" s="2429"/>
      <c r="H10" s="2429"/>
      <c r="I10" s="1830"/>
    </row>
    <row r="11" spans="1:12" ht="12.75" customHeight="1">
      <c r="A11" s="3080"/>
      <c r="B11" s="3018"/>
      <c r="C11" s="3085"/>
      <c r="D11" s="3085"/>
      <c r="E11" s="140" t="s">
        <v>2083</v>
      </c>
      <c r="F11" s="2429"/>
      <c r="G11" s="2429"/>
      <c r="H11" s="2429"/>
      <c r="I11" s="1830"/>
    </row>
    <row r="12" spans="1:12" ht="12.75" customHeight="1">
      <c r="A12" s="3080" t="s">
        <v>2084</v>
      </c>
      <c r="B12" s="3018">
        <v>15</v>
      </c>
      <c r="C12" s="3083">
        <v>8</v>
      </c>
      <c r="D12" s="3083">
        <v>10</v>
      </c>
      <c r="E12" s="140" t="s">
        <v>2085</v>
      </c>
      <c r="F12" s="2429"/>
      <c r="G12" s="2429"/>
      <c r="H12" s="2429"/>
      <c r="I12" s="1830"/>
    </row>
    <row r="13" spans="1:12" ht="12.75" customHeight="1">
      <c r="A13" s="3080"/>
      <c r="B13" s="3018"/>
      <c r="C13" s="3085"/>
      <c r="D13" s="3085"/>
      <c r="E13" s="140" t="s">
        <v>2086</v>
      </c>
      <c r="F13" s="2429"/>
      <c r="G13" s="2429"/>
      <c r="H13" s="2429"/>
      <c r="I13" s="1830"/>
    </row>
    <row r="14" spans="1:12" ht="12.75" customHeight="1">
      <c r="A14" s="3080" t="s">
        <v>2087</v>
      </c>
      <c r="B14" s="3018">
        <v>30</v>
      </c>
      <c r="C14" s="3083">
        <v>14</v>
      </c>
      <c r="D14" s="3083">
        <v>25</v>
      </c>
      <c r="E14" s="140" t="s">
        <v>2088</v>
      </c>
      <c r="F14" s="2429"/>
      <c r="G14" s="2429"/>
      <c r="H14" s="2429"/>
      <c r="I14" s="1830"/>
    </row>
    <row r="15" spans="1:12" ht="12.75" customHeight="1">
      <c r="A15" s="3080"/>
      <c r="B15" s="3018"/>
      <c r="C15" s="3084"/>
      <c r="D15" s="3084"/>
      <c r="E15" s="140" t="s">
        <v>2089</v>
      </c>
      <c r="F15" s="2429"/>
      <c r="G15" s="2429"/>
      <c r="H15" s="2429"/>
      <c r="I15" s="1830"/>
    </row>
    <row r="16" spans="1:12" ht="12.75" customHeight="1">
      <c r="A16" s="3080"/>
      <c r="B16" s="3018"/>
      <c r="C16" s="3085"/>
      <c r="D16" s="3085"/>
      <c r="E16" s="140" t="s">
        <v>2090</v>
      </c>
      <c r="F16" s="2429"/>
      <c r="G16" s="2429"/>
      <c r="H16" s="2429"/>
      <c r="I16" s="1830"/>
    </row>
    <row r="17" spans="1:35" ht="15">
      <c r="A17" s="2430" t="s">
        <v>2091</v>
      </c>
      <c r="B17" s="64"/>
      <c r="C17" s="141">
        <f>SUM(C5:C16)</f>
        <v>51</v>
      </c>
      <c r="D17" s="141">
        <f>SUM(D5:D16)</f>
        <v>75</v>
      </c>
      <c r="E17" s="138"/>
      <c r="F17" s="138"/>
      <c r="G17" s="138"/>
      <c r="H17" s="138"/>
      <c r="I17" s="138"/>
      <c r="K17" s="2428"/>
      <c r="L17" s="2431" t="s">
        <v>2092</v>
      </c>
      <c r="M17" s="2431" t="s">
        <v>2093</v>
      </c>
    </row>
    <row r="18" spans="1:35" ht="15.7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5">
      <c r="A19" s="2434" t="s">
        <v>2096</v>
      </c>
      <c r="B19" s="2435" t="s">
        <v>2097</v>
      </c>
      <c r="C19" s="143">
        <f ca="1">SUMIF(INDIRECT("'"&amp;C4&amp;"'"&amp;"!A:A"),结果表!B19,INDIRECT("'"&amp;C4&amp;"'"&amp;"!B:B"))</f>
        <v>345811</v>
      </c>
      <c r="D19" s="144">
        <f ca="1">SUMIF(INDIRECT("'"&amp;D4&amp;"'"&amp;"!A:A"),结果表!B19,INDIRECT("'"&amp;D4&amp;"'"&amp;"!B:B"))</f>
        <v>207050</v>
      </c>
      <c r="E19" s="2434" t="s">
        <v>2098</v>
      </c>
      <c r="F19" s="2435" t="s">
        <v>2097</v>
      </c>
      <c r="G19" s="145">
        <f ca="1">ROUND(C19*$C$18+D19*$D$18,0)</f>
        <v>262554</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5">
      <c r="A20" s="2437"/>
      <c r="B20" s="1247" t="s">
        <v>2101</v>
      </c>
      <c r="C20" s="146">
        <f ca="1">SUMIF(INDIRECT("'"&amp;C4&amp;"'"&amp;"!A:A"),结果表!B20,INDIRECT("'"&amp;C4&amp;"'"&amp;"!B:B"))</f>
        <v>12686</v>
      </c>
      <c r="D20" s="147">
        <f ca="1">SUMIF(INDIRECT("'"&amp;D4&amp;"'"&amp;"!A:A"),结果表!B20,INDIRECT("'"&amp;D4&amp;"'"&amp;"!B:B"))</f>
        <v>7596</v>
      </c>
      <c r="E20" s="2437"/>
      <c r="F20" s="1247" t="s">
        <v>2101</v>
      </c>
      <c r="G20" s="148">
        <f ca="1">ROUND(C20*$C$18+D20*$D$18,0)</f>
        <v>9632</v>
      </c>
      <c r="H20" s="980" t="s">
        <v>2102</v>
      </c>
      <c r="I20" s="138"/>
    </row>
    <row r="21" spans="1:35" ht="15" customHeight="1" thickBot="1">
      <c r="A21" s="1000"/>
      <c r="B21" s="2438" t="s">
        <v>2103</v>
      </c>
      <c r="C21" s="789">
        <f ca="1">ROUND(C19*10000/L19,0)</f>
        <v>63359</v>
      </c>
      <c r="D21" s="790">
        <f ca="1">ROUND(D19*10000/L19,0)</f>
        <v>37936</v>
      </c>
      <c r="E21" s="1000"/>
      <c r="F21" s="2438" t="s">
        <v>2103</v>
      </c>
      <c r="G21" s="149">
        <f ca="1">ROUND(G19*10000/L19,0)</f>
        <v>48105</v>
      </c>
      <c r="H21" s="2439" t="s">
        <v>2102</v>
      </c>
      <c r="I21" s="138"/>
    </row>
    <row r="22" spans="1:35" ht="15" thickBot="1">
      <c r="A22" s="2281" t="s">
        <v>2104</v>
      </c>
      <c r="B22" s="2440"/>
      <c r="C22" s="2441"/>
      <c r="D22" s="791">
        <f ca="1">IF(C19&lt;D19,D19/C19-1,C19/D19-1)</f>
        <v>0.67018111567254279</v>
      </c>
      <c r="E22" s="138"/>
      <c r="F22" s="138"/>
      <c r="G22" s="138"/>
      <c r="H22" s="138"/>
      <c r="I22" s="138"/>
    </row>
    <row r="23" spans="1:35" ht="13.5" thickBot="1">
      <c r="A23" s="2418"/>
      <c r="B23" s="2418"/>
      <c r="C23" s="2418"/>
      <c r="D23" s="2418"/>
      <c r="E23" s="138"/>
      <c r="F23" s="138"/>
      <c r="G23" s="138"/>
      <c r="H23" s="138"/>
      <c r="I23" s="138"/>
    </row>
    <row r="24" spans="1:35" ht="14.25">
      <c r="A24" s="3074" t="s">
        <v>2105</v>
      </c>
      <c r="B24" s="2435" t="s">
        <v>2097</v>
      </c>
      <c r="C24" s="145">
        <f>IF(B30=0,0,D30)</f>
        <v>0</v>
      </c>
      <c r="D24" s="2442"/>
      <c r="E24" s="138"/>
      <c r="F24" s="138"/>
      <c r="G24" s="138"/>
      <c r="H24" s="138"/>
      <c r="I24" s="138"/>
    </row>
    <row r="25" spans="1:35" ht="14.25">
      <c r="A25" s="3075"/>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2110</v>
      </c>
      <c r="B30" s="151"/>
      <c r="C30" s="151"/>
      <c r="D30" s="151"/>
      <c r="E30" s="2925" t="s">
        <v>2982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2111</v>
      </c>
      <c r="B32" s="2448"/>
      <c r="C32" s="153">
        <f ca="1">IF(D32="总价",G19-C24,G20-C25)</f>
        <v>262554</v>
      </c>
      <c r="D32" s="2449" t="s">
        <v>2112</v>
      </c>
      <c r="E32" s="138"/>
      <c r="F32" s="138"/>
      <c r="G32" s="138"/>
      <c r="H32" s="138"/>
      <c r="I32" s="138"/>
    </row>
    <row r="33" spans="1:15" ht="15">
      <c r="A33" s="957" t="s">
        <v>2113</v>
      </c>
      <c r="B33" s="2450"/>
      <c r="C33" s="2451" t="s">
        <v>3192</v>
      </c>
      <c r="D33" s="2452" t="s">
        <v>3078</v>
      </c>
      <c r="E33" s="2453" t="s">
        <v>2114</v>
      </c>
      <c r="F33" s="2454" t="str">
        <f>IF(D32="楼面单价","取值（单价）","取值（总价）")</f>
        <v>取值（总价）</v>
      </c>
      <c r="G33" s="138"/>
      <c r="H33" s="138"/>
      <c r="I33" s="138"/>
    </row>
    <row r="34" spans="1:15" ht="15">
      <c r="A34" s="2455"/>
      <c r="B34" s="2456" t="s">
        <v>2115</v>
      </c>
      <c r="C34" s="157">
        <f ca="1">IF(C33="自定义",F34,C32-C35)</f>
        <v>233148</v>
      </c>
      <c r="D34" s="1055">
        <f ca="1">IF(C33="自定义",ROUND(C34/C32,3),IF(C33="收益比率",SUMIF(INDIRECT("'"&amp;D33&amp;"'"&amp;"!b:b"),"土地收益比率",INDIRECT("'"&amp;D33&amp;"'"&amp;"!c:c")),SUMIF(INDIRECT("'"&amp;D33&amp;"'"&amp;"!b:b"),"土地成本比率",INDIRECT("'"&amp;D33&amp;"'"&amp;"!c:c"))))</f>
        <v>0.88800000000000001</v>
      </c>
      <c r="E34" s="2457" t="s">
        <v>2116</v>
      </c>
      <c r="F34" s="1735"/>
      <c r="G34" s="138"/>
      <c r="H34" s="138"/>
      <c r="I34" s="138"/>
    </row>
    <row r="35" spans="1:15" ht="15.75" thickBot="1">
      <c r="A35" s="2458"/>
      <c r="B35" s="2459" t="s">
        <v>2117</v>
      </c>
      <c r="C35" s="1441">
        <f ca="1">IF(C33="自定义",F35,ROUND(C32*D35,0))</f>
        <v>29406</v>
      </c>
      <c r="D35" s="1442">
        <f ca="1">IF(C33="自定义",ROUND(C35/C32,3),IF(C33="收益比率",SUMIF(INDIRECT("'"&amp;D33&amp;"'"&amp;"!b:b"),"建筑物收益比率",INDIRECT("'"&amp;D33&amp;"'"&amp;"!c:c")),SUMIF(INDIRECT("'"&amp;D33&amp;"'"&amp;"!b:b"),"建筑物成本比率",INDIRECT("'"&amp;D33&amp;"'"&amp;"!c:c"))))</f>
        <v>0.112</v>
      </c>
      <c r="E35" s="2460" t="s">
        <v>2118</v>
      </c>
      <c r="F35" s="163"/>
      <c r="G35" s="138"/>
      <c r="H35" s="138"/>
      <c r="I35" s="138"/>
    </row>
    <row r="36" spans="1:15" ht="15.75" thickBot="1">
      <c r="A36" s="3092" t="s">
        <v>2119</v>
      </c>
      <c r="B36" s="2461" t="s">
        <v>2120</v>
      </c>
      <c r="C36" s="154"/>
      <c r="D36" s="2462"/>
      <c r="E36" s="2463"/>
      <c r="F36" s="2464"/>
      <c r="G36" s="138"/>
      <c r="H36" s="138"/>
      <c r="I36" s="138"/>
    </row>
    <row r="37" spans="1:15" ht="15.75" thickBot="1">
      <c r="A37" s="3093"/>
      <c r="B37" s="2267" t="s">
        <v>2121</v>
      </c>
      <c r="C37" s="156"/>
      <c r="D37" s="1392"/>
      <c r="E37" s="1392"/>
      <c r="F37" s="2464"/>
      <c r="G37" s="138"/>
      <c r="H37" s="138"/>
      <c r="I37" s="138"/>
    </row>
    <row r="38" spans="1:15" ht="15.75" thickBot="1">
      <c r="A38" s="3094"/>
      <c r="B38" s="2465" t="s">
        <v>2122</v>
      </c>
      <c r="C38" s="727">
        <f>E40</f>
        <v>1364</v>
      </c>
      <c r="D38" s="2466" t="s">
        <v>2123</v>
      </c>
      <c r="E38" s="1392"/>
      <c r="F38" s="2464"/>
      <c r="G38" s="138"/>
      <c r="H38" s="138"/>
      <c r="I38" s="138"/>
    </row>
    <row r="39" spans="1:15" ht="15">
      <c r="A39" s="2437" t="s">
        <v>2124</v>
      </c>
      <c r="B39" s="2467" t="s">
        <v>2125</v>
      </c>
      <c r="C39" s="2468" t="s">
        <v>2126</v>
      </c>
      <c r="D39" s="2468" t="s">
        <v>2127</v>
      </c>
      <c r="E39" s="2469" t="s">
        <v>2128</v>
      </c>
      <c r="F39" s="2464"/>
      <c r="G39" s="138"/>
      <c r="H39" s="138"/>
      <c r="I39" s="138"/>
    </row>
    <row r="40" spans="1:15" ht="14.25">
      <c r="A40" s="2470" t="s">
        <v>2129</v>
      </c>
      <c r="B40" s="158">
        <f>'数据-汇总表'!G22</f>
        <v>69675.600000000006</v>
      </c>
      <c r="C40" s="159">
        <v>190</v>
      </c>
      <c r="D40" s="159"/>
      <c r="E40" s="160">
        <f>ROUND(B40*C40/10000*1.0305,0)</f>
        <v>1364</v>
      </c>
      <c r="F40" s="2464"/>
      <c r="G40" s="138"/>
      <c r="H40" s="138"/>
      <c r="I40" s="138"/>
    </row>
    <row r="41" spans="1:15" ht="14.25">
      <c r="A41" s="2470" t="s">
        <v>2130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071" t="s">
        <v>2133</v>
      </c>
      <c r="B45" s="3072"/>
      <c r="C45" s="3073"/>
      <c r="D45" s="164">
        <f ca="1">ROUND(H101*F45,0)</f>
        <v>262554</v>
      </c>
      <c r="E45" s="165" t="s">
        <v>2134</v>
      </c>
      <c r="F45" s="166">
        <v>1</v>
      </c>
      <c r="G45" s="167" t="s">
        <v>2135</v>
      </c>
      <c r="H45" s="138"/>
      <c r="I45" s="138"/>
      <c r="J45" s="3130" t="s">
        <v>2136</v>
      </c>
      <c r="K45" s="3130"/>
      <c r="L45" s="3130"/>
      <c r="M45" s="3130"/>
      <c r="N45" s="3130"/>
      <c r="O45" s="3130"/>
    </row>
    <row r="46" spans="1:15" ht="14.25" customHeight="1">
      <c r="A46" s="3068" t="s">
        <v>2137</v>
      </c>
      <c r="B46" s="3069"/>
      <c r="C46" s="3069"/>
      <c r="D46" s="3069"/>
      <c r="E46" s="3069"/>
      <c r="F46" s="3069"/>
      <c r="G46" s="3070"/>
      <c r="H46" s="2480"/>
      <c r="I46" s="168"/>
      <c r="J46" s="1808">
        <v>1</v>
      </c>
      <c r="K46" s="3130" t="s">
        <v>2138</v>
      </c>
      <c r="L46" s="3130"/>
      <c r="M46" s="3150"/>
      <c r="N46" s="3150"/>
      <c r="O46" s="3150"/>
    </row>
    <row r="47" spans="1:15" ht="12" customHeight="1">
      <c r="A47" s="169" t="s">
        <v>2139</v>
      </c>
      <c r="B47" s="170"/>
      <c r="C47" s="171"/>
      <c r="D47" s="172" t="s">
        <v>2140</v>
      </c>
      <c r="E47" s="24" t="s">
        <v>2141</v>
      </c>
      <c r="F47" s="173" t="s">
        <v>2142</v>
      </c>
      <c r="G47" s="174" t="s">
        <v>2143</v>
      </c>
      <c r="H47" s="2480"/>
      <c r="I47" s="168"/>
      <c r="J47" s="1808">
        <v>2</v>
      </c>
      <c r="K47" s="3130" t="s">
        <v>2144</v>
      </c>
      <c r="L47" s="3130"/>
      <c r="M47" s="3151">
        <f>'数据-取费表'!B2</f>
        <v>43537</v>
      </c>
      <c r="N47" s="3151"/>
      <c r="O47" s="3151"/>
    </row>
    <row r="48" spans="1:15" ht="25.5">
      <c r="A48" s="3099" t="s">
        <v>2145</v>
      </c>
      <c r="B48" s="3082"/>
      <c r="C48" s="3082"/>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130" t="s">
        <v>2148</v>
      </c>
      <c r="L48" s="3130"/>
      <c r="M48" s="3152">
        <f ca="1">H101</f>
        <v>262554</v>
      </c>
      <c r="N48" s="3152"/>
      <c r="O48" s="3152"/>
    </row>
    <row r="49" spans="1:35" ht="25.5" customHeight="1">
      <c r="A49" s="176" t="s">
        <v>2149</v>
      </c>
      <c r="B49" s="3067" t="s">
        <v>2150</v>
      </c>
      <c r="C49" s="3067"/>
      <c r="D49" s="177">
        <v>0</v>
      </c>
      <c r="E49" s="23" t="s">
        <v>2151</v>
      </c>
      <c r="F49" s="28" t="s">
        <v>34</v>
      </c>
      <c r="G49" s="3136"/>
      <c r="H49" s="138"/>
      <c r="I49" s="2483"/>
      <c r="J49" s="1808">
        <v>4</v>
      </c>
      <c r="K49" s="3130" t="str">
        <f>IF(项目基本情况!E8="房地产抵押价值","房地产抵押价值","抵押担保权已注销时的房地产抵押价值")</f>
        <v>抵押担保权已注销时的房地产抵押价值</v>
      </c>
      <c r="L49" s="3130"/>
      <c r="M49" s="3152">
        <f ca="1">IF(项目基本情况!E8="房地产抵押价值",H107,H109)</f>
        <v>261190</v>
      </c>
      <c r="N49" s="3152"/>
      <c r="O49" s="3152"/>
    </row>
    <row r="50" spans="1:35" ht="25.5" customHeight="1">
      <c r="A50" s="178"/>
      <c r="B50" s="3067" t="s">
        <v>2152</v>
      </c>
      <c r="C50" s="3067"/>
      <c r="D50" s="179"/>
      <c r="E50" s="31"/>
      <c r="F50" s="180"/>
      <c r="G50" s="3137"/>
      <c r="H50" s="138"/>
      <c r="I50" s="2483"/>
      <c r="J50" s="3130" t="s">
        <v>2153</v>
      </c>
      <c r="K50" s="3130"/>
      <c r="L50" s="3130"/>
      <c r="M50" s="3130"/>
      <c r="N50" s="3130"/>
      <c r="O50" s="3130"/>
    </row>
    <row r="51" spans="1:35" ht="12" customHeight="1">
      <c r="A51" s="181"/>
      <c r="B51" s="3067" t="s">
        <v>2154</v>
      </c>
      <c r="C51" s="3067"/>
      <c r="D51" s="182"/>
      <c r="E51" s="30"/>
      <c r="F51" s="180"/>
      <c r="G51" s="3138"/>
      <c r="H51" s="138"/>
      <c r="I51" s="2483"/>
      <c r="J51" s="2484" t="s">
        <v>2155</v>
      </c>
      <c r="K51" s="3130" t="s">
        <v>2156</v>
      </c>
      <c r="L51" s="3130"/>
      <c r="M51" s="2484" t="s">
        <v>2157</v>
      </c>
      <c r="N51" s="2484" t="s">
        <v>2158</v>
      </c>
      <c r="O51" s="2484" t="s">
        <v>2159</v>
      </c>
    </row>
    <row r="52" spans="1:35" ht="24" customHeight="1">
      <c r="A52" s="183" t="s">
        <v>2160</v>
      </c>
      <c r="B52" s="3067" t="s">
        <v>2161</v>
      </c>
      <c r="C52" s="3067"/>
      <c r="D52" s="182">
        <f ca="1">ROUND(D45*'数据-取费表'!B41/(1+'数据-取费表'!C42),0)</f>
        <v>14003</v>
      </c>
      <c r="E52" s="11" t="s">
        <v>2162</v>
      </c>
      <c r="F52" s="184">
        <f>'数据-取费表'!B41</f>
        <v>5.6000000000000001E-2</v>
      </c>
      <c r="G52" s="2485"/>
      <c r="H52" s="138"/>
      <c r="I52" s="2483"/>
      <c r="J52" s="1808">
        <v>1</v>
      </c>
      <c r="K52" s="3131" t="s">
        <v>2163</v>
      </c>
      <c r="L52" s="3131"/>
      <c r="M52" s="1750">
        <f>D48</f>
        <v>0</v>
      </c>
      <c r="N52" s="1808" t="str">
        <f>E48</f>
        <v>销售额×税（费）率</v>
      </c>
      <c r="O52" s="1751" t="str">
        <f>F48</f>
        <v>免征</v>
      </c>
    </row>
    <row r="53" spans="1:35" ht="12" customHeight="1">
      <c r="A53" s="183" t="s">
        <v>2164</v>
      </c>
      <c r="B53" s="3090" t="s">
        <v>2165</v>
      </c>
      <c r="C53" s="3091"/>
      <c r="D53" s="182">
        <f ca="1">ROUND(D45*'数据-取费表'!B41/(1+'数据-取费表'!C42),0)</f>
        <v>14003</v>
      </c>
      <c r="E53" s="11" t="s">
        <v>2162</v>
      </c>
      <c r="F53" s="184">
        <f>'数据-取费表'!B41</f>
        <v>5.6000000000000001E-2</v>
      </c>
      <c r="G53" s="2485"/>
      <c r="H53" s="138"/>
      <c r="I53" s="2483"/>
      <c r="J53" s="1808">
        <v>2</v>
      </c>
      <c r="K53" s="3131" t="s">
        <v>2166</v>
      </c>
      <c r="L53" s="3131"/>
      <c r="M53" s="1750">
        <f t="shared" ref="M53:O54" ca="1" si="0">D55</f>
        <v>131</v>
      </c>
      <c r="N53" s="1808" t="str">
        <f t="shared" si="0"/>
        <v>销售额×税（费）率</v>
      </c>
      <c r="O53" s="1751">
        <f t="shared" si="0"/>
        <v>5.0000000000000001E-4</v>
      </c>
    </row>
    <row r="54" spans="1:35" ht="12" customHeight="1">
      <c r="A54" s="183" t="s">
        <v>2167</v>
      </c>
      <c r="B54" s="3090" t="s">
        <v>2168</v>
      </c>
      <c r="C54" s="3091"/>
      <c r="D54" s="182">
        <f ca="1">C68</f>
        <v>14003</v>
      </c>
      <c r="E54" s="30" t="s">
        <v>2169</v>
      </c>
      <c r="F54" s="184">
        <f>'数据-取费表'!B41</f>
        <v>5.6000000000000001E-2</v>
      </c>
      <c r="G54" s="2485"/>
      <c r="H54" s="2486"/>
      <c r="I54" s="2483"/>
      <c r="J54" s="1808">
        <v>3</v>
      </c>
      <c r="K54" s="3131" t="s">
        <v>2170</v>
      </c>
      <c r="L54" s="3131"/>
      <c r="M54" s="1750">
        <f t="shared" ca="1" si="0"/>
        <v>148606</v>
      </c>
      <c r="N54" s="1808" t="str">
        <f t="shared" si="0"/>
        <v>增值额×税（费）率</v>
      </c>
      <c r="O54" s="1752" t="str">
        <f t="shared" si="0"/>
        <v>——</v>
      </c>
    </row>
    <row r="55" spans="1:35" ht="24" customHeight="1">
      <c r="A55" s="3081" t="s">
        <v>2171</v>
      </c>
      <c r="B55" s="3082"/>
      <c r="C55" s="3082"/>
      <c r="D55" s="185">
        <f ca="1">IF(H55="个人住宅",0,ROUND(D45*I55,0))</f>
        <v>131</v>
      </c>
      <c r="E55" s="11" t="s">
        <v>2172</v>
      </c>
      <c r="F55" s="184">
        <f>IF(H55="正常",I55,"免征")</f>
        <v>5.0000000000000001E-4</v>
      </c>
      <c r="G55" s="2485"/>
      <c r="H55" s="2482" t="s">
        <v>2173</v>
      </c>
      <c r="I55" s="186">
        <f>'数据-取费表'!B49</f>
        <v>5.0000000000000001E-4</v>
      </c>
      <c r="J55" s="1808" t="str">
        <f>IF(H59="非个人房产","",4)</f>
        <v/>
      </c>
      <c r="K55" s="3131" t="str">
        <f>IF(H59="非个人房产","——","个人所得税")</f>
        <v>——</v>
      </c>
      <c r="L55" s="3131"/>
      <c r="M55" s="1753" t="str">
        <f>D59</f>
        <v>——</v>
      </c>
      <c r="N55" s="1806" t="str">
        <f>E59</f>
        <v>——</v>
      </c>
      <c r="O55" s="1754" t="str">
        <f>F59</f>
        <v>——</v>
      </c>
    </row>
    <row r="56" spans="1:35" ht="24.75">
      <c r="A56" s="3081" t="s">
        <v>2174</v>
      </c>
      <c r="B56" s="3082"/>
      <c r="C56" s="3082"/>
      <c r="D56" s="185">
        <f ca="1">IF(H56="个人住宅",D57,D58)</f>
        <v>148606</v>
      </c>
      <c r="E56" s="11" t="s">
        <v>2175</v>
      </c>
      <c r="F56" s="184" t="str">
        <f>IF(H56="正常",F58,"免征")</f>
        <v>——</v>
      </c>
      <c r="G56" s="2487" t="s">
        <v>2176</v>
      </c>
      <c r="H56" s="2488" t="s">
        <v>2173</v>
      </c>
      <c r="I56" s="2489"/>
      <c r="J56" s="1808" t="str">
        <f>IF(项目基本情况!K6="上海银行",IF(J55="",4,J55+1),"")</f>
        <v/>
      </c>
      <c r="K56" s="3154" t="str">
        <f>IF(项目基本情况!K6="上海银行","其他处置费用","")</f>
        <v/>
      </c>
      <c r="L56" s="3155"/>
      <c r="M56" s="1750" t="str">
        <f>IF(项目基本情况!K6="上海银行",M69,"")</f>
        <v/>
      </c>
      <c r="N56" s="3157" t="str">
        <f>IF(项目基本情况!K6="上海银行","包含处置中涉及的律师、诉讼、拍卖、评估等费用","")</f>
        <v/>
      </c>
      <c r="O56" s="3158"/>
    </row>
    <row r="57" spans="1:35" ht="12.75">
      <c r="A57" s="183" t="s">
        <v>2149</v>
      </c>
      <c r="B57" s="3097" t="s">
        <v>2177</v>
      </c>
      <c r="C57" s="3105"/>
      <c r="D57" s="187">
        <v>0</v>
      </c>
      <c r="E57" s="23" t="s">
        <v>2151</v>
      </c>
      <c r="F57" s="155"/>
      <c r="G57" s="2485"/>
      <c r="H57" s="2489"/>
      <c r="I57" s="2489"/>
      <c r="J57" s="3131">
        <f>IF(AND(J55="",J56=""),4,IF(项目基本情况!K6="上海银行",结果表!J56+1,结果表!J55+1))</f>
        <v>4</v>
      </c>
      <c r="K57" s="3131" t="s">
        <v>2178</v>
      </c>
      <c r="L57" s="2490" t="s">
        <v>2179</v>
      </c>
      <c r="M57" s="1755"/>
      <c r="N57" s="1756">
        <f ca="1">SUMIF(M52:M56,"&lt;9e307")</f>
        <v>148737</v>
      </c>
      <c r="O57" s="2491"/>
      <c r="P57" s="1749">
        <f ca="1">N57/M49</f>
        <v>0.56945901451050962</v>
      </c>
    </row>
    <row r="58" spans="1:35" ht="24.75">
      <c r="A58" s="183" t="s">
        <v>2160</v>
      </c>
      <c r="B58" s="3097" t="s">
        <v>2180</v>
      </c>
      <c r="C58" s="3098"/>
      <c r="D58" s="185">
        <f ca="1">IF(H58="转让取得",C81,C97)</f>
        <v>148606</v>
      </c>
      <c r="E58" s="11" t="s">
        <v>2175</v>
      </c>
      <c r="F58" s="24" t="s">
        <v>34</v>
      </c>
      <c r="G58" s="2485"/>
      <c r="H58" s="2488" t="s">
        <v>2181</v>
      </c>
      <c r="I58" s="2489"/>
      <c r="J58" s="3131"/>
      <c r="K58" s="3131"/>
      <c r="L58" s="2490" t="s">
        <v>2182</v>
      </c>
      <c r="M58" s="1757"/>
      <c r="N58" s="2492" t="str">
        <f ca="1">NUMBERSTRING(INT(N57*10000),2)&amp;"元整"</f>
        <v>壹拾肆亿捌仟柒佰叁拾柒万元整</v>
      </c>
      <c r="O58" s="2493"/>
    </row>
    <row r="59" spans="1:35" ht="24.75" thickBot="1">
      <c r="A59" s="3134" t="s">
        <v>2183</v>
      </c>
      <c r="B59" s="3135"/>
      <c r="C59" s="3135"/>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132">
        <f>J57+1</f>
        <v>5</v>
      </c>
      <c r="K59" s="3131" t="s">
        <v>2185</v>
      </c>
      <c r="L59" s="1808" t="s">
        <v>2179</v>
      </c>
      <c r="M59" s="1758"/>
      <c r="N59" s="1759">
        <f ca="1">M49-N57</f>
        <v>112453</v>
      </c>
      <c r="O59" s="2495"/>
    </row>
    <row r="60" spans="1:35" ht="12" customHeight="1">
      <c r="A60" s="2496"/>
      <c r="B60" s="2418"/>
      <c r="C60" s="2418"/>
      <c r="D60" s="2418"/>
      <c r="E60" s="2166"/>
      <c r="F60" s="2489"/>
      <c r="G60" s="2489"/>
      <c r="H60" s="2497"/>
      <c r="I60" s="138"/>
      <c r="J60" s="3133"/>
      <c r="K60" s="3131"/>
      <c r="L60" s="2490" t="s">
        <v>2182</v>
      </c>
      <c r="M60" s="1757"/>
      <c r="N60" s="2492" t="str">
        <f ca="1">NUMBERSTRING(INT(N59*10000),2)&amp;"元整"</f>
        <v>壹拾壹亿贰仟肆佰伍拾叁万元整</v>
      </c>
      <c r="O60" s="2493"/>
    </row>
    <row r="61" spans="1:35" ht="13.5" thickBot="1">
      <c r="A61" s="3079" t="s">
        <v>2186</v>
      </c>
      <c r="B61" s="3079"/>
      <c r="C61" s="3079"/>
      <c r="D61" s="3079"/>
      <c r="E61" s="3079"/>
      <c r="F61" s="2489"/>
      <c r="G61" s="2489"/>
      <c r="H61" s="2497"/>
      <c r="I61" s="138"/>
      <c r="J61" s="1808">
        <f>J59+1</f>
        <v>6</v>
      </c>
      <c r="K61" s="3131" t="s">
        <v>2187</v>
      </c>
      <c r="L61" s="3131"/>
      <c r="M61" s="1760"/>
      <c r="N61" s="1761">
        <f ca="1">ROUND(N59*10000/'数据-汇总表'!E3,0)</f>
        <v>4125</v>
      </c>
      <c r="O61" s="2498"/>
    </row>
    <row r="62" spans="1:35" ht="12.75">
      <c r="A62" s="3095" t="s">
        <v>2188</v>
      </c>
      <c r="B62" s="3096"/>
      <c r="C62" s="1800"/>
      <c r="D62" s="1800" t="s">
        <v>2189</v>
      </c>
      <c r="E62" s="192" t="s">
        <v>2190</v>
      </c>
      <c r="F62" s="2489"/>
      <c r="G62" s="2489"/>
      <c r="H62" s="2497"/>
      <c r="I62" s="138"/>
    </row>
    <row r="63" spans="1:35" ht="12.75">
      <c r="A63" s="203" t="s">
        <v>774</v>
      </c>
      <c r="B63" s="193" t="s">
        <v>2191</v>
      </c>
      <c r="C63" s="194">
        <f ca="1">ROUND((C64+C65)/(1+'数据-取费表'!C42),0)</f>
        <v>250051</v>
      </c>
      <c r="D63" s="195"/>
      <c r="E63" s="196"/>
      <c r="F63" s="2489"/>
      <c r="G63" s="2489"/>
      <c r="H63" s="2497"/>
      <c r="I63" s="138"/>
      <c r="J63" s="3156" t="s">
        <v>2192</v>
      </c>
      <c r="K63" s="2499" t="s">
        <v>2193</v>
      </c>
      <c r="L63" s="1748">
        <f ca="1">IF(M49&gt;10000,M49*0.5%,IF(AND(M49&gt;1000,M49&lt;=10000),M49*1%,IF(AND(M49&gt;100,M49&lt;=1000),M49*3%,IF(AND(M49&gt;10,M49&lt;=100),M49*5%,M49*8%))))</f>
        <v>1305.95</v>
      </c>
      <c r="M63" s="24">
        <f ca="1">ROUND(L63,1)</f>
        <v>1306</v>
      </c>
      <c r="Z63" s="2423"/>
      <c r="AI63" s="2424"/>
    </row>
    <row r="64" spans="1:35" ht="14.25" customHeight="1">
      <c r="A64" s="197" t="s">
        <v>769</v>
      </c>
      <c r="B64" s="198" t="s">
        <v>2194</v>
      </c>
      <c r="C64" s="199">
        <f ca="1">D45</f>
        <v>262554</v>
      </c>
      <c r="D64" s="200" t="s">
        <v>32</v>
      </c>
      <c r="E64" s="201"/>
      <c r="F64" s="2489"/>
      <c r="G64" s="2489"/>
      <c r="H64" s="2497"/>
      <c r="I64" s="138"/>
      <c r="J64" s="3156"/>
      <c r="K64" s="2499" t="s">
        <v>2195</v>
      </c>
      <c r="L64" s="1748">
        <f ca="1">IF(M49&gt;2000,M49*0.5%,IF(AND(M49&gt;1000,M49&lt;=2000),M49*0.6%,IF(AND(M49&gt;500,M49&lt;=1000),M49*0.7%,IF(AND(M49&gt;200,M49&lt;=500),M49*0.8%,IF(AND(M49&gt;100,M49&lt;=200),M49*0.9%,IF(AND(M49&gt;50,M49&lt;=100),M49*1%,IF(AND(M49&gt;20,M49&lt;=50),M49*1.5%,IF(AND(M49&gt;10,M49&lt;=20),M49*2%,IF(AND(M49&gt;1,M49&lt;=10),M49*2.5%)))))))))</f>
        <v>1305.95</v>
      </c>
      <c r="M64" s="24">
        <f t="shared" ref="M64:M65" ca="1" si="1">ROUND(L64,1)</f>
        <v>1306</v>
      </c>
      <c r="N64" s="138" t="s">
        <v>2196</v>
      </c>
      <c r="Z64" s="2423"/>
      <c r="AI64" s="2424"/>
    </row>
    <row r="65" spans="1:35" ht="14.25" customHeight="1">
      <c r="A65" s="197" t="s">
        <v>770</v>
      </c>
      <c r="B65" s="198" t="s">
        <v>2197</v>
      </c>
      <c r="C65" s="202"/>
      <c r="D65" s="200"/>
      <c r="E65" s="201"/>
      <c r="F65" s="2489"/>
      <c r="G65" s="2489"/>
      <c r="H65" s="2497"/>
      <c r="I65" s="138"/>
      <c r="J65" s="3156"/>
      <c r="K65" s="2499" t="s">
        <v>2198</v>
      </c>
      <c r="L65" s="1748">
        <f ca="1">IF(M49&gt;1000,M49*0.1%,IF(AND(M49&gt;500,M49&lt;=1000),M49*0.5%,IF(AND(M49&gt;50,M49&lt;=500),M49*1%,IF(AND(M49&gt;1,M49&lt;=50),M49*1.5%))))</f>
        <v>261.19</v>
      </c>
      <c r="M65" s="24">
        <f t="shared" ca="1" si="1"/>
        <v>261.2</v>
      </c>
      <c r="N65" s="138" t="s">
        <v>2196</v>
      </c>
      <c r="Z65" s="2423"/>
      <c r="AI65" s="2424"/>
    </row>
    <row r="66" spans="1:35" ht="14.25" customHeight="1">
      <c r="A66" s="203" t="s">
        <v>771</v>
      </c>
      <c r="B66" s="204" t="s">
        <v>2199</v>
      </c>
      <c r="C66" s="205"/>
      <c r="D66" s="206" t="s">
        <v>32</v>
      </c>
      <c r="E66" s="1772" t="s">
        <v>1363</v>
      </c>
      <c r="F66" s="2489"/>
      <c r="G66" s="2489"/>
      <c r="H66" s="2497"/>
      <c r="I66" s="138"/>
      <c r="J66" s="3156"/>
      <c r="K66" s="2499" t="s">
        <v>2200</v>
      </c>
      <c r="L66" s="1748">
        <f ca="1">M49*0.5%</f>
        <v>1305.95</v>
      </c>
      <c r="M66" s="24">
        <f ca="1">IF(L66&gt;0.5,0.5,ROUND(L66,0))</f>
        <v>0.5</v>
      </c>
      <c r="N66" s="138" t="s">
        <v>2201</v>
      </c>
      <c r="Z66" s="2423"/>
      <c r="AI66" s="2424"/>
    </row>
    <row r="67" spans="1:35" ht="14.25" customHeight="1">
      <c r="A67" s="203" t="s">
        <v>772</v>
      </c>
      <c r="B67" s="204" t="s">
        <v>2202</v>
      </c>
      <c r="C67" s="207">
        <f ca="1">C63-C66</f>
        <v>250051</v>
      </c>
      <c r="D67" s="200" t="s">
        <v>32</v>
      </c>
      <c r="E67" s="201"/>
      <c r="F67" s="2489"/>
      <c r="G67" s="2489"/>
      <c r="H67" s="2497"/>
      <c r="I67" s="138"/>
      <c r="J67" s="3156"/>
      <c r="K67" s="2499" t="s">
        <v>2203</v>
      </c>
      <c r="L67" s="1748">
        <f ca="1">IF(M49&gt;=10000,(8.25+(M49-10000)*0.01%),IF(AND(M49&gt;=8000,M49&lt;10000),(7.85+(M49-8000)*0.02%),IF(AND(M49&gt;=5000,M49&lt;8000),(6.65+(M49-5000)*0.04%),IF(AND(M49&gt;=2000,M49&lt;5000),(4.25+(PM49-2000)*0.08%),IF(AND(M49&gt;=1000,M49&lt;2000),(2.75+(M49-1000)*0.15%),IF(AND(M49&gt;=100,M49&lt;1000),(0.5+(M49-100)*0.25%),IF(AND(M49&gt;0,M49&lt;100),M49*0.5%)))))))</f>
        <v>33.369</v>
      </c>
      <c r="M67" s="24">
        <f ca="1">ROUND(L67*0.9,1)</f>
        <v>30</v>
      </c>
      <c r="Z67" s="2423"/>
      <c r="AI67" s="2424"/>
    </row>
    <row r="68" spans="1:35" ht="14.25" customHeight="1" thickBot="1">
      <c r="A68" s="208" t="s">
        <v>773</v>
      </c>
      <c r="B68" s="209" t="s">
        <v>2204</v>
      </c>
      <c r="C68" s="210">
        <f ca="1">IF(C67&lt;=0,0,ROUND(C67*D68,0))</f>
        <v>14003</v>
      </c>
      <c r="D68" s="211">
        <f>'数据-取费表'!B41</f>
        <v>5.6000000000000001E-2</v>
      </c>
      <c r="E68" s="212"/>
      <c r="F68" s="2489"/>
      <c r="G68" s="2489"/>
      <c r="H68" s="2497"/>
      <c r="I68" s="138"/>
      <c r="J68" s="3156"/>
      <c r="K68" s="2499" t="s">
        <v>2205</v>
      </c>
      <c r="L68" s="1748">
        <f ca="1">IF(M49&gt;10000,M49*0.5%,IF(AND(M49&gt;5000,M49&lt;=10000),M49*1%,IF(AND(M49&gt;1000,M49&lt;=5000),M49*2%,IF(AND(M49&gt;200,M49&lt;=1000),M49*3%,M49*5%))))</f>
        <v>1305.95</v>
      </c>
      <c r="M68" s="24">
        <f ca="1">ROUND(L68,1)</f>
        <v>1306</v>
      </c>
      <c r="Z68" s="2423"/>
      <c r="AI68" s="2424"/>
    </row>
    <row r="69" spans="1:35" s="2446" customFormat="1" ht="16.5" customHeight="1">
      <c r="A69" s="2500"/>
      <c r="B69" s="2501"/>
      <c r="C69" s="2502"/>
      <c r="D69" s="2503"/>
      <c r="E69" s="2504"/>
      <c r="F69" s="2166"/>
      <c r="G69" s="2166"/>
      <c r="H69" s="2165"/>
      <c r="I69" s="2418"/>
      <c r="J69" s="3156"/>
      <c r="K69" s="2499" t="s">
        <v>2206</v>
      </c>
      <c r="L69" s="2505"/>
      <c r="M69" s="24">
        <f ca="1">ROUND(SUM(M63:M68),0)</f>
        <v>4210</v>
      </c>
      <c r="N69" s="1749">
        <f ca="1">M69/M49</f>
        <v>1.6118534400245032E-2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5" t="s">
        <v>2207</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5" t="s">
        <v>2188</v>
      </c>
      <c r="B71" s="3096"/>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2208</v>
      </c>
      <c r="C72" s="207">
        <f ca="1">ROUND(D45/(1+'数据-取费表'!C42),0)</f>
        <v>250051</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2209</v>
      </c>
      <c r="C73" s="207">
        <f ca="1">C74+C78</f>
        <v>1500</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090" t="s">
        <v>2216</v>
      </c>
      <c r="F76" s="3067"/>
      <c r="G76" s="3067"/>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1500</v>
      </c>
      <c r="D78" s="226">
        <f>'数据-取费表'!B43</f>
        <v>6.000000000000001E-3</v>
      </c>
      <c r="E78" s="3076" t="s">
        <v>2221</v>
      </c>
      <c r="F78" s="3077"/>
      <c r="G78" s="3077"/>
      <c r="H78" s="308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2222</v>
      </c>
      <c r="C79" s="207">
        <f ca="1">C72-C73</f>
        <v>248551</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165.70066666666668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2224</v>
      </c>
      <c r="C81" s="228">
        <f ca="1">ROUND(IF(C79&lt;=0,0,IF(C80&gt;=200%,C79*60%-C73*35%,IF(C80&gt;=100%,C79*50%-C73*15%,IF(C80&gt;=50%,C79*40%-C73*5%,IF(C80&lt;50%,C79*30%,0))))),0)</f>
        <v>148606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5" t="s">
        <v>2225</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5" t="s">
        <v>2188</v>
      </c>
      <c r="B84" s="3096"/>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2208</v>
      </c>
      <c r="C85" s="207">
        <f ca="1">ROUND(D45/(1+'数据-取费表'!C42),0)</f>
        <v>250051</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2209</v>
      </c>
      <c r="C86" s="207">
        <f ca="1">IF(H88="仅含出让金",C87+C90+C91+C92+C93+C94,C87+C91+C92+C93+C94)</f>
        <v>1500</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076" t="s">
        <v>2234</v>
      </c>
      <c r="F91" s="3077"/>
      <c r="G91" s="3077"/>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076" t="s">
        <v>2238</v>
      </c>
      <c r="F92" s="3077"/>
      <c r="G92" s="3077"/>
      <c r="H92" s="308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1500</v>
      </c>
      <c r="D93" s="226">
        <f>'数据-取费表'!B43</f>
        <v>6.000000000000001E-3</v>
      </c>
      <c r="E93" s="3076" t="s">
        <v>2221</v>
      </c>
      <c r="F93" s="3077"/>
      <c r="G93" s="3077"/>
      <c r="H93" s="308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087" t="s">
        <v>2242</v>
      </c>
      <c r="F94" s="3088"/>
      <c r="G94" s="3088"/>
      <c r="H94" s="308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2222</v>
      </c>
      <c r="C95" s="207">
        <f ca="1">ROUND(C85-C86,0)</f>
        <v>248551</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165.70066666666668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2224</v>
      </c>
      <c r="C97" s="228">
        <f ca="1">ROUND(IF(C95&lt;=0,0,IF(C96&gt;=200%,C95*60%-C86*35%,IF(C96&gt;=100%,C95*50%-C86*15%,IF(C96&gt;=50%,C95*40%-C86*5%,IF(C96&lt;50%,C95*30%,0))))),0)</f>
        <v>148606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61" t="s">
        <v>2244</v>
      </c>
      <c r="B100" s="3062"/>
      <c r="C100" s="3062"/>
      <c r="D100" s="3078"/>
      <c r="E100" s="3062" t="s">
        <v>2245</v>
      </c>
      <c r="F100" s="3062"/>
      <c r="G100" s="3062"/>
      <c r="H100" s="3078"/>
      <c r="I100" s="138"/>
    </row>
    <row r="101" spans="1:35" ht="18.75" customHeight="1">
      <c r="A101" s="3139" t="s">
        <v>2246</v>
      </c>
      <c r="B101" s="3140"/>
      <c r="C101" s="736" t="str">
        <f>C4</f>
        <v>成本法</v>
      </c>
      <c r="D101" s="737" t="str">
        <f>D4</f>
        <v>假设开发法</v>
      </c>
      <c r="E101" s="3153" t="s">
        <v>2247</v>
      </c>
      <c r="F101" s="3107"/>
      <c r="G101" s="2520" t="s">
        <v>2248</v>
      </c>
      <c r="H101" s="1045">
        <f ca="1">H118</f>
        <v>262554</v>
      </c>
      <c r="I101" s="138"/>
    </row>
    <row r="102" spans="1:35" ht="18.75" customHeight="1">
      <c r="A102" s="3109" t="s">
        <v>2249</v>
      </c>
      <c r="B102" s="2520" t="s">
        <v>2248</v>
      </c>
      <c r="C102" s="736">
        <f ca="1">C19</f>
        <v>345811</v>
      </c>
      <c r="D102" s="737">
        <f ca="1">D19</f>
        <v>207050</v>
      </c>
      <c r="E102" s="3153"/>
      <c r="F102" s="3107"/>
      <c r="G102" s="2520" t="s">
        <v>2250</v>
      </c>
      <c r="H102" s="371">
        <f ca="1">I118</f>
        <v>9632</v>
      </c>
      <c r="I102" s="138"/>
    </row>
    <row r="103" spans="1:35" ht="42.75" customHeight="1">
      <c r="A103" s="3109"/>
      <c r="B103" s="2520" t="s">
        <v>2250</v>
      </c>
      <c r="C103" s="738">
        <f ca="1">C20</f>
        <v>12686</v>
      </c>
      <c r="D103" s="739">
        <f ca="1">D20</f>
        <v>7596</v>
      </c>
      <c r="E103" s="3148" t="s">
        <v>2251</v>
      </c>
      <c r="F103" s="3149"/>
      <c r="G103" s="2521" t="s">
        <v>2252</v>
      </c>
      <c r="H103" s="1045">
        <f>IF(D36="正常操作",H104+H105+H106,H105+H106)</f>
        <v>1364</v>
      </c>
      <c r="I103" s="138"/>
    </row>
    <row r="104" spans="1:35" ht="18.75" customHeight="1">
      <c r="A104" s="3109" t="s">
        <v>2253</v>
      </c>
      <c r="B104" s="2522" t="s">
        <v>2248</v>
      </c>
      <c r="C104" s="740">
        <f ca="1">H118</f>
        <v>262554</v>
      </c>
      <c r="D104" s="741"/>
      <c r="E104" s="2267" t="s">
        <v>2254</v>
      </c>
      <c r="F104" s="2258"/>
      <c r="G104" s="2521" t="s">
        <v>2252</v>
      </c>
      <c r="H104" s="1046">
        <f>IF(D36="同一抵押权人同一抵押物续贷",C36&amp;"（未扣减，详见特别提示）",C36)</f>
        <v>0</v>
      </c>
      <c r="I104" s="138"/>
    </row>
    <row r="105" spans="1:35" ht="18.75" customHeight="1" thickBot="1">
      <c r="A105" s="3110"/>
      <c r="B105" s="2523" t="s">
        <v>2250</v>
      </c>
      <c r="C105" s="742">
        <f ca="1">I118</f>
        <v>9632</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1364</v>
      </c>
      <c r="I106" s="138"/>
    </row>
    <row r="107" spans="1:35" ht="18.75" customHeight="1">
      <c r="A107" s="138"/>
      <c r="B107" s="138"/>
      <c r="C107" s="138"/>
      <c r="D107" s="138"/>
      <c r="E107" s="3106" t="str">
        <f>IF(项目基本情况!E8="已注销","——","3.房地产抵押价值")</f>
        <v>3.房地产抵押价值</v>
      </c>
      <c r="F107" s="3107"/>
      <c r="G107" s="2520" t="s">
        <v>2248</v>
      </c>
      <c r="H107" s="1045">
        <f ca="1">IF(E107="——","——",H101-H103)</f>
        <v>261190</v>
      </c>
      <c r="I107" s="138"/>
    </row>
    <row r="108" spans="1:35" ht="18.75" customHeight="1">
      <c r="A108" s="138"/>
      <c r="B108" s="138"/>
      <c r="C108" s="138"/>
      <c r="D108" s="138"/>
      <c r="E108" s="3106"/>
      <c r="F108" s="3107"/>
      <c r="G108" s="2520" t="s">
        <v>2250</v>
      </c>
      <c r="H108" s="371">
        <f ca="1">ROUND(H107*10000/'数据-汇总表'!E3,0)</f>
        <v>9582</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4.抵押担保权已注销时的房地产抵押价值</v>
      </c>
      <c r="F109" s="3107"/>
      <c r="G109" s="2520" t="s">
        <v>2248</v>
      </c>
      <c r="H109" s="348">
        <f ca="1">IF(E109="——","——",H101-H105-H106)</f>
        <v>261190</v>
      </c>
      <c r="I109" s="138"/>
    </row>
    <row r="110" spans="1:35" ht="18.75" customHeight="1">
      <c r="A110" s="138"/>
      <c r="B110" s="138"/>
      <c r="C110" s="138"/>
      <c r="D110" s="138"/>
      <c r="E110" s="3106"/>
      <c r="F110" s="3107"/>
      <c r="G110" s="2520" t="s">
        <v>2250</v>
      </c>
      <c r="H110" s="371">
        <f ca="1">IF(H109="——","——",ROUND(H109*10000/'数据-汇总表'!E3,0))</f>
        <v>9582</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0" t="s">
        <v>2248</v>
      </c>
      <c r="H111" s="1045" t="str">
        <f>IF(E111="——","——",N59)</f>
        <v>——</v>
      </c>
      <c r="I111" s="138"/>
    </row>
    <row r="112" spans="1:35" ht="18.75" customHeight="1" thickBot="1">
      <c r="A112" s="138"/>
      <c r="B112" s="138"/>
      <c r="C112" s="138"/>
      <c r="D112" s="138"/>
      <c r="E112" s="3143"/>
      <c r="F112" s="3144"/>
      <c r="G112" s="2525" t="s">
        <v>2250</v>
      </c>
      <c r="H112" s="790" t="str">
        <f>IF(E111="——","——",N61)</f>
        <v>——</v>
      </c>
      <c r="I112" s="138"/>
    </row>
    <row r="113" spans="1:11" ht="18.75" customHeight="1">
      <c r="A113" s="138"/>
      <c r="B113" s="138"/>
      <c r="C113" s="138"/>
      <c r="D113" s="138"/>
      <c r="E113" s="3111" t="s">
        <v>2256</v>
      </c>
      <c r="F113" s="3111"/>
      <c r="G113" s="3111"/>
      <c r="H113" s="3111"/>
      <c r="I113" s="138"/>
    </row>
    <row r="114" spans="1:11" ht="3.75" customHeight="1">
      <c r="A114" s="2418"/>
      <c r="B114" s="2418"/>
      <c r="C114" s="2418"/>
      <c r="D114" s="2418"/>
      <c r="E114" s="2496"/>
      <c r="F114" s="2496"/>
      <c r="G114" s="2496"/>
      <c r="H114" s="2496"/>
      <c r="I114" s="2418"/>
    </row>
    <row r="115" spans="1:11" ht="18.75" customHeight="1">
      <c r="A115" s="3124" t="s">
        <v>2258</v>
      </c>
      <c r="B115" s="3125"/>
      <c r="C115" s="3125"/>
      <c r="D115" s="3125"/>
      <c r="E115" s="3125"/>
      <c r="F115" s="3125"/>
      <c r="G115" s="3125"/>
      <c r="H115" s="3125"/>
      <c r="I115" s="3126"/>
    </row>
    <row r="116" spans="1:11" ht="27" customHeight="1">
      <c r="A116" s="3018" t="s">
        <v>2259</v>
      </c>
      <c r="B116" s="3112" t="s">
        <v>2260</v>
      </c>
      <c r="C116" s="3112" t="s">
        <v>2261</v>
      </c>
      <c r="D116" s="3128" t="s">
        <v>2262</v>
      </c>
      <c r="E116" s="3129"/>
      <c r="F116" s="3120" t="s">
        <v>2263</v>
      </c>
      <c r="G116" s="3120"/>
      <c r="H116" s="3018" t="s">
        <v>2264</v>
      </c>
      <c r="I116" s="3018"/>
    </row>
    <row r="117" spans="1:11" ht="18.75" customHeight="1">
      <c r="A117" s="3018"/>
      <c r="B117" s="3113"/>
      <c r="C117" s="3113"/>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f ca="1">ROUND(IF(D32="总价",C34,E118*B118/10000),0)</f>
        <v>233148</v>
      </c>
      <c r="E118" s="1794">
        <f ca="1">ROUND(IF(C33="自定义",IF(D32="楼面单价",C34,D118*10000/B118),I118-G118),0)</f>
        <v>8553</v>
      </c>
      <c r="F118" s="1794">
        <f ca="1">ROUND(IF(D32="总价",C35,G118*B118/10000),0)</f>
        <v>29406</v>
      </c>
      <c r="G118" s="1794">
        <f ca="1">ROUND(IF(D32="楼面单价",C35,F118*10000/B118),0)</f>
        <v>1079</v>
      </c>
      <c r="H118" s="1794">
        <f ca="1">ROUND(IF(D32="总价",C32,I118*B118/10000),0)</f>
        <v>262554</v>
      </c>
      <c r="I118" s="1794">
        <f ca="1">ROUND(IF(D32="楼面单价",C32,H118*10000/B118),0)</f>
        <v>9632</v>
      </c>
    </row>
    <row r="119" spans="1:11" ht="18.75" customHeight="1">
      <c r="A119" s="3018" t="s">
        <v>2268</v>
      </c>
      <c r="B119" s="3018"/>
      <c r="C119" s="3018"/>
      <c r="D119" s="3117" t="str">
        <f ca="1">NUMBERSTRING(INT(D118*10000),2)&amp;"元整"</f>
        <v>贰拾叁亿叁仟壹佰肆拾捌万元整</v>
      </c>
      <c r="E119" s="3119"/>
      <c r="F119" s="3117" t="str">
        <f ca="1">NUMBERSTRING(INT(F118*10000),2)&amp;"元整"</f>
        <v>贰亿玖仟肆佰零陆万元整</v>
      </c>
      <c r="G119" s="3119"/>
      <c r="H119" s="3117" t="str">
        <f ca="1">NUMBERSTRING(INT(H118*10000),2)&amp;"元整"</f>
        <v>贰拾陆亿贰仟伍佰伍拾肆万元整</v>
      </c>
      <c r="I119" s="3119"/>
    </row>
    <row r="120" spans="1:11" ht="18.75" customHeight="1">
      <c r="A120" s="3145" t="str">
        <f>IF(项目基本情况!B9="房地产市场价值","",MID(E103,3,LEN(E103)-2))</f>
        <v>估价师知悉的法定优先受偿款</v>
      </c>
      <c r="B120" s="3146"/>
      <c r="C120" s="3147"/>
      <c r="D120" s="3145">
        <f>H103</f>
        <v>1364</v>
      </c>
      <c r="E120" s="3146"/>
      <c r="F120" s="3146"/>
      <c r="G120" s="3146"/>
      <c r="H120" s="3146"/>
      <c r="I120" s="3147"/>
      <c r="K120" s="2423" t="str">
        <f>IF(D120=0,"故，本次评估不存在"&amp;A120,"故，本次评估"&amp;A120&amp;"为人民币"&amp;D120&amp;"万元整。")</f>
        <v>故，本次评估估价师知悉的法定优先受偿款为人民币1364万元整。</v>
      </c>
    </row>
    <row r="121" spans="1:11" ht="18.75" customHeight="1">
      <c r="A121" s="3121" t="s">
        <v>2268</v>
      </c>
      <c r="B121" s="3122"/>
      <c r="C121" s="3123"/>
      <c r="D121" s="3117" t="str">
        <f>IF(D120=0,"零元整",NUMBERSTRING(INT(D120*10000),2)&amp;"元整")</f>
        <v>壹仟叁佰陆拾肆万元整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261190</v>
      </c>
      <c r="E122" s="3146"/>
      <c r="F122" s="3146"/>
      <c r="G122" s="3146"/>
      <c r="H122" s="3146"/>
      <c r="I122" s="3147"/>
    </row>
    <row r="123" spans="1:11" ht="18.75" customHeight="1">
      <c r="A123" s="3018" t="s">
        <v>2268</v>
      </c>
      <c r="B123" s="3018"/>
      <c r="C123" s="3018"/>
      <c r="D123" s="3117" t="str">
        <f ca="1">NUMBERSTRING(INT(D122*10000),2)&amp;"元整"</f>
        <v>贰拾陆亿壹仟壹佰玖拾万元整</v>
      </c>
      <c r="E123" s="3118"/>
      <c r="F123" s="3118"/>
      <c r="G123" s="3118"/>
      <c r="H123" s="3118"/>
      <c r="I123" s="3119"/>
    </row>
    <row r="124" spans="1:11" ht="18.75" customHeight="1">
      <c r="A124" s="3108" t="str">
        <f>IF(项目基本情况!B9="房地产市场价值","",MID(E109,3,LEN(E109)-2))</f>
        <v>抵押担保权已注销时的房地产抵押价值</v>
      </c>
      <c r="B124" s="3108"/>
      <c r="C124" s="3108"/>
      <c r="D124" s="3145">
        <f ca="1">H109</f>
        <v>261190</v>
      </c>
      <c r="E124" s="3146"/>
      <c r="F124" s="3146"/>
      <c r="G124" s="3146"/>
      <c r="H124" s="3146"/>
      <c r="I124" s="3147"/>
    </row>
    <row r="125" spans="1:11" ht="18.75" customHeight="1">
      <c r="A125" s="3018" t="s">
        <v>2268</v>
      </c>
      <c r="B125" s="3018"/>
      <c r="C125" s="3018"/>
      <c r="D125" s="3117" t="str">
        <f ca="1">NUMBERSTRING(INT(D124*10000),2)&amp;"元整"</f>
        <v>贰拾陆亿壹仟壹佰玖拾万元整</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8" t="s">
        <v>2268</v>
      </c>
      <c r="B127" s="3018"/>
      <c r="C127" s="3018"/>
      <c r="D127" s="3117" t="e">
        <f>NUMBERSTRING(INT(D126*10000),2)&amp;"元整"</f>
        <v>#VALUE!</v>
      </c>
      <c r="E127" s="3118"/>
      <c r="F127" s="3118"/>
      <c r="G127" s="3118"/>
      <c r="H127" s="3118"/>
      <c r="I127" s="3119"/>
    </row>
    <row r="128" spans="1:11" ht="21.75" customHeight="1">
      <c r="A128" s="3127" t="s">
        <v>2269</v>
      </c>
      <c r="B128" s="3127"/>
      <c r="C128" s="3127"/>
      <c r="D128" s="3127"/>
      <c r="E128" s="3127"/>
      <c r="F128" s="3127"/>
      <c r="G128" s="3127"/>
      <c r="H128" s="3127"/>
      <c r="I128" s="3127"/>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5" priority="25" stopIfTrue="1" operator="equal">
      <formula>25</formula>
    </cfRule>
  </conditionalFormatting>
  <conditionalFormatting sqref="C8:C9">
    <cfRule type="cellIs" dxfId="164" priority="23" stopIfTrue="1" operator="equal">
      <formula>15</formula>
    </cfRule>
  </conditionalFormatting>
  <conditionalFormatting sqref="C14:C16">
    <cfRule type="cellIs" dxfId="163" priority="17" stopIfTrue="1" operator="equal">
      <formula>30</formula>
    </cfRule>
  </conditionalFormatting>
  <conditionalFormatting sqref="C10:C13">
    <cfRule type="cellIs" dxfId="160" priority="12" stopIfTrue="1" operator="equal">
      <formula>15</formula>
    </cfRule>
  </conditionalFormatting>
  <conditionalFormatting sqref="C90">
    <cfRule type="expression" dxfId="158" priority="7" stopIfTrue="1">
      <formula>$H$88&lt;&gt;"仅含出让金"</formula>
    </cfRule>
  </conditionalFormatting>
  <conditionalFormatting sqref="C91">
    <cfRule type="expression" dxfId="157" priority="6" stopIfTrue="1">
      <formula>$H$91="由企业提供"</formula>
    </cfRule>
  </conditionalFormatting>
  <conditionalFormatting sqref="E36">
    <cfRule type="expression" dxfId="156" priority="5" stopIfTrue="1">
      <formula>$D$36="同一抵押权人同一抵押物续贷"</formula>
    </cfRule>
  </conditionalFormatting>
  <conditionalFormatting sqref="D5:D7">
    <cfRule type="cellIs" dxfId="7" priority="4" stopIfTrue="1" operator="equal">
      <formula>25</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75">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62"/>
      <c r="B4" s="3163"/>
      <c r="C4" s="3163"/>
      <c r="D4" s="3164"/>
      <c r="E4" s="3164"/>
      <c r="F4" s="3164"/>
      <c r="G4" s="3164"/>
      <c r="H4" s="3164"/>
      <c r="I4" s="3164"/>
      <c r="J4" s="3165"/>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166"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167"/>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59" t="s">
        <v>2786</v>
      </c>
      <c r="X8" s="3160"/>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167"/>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1"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7"/>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7"/>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1"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166"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1"/>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8"/>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161"/>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168"/>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69"/>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66"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67"/>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5">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7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176"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7"/>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7"/>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178"/>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5"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51">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63.75">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24">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2914</v>
      </c>
      <c r="B79" s="2877">
        <f>1+E81</f>
        <v>1</v>
      </c>
      <c r="C79" s="811"/>
      <c r="D79" s="811"/>
      <c r="E79" s="812"/>
      <c r="F79" s="2879"/>
      <c r="G79" s="6"/>
      <c r="H79" s="6"/>
      <c r="I79" s="6"/>
      <c r="J79" s="7"/>
      <c r="K79" s="7"/>
      <c r="L79" s="7"/>
      <c r="M79" s="7"/>
      <c r="N79" s="7"/>
      <c r="Z79" s="2722"/>
      <c r="AA79" s="2798"/>
      <c r="AG79" s="1372"/>
      <c r="AK79" s="2798"/>
    </row>
    <row r="80" spans="1:37" ht="24.75">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24">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14.25">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4">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4">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15"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170" t="s">
        <v>2918</v>
      </c>
      <c r="B90" s="3170"/>
      <c r="C90" s="3170"/>
      <c r="D90" s="3170"/>
      <c r="E90" s="3170"/>
      <c r="F90" s="3170"/>
      <c r="G90" s="3170"/>
      <c r="H90" s="3170"/>
      <c r="I90" s="3170"/>
      <c r="J90" s="3170"/>
      <c r="K90" s="2894"/>
      <c r="L90" s="2894"/>
      <c r="M90" s="2894"/>
      <c r="N90" s="2894"/>
    </row>
    <row r="91" spans="1:37">
      <c r="A91" s="3172" t="s">
        <v>2919</v>
      </c>
      <c r="B91" s="3172" t="s">
        <v>2920</v>
      </c>
      <c r="C91" s="2848" t="s">
        <v>2921</v>
      </c>
      <c r="D91" s="2849"/>
      <c r="E91" s="2849"/>
      <c r="F91" s="2849"/>
      <c r="G91" s="2849"/>
      <c r="H91" s="2849"/>
      <c r="I91" s="2849"/>
      <c r="J91" s="2895"/>
      <c r="K91" s="2896"/>
      <c r="L91" s="2896"/>
      <c r="M91" s="2896"/>
      <c r="N91" s="2896"/>
    </row>
    <row r="92" spans="1:37">
      <c r="A92" s="3172"/>
      <c r="B92" s="3172"/>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173"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7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7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7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7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7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74"/>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7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73"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174"/>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174"/>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174"/>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174"/>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174"/>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174"/>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174"/>
      <c r="B108" s="3132"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75"/>
      <c r="B109" s="3133"/>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171" t="s">
        <v>2926</v>
      </c>
      <c r="B110" s="3171"/>
      <c r="C110" s="3171"/>
      <c r="D110" s="3171"/>
      <c r="E110" s="3171"/>
      <c r="F110" s="3171"/>
      <c r="G110" s="3171"/>
      <c r="H110" s="3171"/>
      <c r="I110" s="3171"/>
      <c r="J110" s="3171"/>
      <c r="K110" s="2903"/>
      <c r="L110" s="2903"/>
      <c r="M110" s="2903"/>
      <c r="N110" s="2903"/>
    </row>
    <row r="112" spans="1:14" ht="13.5" thickBot="1"/>
    <row r="113" spans="1:13" ht="25.5"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5" priority="5" stopIfTrue="1" operator="notEqual">
      <formula>"——"</formula>
    </cfRule>
  </conditionalFormatting>
  <conditionalFormatting sqref="F59">
    <cfRule type="cellIs" dxfId="154" priority="4" stopIfTrue="1" operator="notEqual">
      <formula>"——"</formula>
    </cfRule>
  </conditionalFormatting>
  <conditionalFormatting sqref="F70">
    <cfRule type="cellIs" dxfId="153" priority="3" stopIfTrue="1" operator="notEqual">
      <formula>"——"</formula>
    </cfRule>
  </conditionalFormatting>
  <conditionalFormatting sqref="F81">
    <cfRule type="cellIs" dxfId="152" priority="2" stopIfTrue="1" operator="notEqual">
      <formula>"——"</formula>
    </cfRule>
  </conditionalFormatting>
  <conditionalFormatting sqref="H48:H56 H59:H67 H70:H78 H81:H88">
    <cfRule type="cellIs" dxfId="15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74" t="str">
        <f>项目基本情况!B1</f>
        <v>北京市北京经济技术开发区东区A18街区出让国有建设用地使用权及在建建筑物房地产抵押价值预评估</v>
      </c>
      <c r="C37" s="2974"/>
      <c r="D37" s="2974"/>
      <c r="E37" s="2974"/>
      <c r="F37" s="2974"/>
      <c r="G37" s="2974"/>
      <c r="H37" s="2974"/>
      <c r="I37" s="2974"/>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2" zoomScale="80" zoomScaleNormal="80" workbookViewId="0">
      <selection activeCell="F66" sqref="F66"/>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235504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8640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4" t="s">
        <v>2596</v>
      </c>
      <c r="AC4" s="3193" t="s">
        <v>2597</v>
      </c>
    </row>
    <row r="5" spans="1:30" ht="15">
      <c r="A5" s="404"/>
      <c r="B5" s="405"/>
      <c r="C5" s="3218" t="str">
        <f>项目基本情况!F10</f>
        <v>北京经济技术开发区东区A18街区</v>
      </c>
      <c r="D5" s="3214"/>
      <c r="E5" s="3221" t="str">
        <f>土地案例!B4</f>
        <v>北京经济技术开发区路东区E16街区E16C-3、E16C-5、E16S-1地块</v>
      </c>
      <c r="F5" s="3222"/>
      <c r="G5" s="3213" t="str">
        <f>土地案例!B5</f>
        <v>北京经济技术开发区路东区C14C-1、C14C-2、C14S-1地块B4综合性商业金融服务业用地及S41公用停车场用地</v>
      </c>
      <c r="H5" s="3214"/>
      <c r="I5" s="3213" t="str">
        <f>土地案例!B7</f>
        <v>大兴区北臧村生物医药基地DX00-0502-0008地块</v>
      </c>
      <c r="J5" s="3214"/>
      <c r="K5" s="610"/>
      <c r="L5" s="1130"/>
      <c r="M5" s="1131"/>
      <c r="N5" s="1131"/>
      <c r="O5" s="1131"/>
      <c r="P5" s="3201"/>
      <c r="Q5" s="3202"/>
      <c r="R5" s="3207"/>
      <c r="S5" s="3208"/>
      <c r="T5" s="3207"/>
      <c r="U5" s="3208"/>
      <c r="V5" s="3192"/>
      <c r="W5" s="3192"/>
      <c r="X5" s="1812"/>
      <c r="Y5" s="3207"/>
      <c r="Z5" s="3208"/>
      <c r="AA5" s="3194"/>
      <c r="AB5" s="3194"/>
      <c r="AC5" s="3194"/>
    </row>
    <row r="6" spans="1:30" ht="15.75" thickBot="1">
      <c r="A6" s="406"/>
      <c r="B6" s="407"/>
      <c r="C6" s="3211" t="s">
        <v>2494</v>
      </c>
      <c r="D6" s="3212"/>
      <c r="E6" s="3219" t="s">
        <v>2494</v>
      </c>
      <c r="F6" s="3220"/>
      <c r="G6" s="3211" t="s">
        <v>2494</v>
      </c>
      <c r="H6" s="3212"/>
      <c r="I6" s="3211" t="s">
        <v>2494</v>
      </c>
      <c r="J6" s="3212"/>
      <c r="K6" s="610" t="s">
        <v>2495</v>
      </c>
      <c r="L6" s="1130"/>
      <c r="M6" s="1131"/>
      <c r="N6" s="1131"/>
      <c r="O6" s="1131"/>
      <c r="P6" s="3203"/>
      <c r="Q6" s="3204"/>
      <c r="R6" s="3207"/>
      <c r="S6" s="3208"/>
      <c r="T6" s="3209"/>
      <c r="U6" s="3210"/>
      <c r="V6" s="3192"/>
      <c r="W6" s="3192"/>
      <c r="X6" s="1812"/>
      <c r="Y6" s="3209"/>
      <c r="Z6" s="3210"/>
      <c r="AA6" s="3195"/>
      <c r="AB6" s="3195"/>
      <c r="AC6" s="3195"/>
    </row>
    <row r="7" spans="1:30" s="117" customFormat="1" ht="15.7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215" t="s">
        <v>2497</v>
      </c>
      <c r="Q7" s="3217"/>
      <c r="R7" s="770" t="s">
        <v>17</v>
      </c>
      <c r="S7" s="771">
        <f t="shared" ref="S7:S15" si="0">F7</f>
        <v>98.5</v>
      </c>
      <c r="T7" s="770" t="s">
        <v>17</v>
      </c>
      <c r="U7" s="771">
        <f t="shared" ref="U7:U15" si="1">H7</f>
        <v>97</v>
      </c>
      <c r="V7" s="770" t="s">
        <v>17</v>
      </c>
      <c r="W7" s="771">
        <f t="shared" ref="W7:W15" si="2">J7</f>
        <v>96</v>
      </c>
      <c r="X7" s="772"/>
      <c r="Y7" s="3215" t="s">
        <v>2497</v>
      </c>
      <c r="Z7" s="3216"/>
      <c r="AA7" s="773">
        <f>D7/F7</f>
        <v>1.015228426395939</v>
      </c>
      <c r="AB7" s="773">
        <f>D7/H7</f>
        <v>1.0309278350515463</v>
      </c>
      <c r="AC7" s="773">
        <f>D7/J7</f>
        <v>1.0416666666666667</v>
      </c>
    </row>
    <row r="8" spans="1:30" s="117" customFormat="1" ht="15.7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215" t="s">
        <v>2500</v>
      </c>
      <c r="Q8" s="3216"/>
      <c r="R8" s="770" t="s">
        <v>17</v>
      </c>
      <c r="S8" s="771">
        <f t="shared" si="0"/>
        <v>100</v>
      </c>
      <c r="T8" s="770" t="s">
        <v>17</v>
      </c>
      <c r="U8" s="771">
        <f t="shared" si="1"/>
        <v>100</v>
      </c>
      <c r="V8" s="770" t="s">
        <v>17</v>
      </c>
      <c r="W8" s="771">
        <f t="shared" si="2"/>
        <v>100</v>
      </c>
      <c r="X8" s="772"/>
      <c r="Y8" s="3215" t="s">
        <v>2500</v>
      </c>
      <c r="Z8" s="3216"/>
      <c r="AA8" s="773">
        <f t="shared" ref="AA8:AA45" si="3">D8/F8</f>
        <v>1</v>
      </c>
      <c r="AB8" s="773">
        <f t="shared" ref="AB8:AB45" si="4">D8/H8</f>
        <v>1</v>
      </c>
      <c r="AC8" s="773">
        <f t="shared" ref="AC8:AC45" si="5">D8/J8</f>
        <v>1</v>
      </c>
    </row>
    <row r="9" spans="1:30" s="117" customFormat="1">
      <c r="A9" s="415" t="s">
        <v>2501</v>
      </c>
      <c r="B9" s="71" t="s">
        <v>2502</v>
      </c>
      <c r="C9" s="2701" t="s">
        <v>3138</v>
      </c>
      <c r="D9" s="135">
        <v>100</v>
      </c>
      <c r="E9" s="2701" t="s">
        <v>3138</v>
      </c>
      <c r="F9" s="135">
        <f>SUMIF(75:75,E9,76:76)-SUMIF(75:75,C9,76:76)+100</f>
        <v>100</v>
      </c>
      <c r="G9" s="2701" t="s">
        <v>3138</v>
      </c>
      <c r="H9" s="135">
        <f>SUMIF(75:75,G9,76:76)-SUMIF(75:75,C9,76:76)+100</f>
        <v>100</v>
      </c>
      <c r="I9" s="2701" t="s">
        <v>3168</v>
      </c>
      <c r="J9" s="135">
        <f>SUMIF(75:75,I9,76:76)-SUMIF(75:75,C9,76:76)+100</f>
        <v>99</v>
      </c>
      <c r="K9" s="611"/>
      <c r="L9" s="1132"/>
      <c r="M9" s="1133"/>
      <c r="N9" s="1133"/>
      <c r="O9" s="1134"/>
      <c r="P9" s="3186" t="s">
        <v>2503</v>
      </c>
      <c r="Q9" s="1794" t="str">
        <f t="shared" ref="Q9:Q15" si="6">B9</f>
        <v>用途</v>
      </c>
      <c r="R9" s="770" t="s">
        <v>17</v>
      </c>
      <c r="S9" s="771">
        <f t="shared" si="0"/>
        <v>100</v>
      </c>
      <c r="T9" s="770" t="s">
        <v>17</v>
      </c>
      <c r="U9" s="771">
        <f t="shared" si="1"/>
        <v>100</v>
      </c>
      <c r="V9" s="770" t="s">
        <v>17</v>
      </c>
      <c r="W9" s="771">
        <f t="shared" si="2"/>
        <v>99</v>
      </c>
      <c r="X9" s="772"/>
      <c r="Y9" s="3018" t="s">
        <v>2504</v>
      </c>
      <c r="Z9" s="55" t="str">
        <f t="shared" ref="Z9:Z15" si="7">Q9</f>
        <v>用途</v>
      </c>
      <c r="AA9" s="773">
        <f t="shared" si="3"/>
        <v>1</v>
      </c>
      <c r="AB9" s="773">
        <f t="shared" si="4"/>
        <v>1</v>
      </c>
      <c r="AC9" s="773">
        <f t="shared" si="5"/>
        <v>1.0101010101010102</v>
      </c>
    </row>
    <row r="10" spans="1:30" s="427" customFormat="1" ht="27">
      <c r="A10" s="421"/>
      <c r="B10" s="422" t="s">
        <v>2505</v>
      </c>
      <c r="C10" s="432">
        <f>项目基本情况!E15</f>
        <v>35.17</v>
      </c>
      <c r="D10" s="136">
        <v>100</v>
      </c>
      <c r="E10" s="465" t="s">
        <v>3191</v>
      </c>
      <c r="F10" s="136">
        <f>ROUND(100/'数据-取费表'!G16,0)</f>
        <v>103</v>
      </c>
      <c r="G10" s="463" t="s">
        <v>3191</v>
      </c>
      <c r="H10" s="136">
        <f>ROUND(100/'数据-取费表'!G16,0)</f>
        <v>103</v>
      </c>
      <c r="I10" s="463" t="s">
        <v>3191</v>
      </c>
      <c r="J10" s="136">
        <f>ROUND(100/'数据-取费表'!G16,0)</f>
        <v>103</v>
      </c>
      <c r="K10" s="672"/>
      <c r="L10" s="1135"/>
      <c r="M10" s="1136"/>
      <c r="N10" s="1136"/>
      <c r="O10" s="1137"/>
      <c r="P10" s="3186"/>
      <c r="Q10" s="1794" t="str">
        <f t="shared" si="6"/>
        <v>土地使用年限（年）</v>
      </c>
      <c r="R10" s="770" t="s">
        <v>17</v>
      </c>
      <c r="S10" s="771">
        <f t="shared" si="0"/>
        <v>103</v>
      </c>
      <c r="T10" s="770" t="s">
        <v>17</v>
      </c>
      <c r="U10" s="771">
        <f t="shared" si="1"/>
        <v>103</v>
      </c>
      <c r="V10" s="770" t="s">
        <v>17</v>
      </c>
      <c r="W10" s="771">
        <f t="shared" si="2"/>
        <v>103</v>
      </c>
      <c r="X10" s="772"/>
      <c r="Y10" s="3018"/>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86"/>
      <c r="Q11" s="1794" t="str">
        <f t="shared" si="6"/>
        <v>容积率</v>
      </c>
      <c r="R11" s="770" t="s">
        <v>17</v>
      </c>
      <c r="S11" s="771">
        <f t="shared" si="0"/>
        <v>100</v>
      </c>
      <c r="T11" s="770" t="s">
        <v>17</v>
      </c>
      <c r="U11" s="771">
        <f t="shared" si="1"/>
        <v>100</v>
      </c>
      <c r="V11" s="770" t="s">
        <v>17</v>
      </c>
      <c r="W11" s="771">
        <f t="shared" si="2"/>
        <v>101</v>
      </c>
      <c r="X11" s="772"/>
      <c r="Y11" s="3018"/>
      <c r="Z11" s="55" t="str">
        <f t="shared" si="7"/>
        <v>容积率</v>
      </c>
      <c r="AA11" s="773">
        <f t="shared" si="3"/>
        <v>1</v>
      </c>
      <c r="AB11" s="773">
        <f t="shared" si="4"/>
        <v>1</v>
      </c>
      <c r="AC11" s="773">
        <f t="shared" si="5"/>
        <v>0.99009900990099009</v>
      </c>
    </row>
    <row r="12" spans="1:30" s="117" customFormat="1" ht="15">
      <c r="A12" s="431"/>
      <c r="B12" s="2971" t="s">
        <v>3187</v>
      </c>
      <c r="C12" s="2972" t="s">
        <v>3188</v>
      </c>
      <c r="D12" s="433">
        <v>100</v>
      </c>
      <c r="E12" s="2972" t="s">
        <v>3188</v>
      </c>
      <c r="F12" s="136">
        <f>SUMIF(82:82,E12,83:83)-SUMIF(82:82,C12,83:83)+100</f>
        <v>100</v>
      </c>
      <c r="G12" s="2972" t="s">
        <v>3188</v>
      </c>
      <c r="H12" s="136">
        <f>SUMIF(82:82,G12,83:83)-SUMIF(82:82,C12,83:83)+100</f>
        <v>100</v>
      </c>
      <c r="I12" s="2973" t="s">
        <v>3189</v>
      </c>
      <c r="J12" s="136">
        <f>SUMIF(82:82,I12,83:83)-SUMIF(82:82,C12,83:83)+100</f>
        <v>105</v>
      </c>
      <c r="K12" s="672"/>
      <c r="L12" s="1132"/>
      <c r="M12" s="1133"/>
      <c r="N12" s="1133"/>
      <c r="O12" s="1134"/>
      <c r="P12" s="3186"/>
      <c r="Q12" s="1794" t="str">
        <f t="shared" si="6"/>
        <v>是否自持</v>
      </c>
      <c r="R12" s="770" t="s">
        <v>17</v>
      </c>
      <c r="S12" s="771">
        <f t="shared" si="0"/>
        <v>100</v>
      </c>
      <c r="T12" s="770" t="s">
        <v>17</v>
      </c>
      <c r="U12" s="771">
        <f t="shared" si="1"/>
        <v>100</v>
      </c>
      <c r="V12" s="770" t="s">
        <v>17</v>
      </c>
      <c r="W12" s="771">
        <f t="shared" si="2"/>
        <v>105</v>
      </c>
      <c r="X12" s="772"/>
      <c r="Y12" s="3018"/>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4">
        <f t="shared" si="6"/>
        <v>0</v>
      </c>
      <c r="R13" s="770" t="s">
        <v>17</v>
      </c>
      <c r="S13" s="771">
        <f t="shared" si="0"/>
        <v>100</v>
      </c>
      <c r="T13" s="770" t="s">
        <v>17</v>
      </c>
      <c r="U13" s="771">
        <f t="shared" si="1"/>
        <v>100</v>
      </c>
      <c r="V13" s="770" t="s">
        <v>17</v>
      </c>
      <c r="W13" s="771">
        <f t="shared" si="2"/>
        <v>100</v>
      </c>
      <c r="X13" s="772"/>
      <c r="Y13" s="3018"/>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4">
        <f t="shared" si="6"/>
        <v>0</v>
      </c>
      <c r="R14" s="770" t="s">
        <v>17</v>
      </c>
      <c r="S14" s="771">
        <f t="shared" si="0"/>
        <v>100</v>
      </c>
      <c r="T14" s="770" t="s">
        <v>17</v>
      </c>
      <c r="U14" s="771">
        <f t="shared" si="1"/>
        <v>100</v>
      </c>
      <c r="V14" s="770" t="s">
        <v>17</v>
      </c>
      <c r="W14" s="771">
        <f t="shared" si="2"/>
        <v>100</v>
      </c>
      <c r="X14" s="772"/>
      <c r="Y14" s="3018"/>
      <c r="Z14" s="55">
        <f t="shared" si="7"/>
        <v>0</v>
      </c>
      <c r="AA14" s="773">
        <f>D14/F14</f>
        <v>1</v>
      </c>
      <c r="AB14" s="773">
        <f>D14/H14</f>
        <v>1</v>
      </c>
      <c r="AC14" s="773">
        <f>D14/J14</f>
        <v>1</v>
      </c>
    </row>
    <row r="15" spans="1:30" ht="15" hidden="1">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188" t="s">
        <v>2508</v>
      </c>
      <c r="Q15" s="1809" t="str">
        <f t="shared" si="6"/>
        <v>居住社区成熟度</v>
      </c>
      <c r="R15" s="774" t="s">
        <v>17</v>
      </c>
      <c r="S15" s="775">
        <f t="shared" si="0"/>
        <v>100</v>
      </c>
      <c r="T15" s="774" t="s">
        <v>17</v>
      </c>
      <c r="U15" s="775">
        <f t="shared" si="1"/>
        <v>100</v>
      </c>
      <c r="V15" s="774" t="s">
        <v>17</v>
      </c>
      <c r="W15" s="775">
        <f t="shared" si="2"/>
        <v>100</v>
      </c>
      <c r="X15" s="1812"/>
      <c r="Y15" s="3188" t="s">
        <v>2508</v>
      </c>
      <c r="Z15" s="1813" t="str">
        <f t="shared" si="7"/>
        <v>居住社区成熟度</v>
      </c>
      <c r="AA15" s="1810">
        <f t="shared" si="3"/>
        <v>1</v>
      </c>
      <c r="AB15" s="1810">
        <f t="shared" si="4"/>
        <v>1</v>
      </c>
      <c r="AC15" s="1810">
        <f t="shared" si="5"/>
        <v>1</v>
      </c>
    </row>
    <row r="16" spans="1:30" ht="15" hidden="1">
      <c r="A16" s="428"/>
      <c r="B16" s="446"/>
      <c r="C16" s="447" t="s">
        <v>3162</v>
      </c>
      <c r="D16" s="448"/>
      <c r="E16" s="2607" t="s">
        <v>3162</v>
      </c>
      <c r="F16" s="448"/>
      <c r="G16" s="2607" t="s">
        <v>3162</v>
      </c>
      <c r="H16" s="450"/>
      <c r="I16" s="2607" t="s">
        <v>3162</v>
      </c>
      <c r="J16" s="448"/>
      <c r="K16" s="672"/>
      <c r="L16" s="1140"/>
      <c r="M16" s="1131"/>
      <c r="N16" s="1131"/>
      <c r="O16" s="1139"/>
      <c r="P16" s="3189"/>
      <c r="Q16" s="1809"/>
      <c r="R16" s="774"/>
      <c r="S16" s="775"/>
      <c r="T16" s="774"/>
      <c r="U16" s="775"/>
      <c r="V16" s="774"/>
      <c r="W16" s="775"/>
      <c r="X16" s="1812"/>
      <c r="Y16" s="3189"/>
      <c r="Z16" s="1813"/>
      <c r="AA16" s="1810">
        <v>1</v>
      </c>
      <c r="AB16" s="1810">
        <v>1</v>
      </c>
      <c r="AC16" s="1810">
        <v>1</v>
      </c>
    </row>
    <row r="17" spans="1:29" ht="85.5">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2960" t="s">
        <v>3174</v>
      </c>
      <c r="J17" s="455">
        <f>SUMIF(90:90,I18,91:91)-SUMIF(90:90,C18,91:91)+100</f>
        <v>100</v>
      </c>
      <c r="K17" s="673">
        <v>1</v>
      </c>
      <c r="L17" s="1140"/>
      <c r="M17" s="1131"/>
      <c r="N17" s="1131"/>
      <c r="O17" s="1139"/>
      <c r="P17" s="3189"/>
      <c r="Q17" s="1809" t="str">
        <f>B17</f>
        <v>商业繁华度</v>
      </c>
      <c r="R17" s="774" t="s">
        <v>17</v>
      </c>
      <c r="S17" s="775">
        <f>F17</f>
        <v>100</v>
      </c>
      <c r="T17" s="774" t="s">
        <v>17</v>
      </c>
      <c r="U17" s="775">
        <f>H17</f>
        <v>100</v>
      </c>
      <c r="V17" s="774" t="s">
        <v>17</v>
      </c>
      <c r="W17" s="775">
        <f>J17</f>
        <v>100</v>
      </c>
      <c r="X17" s="1812"/>
      <c r="Y17" s="3189"/>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189"/>
      <c r="Q18" s="1809"/>
      <c r="R18" s="774"/>
      <c r="S18" s="775"/>
      <c r="T18" s="774"/>
      <c r="U18" s="775"/>
      <c r="V18" s="774"/>
      <c r="W18" s="775"/>
      <c r="X18" s="1812"/>
      <c r="Y18" s="3189"/>
      <c r="Z18" s="1813"/>
      <c r="AA18" s="1810">
        <v>1</v>
      </c>
      <c r="AB18" s="1810">
        <v>1</v>
      </c>
      <c r="AC18" s="1810">
        <v>1</v>
      </c>
    </row>
    <row r="19" spans="1:29" ht="99.75">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2969" t="s">
        <v>3175</v>
      </c>
      <c r="J19" s="450">
        <f>SUMIF(92:92,I20,93:93)-SUMIF(92:92,C20,93:93)+100</f>
        <v>95</v>
      </c>
      <c r="K19" s="673">
        <v>5</v>
      </c>
      <c r="L19" s="1140"/>
      <c r="M19" s="1131"/>
      <c r="N19" s="1131"/>
      <c r="O19" s="1139"/>
      <c r="P19" s="3189"/>
      <c r="Q19" s="1809" t="str">
        <f>B19</f>
        <v>办公集聚程度</v>
      </c>
      <c r="R19" s="774" t="s">
        <v>17</v>
      </c>
      <c r="S19" s="775">
        <f>F19</f>
        <v>100</v>
      </c>
      <c r="T19" s="774" t="s">
        <v>17</v>
      </c>
      <c r="U19" s="775">
        <f>H19</f>
        <v>100</v>
      </c>
      <c r="V19" s="774" t="s">
        <v>17</v>
      </c>
      <c r="W19" s="775">
        <f>J19</f>
        <v>95</v>
      </c>
      <c r="X19" s="1812"/>
      <c r="Y19" s="3189"/>
      <c r="Z19" s="1813" t="str">
        <f>Q19</f>
        <v>办公集聚程度</v>
      </c>
      <c r="AA19" s="1810">
        <f t="shared" si="3"/>
        <v>1</v>
      </c>
      <c r="AB19" s="1810">
        <f t="shared" si="4"/>
        <v>1</v>
      </c>
      <c r="AC19" s="1810">
        <f t="shared" si="5"/>
        <v>1.0526315789473684</v>
      </c>
    </row>
    <row r="20" spans="1:29" ht="15">
      <c r="A20" s="428"/>
      <c r="B20" s="456"/>
      <c r="C20" s="447" t="s">
        <v>3131</v>
      </c>
      <c r="D20" s="448"/>
      <c r="E20" s="2607" t="s">
        <v>3131</v>
      </c>
      <c r="F20" s="448"/>
      <c r="G20" s="2607" t="s">
        <v>3131</v>
      </c>
      <c r="H20" s="448"/>
      <c r="I20" s="2607" t="s">
        <v>3163</v>
      </c>
      <c r="J20" s="448"/>
      <c r="K20" s="672"/>
      <c r="L20" s="1140"/>
      <c r="M20" s="1131"/>
      <c r="N20" s="1131"/>
      <c r="O20" s="1139"/>
      <c r="P20" s="3189"/>
      <c r="Q20" s="1809"/>
      <c r="R20" s="774"/>
      <c r="S20" s="775"/>
      <c r="T20" s="774"/>
      <c r="U20" s="775"/>
      <c r="V20" s="774"/>
      <c r="W20" s="775"/>
      <c r="X20" s="1812"/>
      <c r="Y20" s="3189"/>
      <c r="Z20" s="1813"/>
      <c r="AA20" s="1810">
        <v>1</v>
      </c>
      <c r="AB20" s="1810">
        <v>1</v>
      </c>
      <c r="AC20" s="1810">
        <v>1</v>
      </c>
    </row>
    <row r="21" spans="1:29" ht="135">
      <c r="A21" s="428"/>
      <c r="B21" s="451" t="s">
        <v>2657</v>
      </c>
      <c r="C21" s="2609" t="str">
        <f>估价对象房地状况!C18</f>
        <v>估价对象周边道路状况一般、公共交通通达情况一般、停车便捷程度一般，周边有开发区2路等公交线路，综合评价交通便捷度一般</v>
      </c>
      <c r="D21" s="450">
        <v>100</v>
      </c>
      <c r="E21" s="2960" t="s">
        <v>3170</v>
      </c>
      <c r="F21" s="455">
        <f>SUMIF(94:94,E22,95:95)-SUMIF(94:94,C22,95:95)+100</f>
        <v>101</v>
      </c>
      <c r="G21" s="2960" t="s">
        <v>3170</v>
      </c>
      <c r="H21" s="450">
        <f>SUMIF(94:94,G22,95:95)-SUMIF(94:94,C22,95:95)+100</f>
        <v>101</v>
      </c>
      <c r="I21" s="452" t="s">
        <v>3173</v>
      </c>
      <c r="J21" s="450">
        <f>SUMIF(94:94,I22,95:95)-SUMIF(94:94,C22,95:95)+100</f>
        <v>100</v>
      </c>
      <c r="K21" s="673">
        <v>1</v>
      </c>
      <c r="L21" s="1140"/>
      <c r="M21" s="1131"/>
      <c r="N21" s="1131"/>
      <c r="O21" s="1139"/>
      <c r="P21" s="3189"/>
      <c r="Q21" s="1809" t="str">
        <f>B21</f>
        <v>交通便捷度</v>
      </c>
      <c r="R21" s="774" t="s">
        <v>17</v>
      </c>
      <c r="S21" s="775">
        <f>F21</f>
        <v>101</v>
      </c>
      <c r="T21" s="774" t="s">
        <v>17</v>
      </c>
      <c r="U21" s="775">
        <f>H21</f>
        <v>101</v>
      </c>
      <c r="V21" s="774" t="s">
        <v>17</v>
      </c>
      <c r="W21" s="775">
        <f>J21</f>
        <v>100</v>
      </c>
      <c r="X21" s="1812"/>
      <c r="Y21" s="3189"/>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189"/>
      <c r="Q22" s="1809"/>
      <c r="R22" s="774"/>
      <c r="S22" s="775"/>
      <c r="T22" s="774"/>
      <c r="U22" s="775"/>
      <c r="V22" s="774"/>
      <c r="W22" s="775"/>
      <c r="X22" s="1812"/>
      <c r="Y22" s="3189"/>
      <c r="Z22" s="1813"/>
      <c r="AA22" s="1810">
        <v>1</v>
      </c>
      <c r="AB22" s="1810">
        <v>1</v>
      </c>
      <c r="AC22" s="1810">
        <v>1</v>
      </c>
    </row>
    <row r="23" spans="1:29" ht="15">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189"/>
      <c r="Q23" s="1809" t="str">
        <f t="shared" ref="Q23:Q37" si="8">B23</f>
        <v>区域土地利用方向</v>
      </c>
      <c r="R23" s="774" t="s">
        <v>17</v>
      </c>
      <c r="S23" s="775">
        <f>F23</f>
        <v>100</v>
      </c>
      <c r="T23" s="774" t="s">
        <v>17</v>
      </c>
      <c r="U23" s="775">
        <f>H23</f>
        <v>100</v>
      </c>
      <c r="V23" s="774" t="s">
        <v>17</v>
      </c>
      <c r="W23" s="775">
        <f>J23</f>
        <v>100</v>
      </c>
      <c r="X23" s="1812"/>
      <c r="Y23" s="3189"/>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189"/>
      <c r="Q24" s="1809"/>
      <c r="R24" s="774"/>
      <c r="S24" s="775"/>
      <c r="T24" s="774"/>
      <c r="U24" s="775"/>
      <c r="V24" s="774"/>
      <c r="W24" s="775"/>
      <c r="X24" s="1812"/>
      <c r="Y24" s="3189"/>
      <c r="Z24" s="1813"/>
      <c r="AA24" s="1810"/>
      <c r="AB24" s="1810"/>
      <c r="AC24" s="1810"/>
    </row>
    <row r="25" spans="1:29" ht="57">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189"/>
      <c r="Q25" s="1809" t="str">
        <f t="shared" si="8"/>
        <v>自然及人文环境状况</v>
      </c>
      <c r="R25" s="774" t="s">
        <v>17</v>
      </c>
      <c r="S25" s="775">
        <f>F25</f>
        <v>100</v>
      </c>
      <c r="T25" s="774" t="s">
        <v>17</v>
      </c>
      <c r="U25" s="775">
        <f>H25</f>
        <v>100</v>
      </c>
      <c r="V25" s="774" t="s">
        <v>17</v>
      </c>
      <c r="W25" s="775">
        <f>J25</f>
        <v>100</v>
      </c>
      <c r="X25" s="1812"/>
      <c r="Y25" s="3189"/>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189"/>
      <c r="Q26" s="1809"/>
      <c r="R26" s="774"/>
      <c r="S26" s="775"/>
      <c r="T26" s="774"/>
      <c r="U26" s="775"/>
      <c r="V26" s="774"/>
      <c r="W26" s="775"/>
      <c r="X26" s="1812"/>
      <c r="Y26" s="3189"/>
      <c r="Z26" s="1813"/>
      <c r="AA26" s="1810">
        <v>1</v>
      </c>
      <c r="AB26" s="1810">
        <v>1</v>
      </c>
      <c r="AC26" s="1810">
        <v>1</v>
      </c>
    </row>
    <row r="27" spans="1:29" s="117" customFormat="1" ht="42.75">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189"/>
      <c r="Q27" s="1794" t="str">
        <f t="shared" si="8"/>
        <v>公共配套设施</v>
      </c>
      <c r="R27" s="770" t="s">
        <v>17</v>
      </c>
      <c r="S27" s="771">
        <f>F27</f>
        <v>100</v>
      </c>
      <c r="T27" s="770" t="s">
        <v>17</v>
      </c>
      <c r="U27" s="771">
        <f>H27</f>
        <v>100</v>
      </c>
      <c r="V27" s="770" t="s">
        <v>17</v>
      </c>
      <c r="W27" s="771">
        <f>J27</f>
        <v>100</v>
      </c>
      <c r="X27" s="772"/>
      <c r="Y27" s="3189"/>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189"/>
      <c r="Q28" s="1794"/>
      <c r="R28" s="770"/>
      <c r="S28" s="771"/>
      <c r="T28" s="770"/>
      <c r="U28" s="771"/>
      <c r="V28" s="770"/>
      <c r="W28" s="771"/>
      <c r="X28" s="772"/>
      <c r="Y28" s="3189"/>
      <c r="Z28" s="55"/>
      <c r="AA28" s="1810">
        <v>1</v>
      </c>
      <c r="AB28" s="1810">
        <v>1</v>
      </c>
      <c r="AC28" s="1810">
        <v>1</v>
      </c>
    </row>
    <row r="29" spans="1:29" s="117" customFormat="1" ht="42.75">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189"/>
      <c r="Q29" s="1794"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189"/>
      <c r="Q30" s="1794"/>
      <c r="R30" s="770"/>
      <c r="S30" s="771"/>
      <c r="T30" s="770"/>
      <c r="U30" s="771"/>
      <c r="V30" s="770"/>
      <c r="W30" s="771"/>
      <c r="X30" s="772"/>
      <c r="Y30" s="3189"/>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18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9"/>
      <c r="Z31" s="1813" t="str">
        <f t="shared" ref="Z31:Z45" si="13">Q31</f>
        <v>临街状况</v>
      </c>
      <c r="AA31" s="1810">
        <f t="shared" si="3"/>
        <v>1</v>
      </c>
      <c r="AB31" s="1810">
        <f t="shared" si="4"/>
        <v>1</v>
      </c>
      <c r="AC31" s="1810">
        <f t="shared" si="5"/>
        <v>1</v>
      </c>
    </row>
    <row r="32" spans="1:29" ht="28.5">
      <c r="A32" s="428"/>
      <c r="B32" s="1384" t="s">
        <v>2639</v>
      </c>
      <c r="C32" s="2968" t="str">
        <f>估价对象房地状况!C10</f>
        <v>城市主干道-科创五街</v>
      </c>
      <c r="D32" s="450">
        <v>100</v>
      </c>
      <c r="E32" s="2960" t="s">
        <v>3123</v>
      </c>
      <c r="F32" s="450">
        <f>SUMIF(106:106,E33,107:107)-SUMIF(106:106,C33,107:107)+100</f>
        <v>99</v>
      </c>
      <c r="G32" s="2960" t="s">
        <v>3171</v>
      </c>
      <c r="H32" s="450">
        <f>SUMIF(106:106,G33,107:107)-SUMIF(106:106,C33,107:107)+100</f>
        <v>99</v>
      </c>
      <c r="I32" s="2960" t="s">
        <v>3172</v>
      </c>
      <c r="J32" s="450">
        <f>SUMIF(106:106,I33,107:107)-SUMIF(106:106,C33,107:107)+100</f>
        <v>99</v>
      </c>
      <c r="K32" s="673">
        <v>1</v>
      </c>
      <c r="L32" s="1140"/>
      <c r="M32" s="1131"/>
      <c r="N32" s="1131"/>
      <c r="O32" s="1139"/>
      <c r="P32" s="3189"/>
      <c r="Q32" s="1809" t="str">
        <f t="shared" si="8"/>
        <v>毗邻道路的类型与等级</v>
      </c>
      <c r="R32" s="774" t="s">
        <v>17</v>
      </c>
      <c r="S32" s="775">
        <f t="shared" si="10"/>
        <v>99</v>
      </c>
      <c r="T32" s="774" t="s">
        <v>17</v>
      </c>
      <c r="U32" s="775">
        <f t="shared" si="11"/>
        <v>99</v>
      </c>
      <c r="V32" s="774" t="s">
        <v>17</v>
      </c>
      <c r="W32" s="775">
        <f t="shared" si="12"/>
        <v>99</v>
      </c>
      <c r="X32" s="1812"/>
      <c r="Y32" s="3189"/>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189"/>
      <c r="Q33" s="1809"/>
      <c r="R33" s="774"/>
      <c r="S33" s="775"/>
      <c r="T33" s="774"/>
      <c r="U33" s="775"/>
      <c r="V33" s="774"/>
      <c r="W33" s="775"/>
      <c r="X33" s="1812"/>
      <c r="Y33" s="3189"/>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3169</v>
      </c>
      <c r="J34" s="435">
        <f>SUMIF(108:108,I34,109:109)-SUMIF(108:108,C34,109:109)+100</f>
        <v>100</v>
      </c>
      <c r="K34" s="612">
        <v>1</v>
      </c>
      <c r="L34" s="1140"/>
      <c r="M34" s="1131"/>
      <c r="N34" s="1131"/>
      <c r="O34" s="1139"/>
      <c r="P34" s="3189"/>
      <c r="Q34" s="1809" t="str">
        <f t="shared" si="8"/>
        <v>土地级别</v>
      </c>
      <c r="R34" s="774" t="s">
        <v>17</v>
      </c>
      <c r="S34" s="775">
        <f t="shared" si="10"/>
        <v>100</v>
      </c>
      <c r="T34" s="774" t="s">
        <v>17</v>
      </c>
      <c r="U34" s="775">
        <f t="shared" si="11"/>
        <v>100</v>
      </c>
      <c r="V34" s="774" t="s">
        <v>17</v>
      </c>
      <c r="W34" s="775">
        <f t="shared" si="12"/>
        <v>100</v>
      </c>
      <c r="X34" s="1812"/>
      <c r="Y34" s="3189"/>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09">
        <f t="shared" si="8"/>
        <v>0</v>
      </c>
      <c r="R35" s="774" t="s">
        <v>17</v>
      </c>
      <c r="S35" s="775">
        <f t="shared" si="10"/>
        <v>100</v>
      </c>
      <c r="T35" s="774" t="s">
        <v>17</v>
      </c>
      <c r="U35" s="775">
        <f t="shared" si="11"/>
        <v>100</v>
      </c>
      <c r="V35" s="774" t="s">
        <v>17</v>
      </c>
      <c r="W35" s="775">
        <f t="shared" si="12"/>
        <v>100</v>
      </c>
      <c r="X35" s="1812"/>
      <c r="Y35" s="3189"/>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0" t="s">
        <v>2513</v>
      </c>
      <c r="Q36" s="1809">
        <f t="shared" si="8"/>
        <v>0</v>
      </c>
      <c r="R36" s="774" t="s">
        <v>17</v>
      </c>
      <c r="S36" s="775">
        <f t="shared" si="10"/>
        <v>100</v>
      </c>
      <c r="T36" s="774" t="s">
        <v>17</v>
      </c>
      <c r="U36" s="775">
        <f t="shared" si="11"/>
        <v>100</v>
      </c>
      <c r="V36" s="774" t="s">
        <v>17</v>
      </c>
      <c r="W36" s="775">
        <f t="shared" si="12"/>
        <v>100</v>
      </c>
      <c r="X36" s="1812"/>
      <c r="Y36" s="3191" t="s">
        <v>2513</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09">
        <f t="shared" si="8"/>
        <v>0</v>
      </c>
      <c r="R37" s="777" t="s">
        <v>17</v>
      </c>
      <c r="S37" s="778">
        <f t="shared" si="10"/>
        <v>100</v>
      </c>
      <c r="T37" s="777" t="s">
        <v>17</v>
      </c>
      <c r="U37" s="778">
        <f t="shared" si="11"/>
        <v>100</v>
      </c>
      <c r="V37" s="777" t="s">
        <v>17</v>
      </c>
      <c r="W37" s="778">
        <f t="shared" si="12"/>
        <v>100</v>
      </c>
      <c r="X37" s="779"/>
      <c r="Y37" s="3191"/>
      <c r="Z37" s="780">
        <f t="shared" si="13"/>
        <v>0</v>
      </c>
      <c r="AA37" s="1810">
        <f t="shared" si="3"/>
        <v>1</v>
      </c>
      <c r="AB37" s="1810">
        <f t="shared" si="4"/>
        <v>1</v>
      </c>
      <c r="AC37" s="1810">
        <f t="shared" si="5"/>
        <v>1</v>
      </c>
    </row>
    <row r="38" spans="1:29" ht="15">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191"/>
      <c r="Q38" s="1809" t="str">
        <f>B38</f>
        <v>宗地面积</v>
      </c>
      <c r="R38" s="774" t="s">
        <v>17</v>
      </c>
      <c r="S38" s="775">
        <f t="shared" si="10"/>
        <v>99</v>
      </c>
      <c r="T38" s="774" t="s">
        <v>17</v>
      </c>
      <c r="U38" s="775">
        <f t="shared" si="11"/>
        <v>101</v>
      </c>
      <c r="V38" s="774" t="s">
        <v>17</v>
      </c>
      <c r="W38" s="775">
        <f t="shared" si="12"/>
        <v>99</v>
      </c>
      <c r="X38" s="1812"/>
      <c r="Y38" s="3191"/>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191"/>
      <c r="Q39" s="1809" t="str">
        <f t="shared" ref="Q39:Q45" si="14">B39</f>
        <v>宗地形状</v>
      </c>
      <c r="R39" s="774" t="s">
        <v>17</v>
      </c>
      <c r="S39" s="775">
        <f t="shared" si="10"/>
        <v>100</v>
      </c>
      <c r="T39" s="774" t="s">
        <v>17</v>
      </c>
      <c r="U39" s="775">
        <f t="shared" si="11"/>
        <v>100</v>
      </c>
      <c r="V39" s="774" t="s">
        <v>17</v>
      </c>
      <c r="W39" s="775">
        <f t="shared" si="12"/>
        <v>100</v>
      </c>
      <c r="X39" s="1812"/>
      <c r="Y39" s="3191"/>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191"/>
      <c r="Q40" s="1809" t="str">
        <f t="shared" si="14"/>
        <v>临街宽度及深度</v>
      </c>
      <c r="R40" s="774" t="s">
        <v>17</v>
      </c>
      <c r="S40" s="775">
        <f t="shared" si="10"/>
        <v>100</v>
      </c>
      <c r="T40" s="774" t="s">
        <v>17</v>
      </c>
      <c r="U40" s="775">
        <f t="shared" si="11"/>
        <v>100</v>
      </c>
      <c r="V40" s="774" t="s">
        <v>17</v>
      </c>
      <c r="W40" s="775">
        <f t="shared" si="12"/>
        <v>100</v>
      </c>
      <c r="X40" s="1812"/>
      <c r="Y40" s="3191"/>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191"/>
      <c r="Q41" s="1809"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191" t="s">
        <v>2513</v>
      </c>
      <c r="Q42" s="1809" t="str">
        <f t="shared" si="14"/>
        <v>工程地质条件</v>
      </c>
      <c r="R42" s="774" t="s">
        <v>17</v>
      </c>
      <c r="S42" s="775">
        <f t="shared" si="10"/>
        <v>100</v>
      </c>
      <c r="T42" s="774" t="s">
        <v>17</v>
      </c>
      <c r="U42" s="775">
        <f t="shared" si="11"/>
        <v>100</v>
      </c>
      <c r="V42" s="774" t="s">
        <v>17</v>
      </c>
      <c r="W42" s="775">
        <f t="shared" si="12"/>
        <v>100</v>
      </c>
      <c r="X42" s="1812"/>
      <c r="Y42" s="3191"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09">
        <f t="shared" si="14"/>
        <v>0</v>
      </c>
      <c r="R43" s="774" t="s">
        <v>17</v>
      </c>
      <c r="S43" s="775">
        <f t="shared" si="10"/>
        <v>100</v>
      </c>
      <c r="T43" s="774" t="s">
        <v>17</v>
      </c>
      <c r="U43" s="775">
        <f t="shared" si="11"/>
        <v>100</v>
      </c>
      <c r="V43" s="774" t="s">
        <v>17</v>
      </c>
      <c r="W43" s="775">
        <f t="shared" si="12"/>
        <v>100</v>
      </c>
      <c r="X43" s="1812"/>
      <c r="Y43" s="3191"/>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09">
        <f t="shared" si="14"/>
        <v>0</v>
      </c>
      <c r="R44" s="774" t="s">
        <v>17</v>
      </c>
      <c r="S44" s="775">
        <f t="shared" si="10"/>
        <v>100</v>
      </c>
      <c r="T44" s="774" t="s">
        <v>17</v>
      </c>
      <c r="U44" s="775">
        <f t="shared" si="11"/>
        <v>100</v>
      </c>
      <c r="V44" s="774" t="s">
        <v>17</v>
      </c>
      <c r="W44" s="775">
        <f t="shared" si="12"/>
        <v>100</v>
      </c>
      <c r="X44" s="1812"/>
      <c r="Y44" s="3191"/>
      <c r="Z44" s="1813">
        <f t="shared" si="13"/>
        <v>0</v>
      </c>
      <c r="AA44" s="1810">
        <f t="shared" si="3"/>
        <v>1</v>
      </c>
      <c r="AB44" s="1810">
        <f t="shared" si="4"/>
        <v>1</v>
      </c>
      <c r="AC44" s="1810">
        <f t="shared" si="5"/>
        <v>1</v>
      </c>
    </row>
    <row r="45" spans="1:29" s="471" customFormat="1" ht="15.75"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09">
        <f t="shared" si="14"/>
        <v>0</v>
      </c>
      <c r="R45" s="777" t="s">
        <v>17</v>
      </c>
      <c r="S45" s="778">
        <f t="shared" si="10"/>
        <v>100</v>
      </c>
      <c r="T45" s="777" t="s">
        <v>17</v>
      </c>
      <c r="U45" s="778">
        <f t="shared" si="11"/>
        <v>100</v>
      </c>
      <c r="V45" s="777" t="s">
        <v>17</v>
      </c>
      <c r="W45" s="778">
        <f t="shared" si="12"/>
        <v>100</v>
      </c>
      <c r="X45" s="779"/>
      <c r="Y45" s="3191"/>
      <c r="Z45" s="780">
        <f t="shared" si="13"/>
        <v>0</v>
      </c>
      <c r="AA45" s="1810">
        <f t="shared" si="3"/>
        <v>1</v>
      </c>
      <c r="AB45" s="1810">
        <f t="shared" si="4"/>
        <v>1</v>
      </c>
      <c r="AC45" s="1810">
        <f t="shared" si="5"/>
        <v>1</v>
      </c>
    </row>
    <row r="46" spans="1:29" ht="15">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86" t="str">
        <f>A46</f>
        <v>成交单价</v>
      </c>
      <c r="Q46" s="3186"/>
      <c r="R46" s="3192">
        <f>E46</f>
        <v>14948</v>
      </c>
      <c r="S46" s="3192"/>
      <c r="T46" s="3192">
        <f>G46</f>
        <v>14580</v>
      </c>
      <c r="U46" s="3192"/>
      <c r="V46" s="3192">
        <f>I46</f>
        <v>14529</v>
      </c>
      <c r="W46" s="3192"/>
      <c r="X46" s="759"/>
      <c r="Y46" s="781"/>
      <c r="Z46" s="759"/>
      <c r="AA46" s="759"/>
      <c r="AB46" s="759"/>
      <c r="AC46" s="759"/>
    </row>
    <row r="47" spans="1:29" ht="15.75" thickBot="1">
      <c r="A47" s="486" t="s">
        <v>2617</v>
      </c>
      <c r="B47" s="683"/>
      <c r="C47" s="490">
        <f>R48</f>
        <v>14788</v>
      </c>
      <c r="D47" s="489"/>
      <c r="E47" s="490">
        <f>R47</f>
        <v>14884</v>
      </c>
      <c r="F47" s="491"/>
      <c r="G47" s="488">
        <f>T47</f>
        <v>14450</v>
      </c>
      <c r="H47" s="489"/>
      <c r="I47" s="490">
        <f>V47</f>
        <v>15031</v>
      </c>
      <c r="J47" s="489"/>
      <c r="K47" s="784"/>
      <c r="L47" s="1143"/>
      <c r="M47" s="1144"/>
      <c r="N47" s="1144"/>
      <c r="O47" s="1144"/>
      <c r="P47" s="3186" t="str">
        <f>A47</f>
        <v>比较价值（元/平方米）</v>
      </c>
      <c r="Q47" s="3186"/>
      <c r="R47" s="3179">
        <f>ROUND(PRODUCT(R46,AA7:AA45),0)</f>
        <v>14884</v>
      </c>
      <c r="S47" s="3179"/>
      <c r="T47" s="3179">
        <f>ROUND(PRODUCT(T46,AB7:AB45),0)</f>
        <v>14450</v>
      </c>
      <c r="U47" s="3179"/>
      <c r="V47" s="3179">
        <f>ROUND(PRODUCT(V46,AC7:AC45),0)</f>
        <v>15031</v>
      </c>
      <c r="W47" s="3179"/>
      <c r="X47" s="759"/>
      <c r="Y47" s="759"/>
      <c r="Z47" s="759"/>
      <c r="AA47" s="759"/>
      <c r="AB47" s="759"/>
      <c r="AC47" s="759"/>
    </row>
    <row r="48" spans="1:29" ht="15.75" thickBot="1">
      <c r="A48" s="492" t="s">
        <v>3148</v>
      </c>
      <c r="B48" s="493"/>
      <c r="C48" s="494">
        <f>R48</f>
        <v>14788</v>
      </c>
      <c r="D48" s="494"/>
      <c r="E48" s="494"/>
      <c r="F48" s="494"/>
      <c r="G48" s="494"/>
      <c r="H48" s="494"/>
      <c r="I48" s="494"/>
      <c r="J48" s="494"/>
      <c r="K48" s="785"/>
      <c r="L48" s="1143"/>
      <c r="M48" s="1144"/>
      <c r="N48" s="1144"/>
      <c r="O48" s="1144"/>
      <c r="P48" s="3180" t="str">
        <f>A48</f>
        <v>估价对象综合、商业用房的比较价值（楼面单价，元/平方米）</v>
      </c>
      <c r="Q48" s="3181"/>
      <c r="R48" s="3182">
        <f>ROUND(AVERAGE(R47:V47),0)</f>
        <v>14788</v>
      </c>
      <c r="S48" s="3182"/>
      <c r="T48" s="3182"/>
      <c r="U48" s="3182"/>
      <c r="V48" s="3182"/>
      <c r="W48" s="31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3.4551586482207908E-2</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4.0207612456747421E-2</v>
      </c>
      <c r="H52" s="500" t="str">
        <f>IF(OR(G52&gt;=0.2,G52&lt;=-0.2),"超过20%","")</f>
        <v/>
      </c>
      <c r="I52" s="499">
        <f>IF(I47&lt;E47,E47/I47-1,I47/E47-1)</f>
        <v>9.8763773179253445E-3</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83" t="s">
        <v>2710</v>
      </c>
      <c r="H55" s="3184"/>
      <c r="I55" s="144" t="s">
        <v>2711</v>
      </c>
      <c r="J55" s="2709">
        <f>项目基本情况!F35</f>
        <v>0</v>
      </c>
      <c r="K55" s="2710" t="s">
        <v>2712</v>
      </c>
      <c r="L55" s="1106"/>
      <c r="M55" s="1144"/>
      <c r="N55" s="1144"/>
      <c r="O55" s="1144"/>
    </row>
    <row r="56" spans="1:15" s="692" customFormat="1">
      <c r="A56" s="688" t="s">
        <v>2713</v>
      </c>
      <c r="B56" s="689">
        <f>C48</f>
        <v>14788</v>
      </c>
      <c r="C56" s="690">
        <v>1</v>
      </c>
      <c r="D56" s="1163">
        <v>1</v>
      </c>
      <c r="E56" s="690">
        <f>'数据-汇总表'!E8+'数据-汇总表'!E9</f>
        <v>155771.74000000002</v>
      </c>
      <c r="F56" s="1103">
        <f t="shared" ref="F56:F65" si="15">ROUND(B56*E56/10000,0)</f>
        <v>230355</v>
      </c>
      <c r="G56" s="3185"/>
      <c r="H56" s="3186"/>
      <c r="I56" s="1108">
        <v>1</v>
      </c>
      <c r="J56" s="1111">
        <v>1</v>
      </c>
      <c r="K56" s="1145"/>
      <c r="L56" s="941"/>
      <c r="M56" s="941"/>
      <c r="N56" s="941"/>
      <c r="O56" s="941"/>
    </row>
    <row r="57" spans="1:15" s="692" customFormat="1">
      <c r="A57" s="693" t="s">
        <v>2714</v>
      </c>
      <c r="B57" s="262">
        <f>ROUND($C$48*C57*D57,0)</f>
        <v>2588</v>
      </c>
      <c r="C57" s="200">
        <f t="shared" ref="C57:C65" si="16">IF($C$55="北京市系数",I57,J57)</f>
        <v>0.7</v>
      </c>
      <c r="D57" s="1164">
        <v>0.25</v>
      </c>
      <c r="E57" s="694"/>
      <c r="F57" s="1103">
        <f t="shared" si="15"/>
        <v>0</v>
      </c>
      <c r="G57" s="3187"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1479</v>
      </c>
      <c r="C58" s="200">
        <f t="shared" si="16"/>
        <v>0.4</v>
      </c>
      <c r="D58" s="1164">
        <v>0.25</v>
      </c>
      <c r="E58" s="694"/>
      <c r="F58" s="1103">
        <f t="shared" si="15"/>
        <v>0</v>
      </c>
      <c r="G58" s="3187"/>
      <c r="H58" s="1104" t="str">
        <f>项目基本情况!B37</f>
        <v>七级</v>
      </c>
      <c r="I58" s="1108">
        <f>SUMIF(修正!A45:A56,H58,修正!C45:C56)</f>
        <v>0.4</v>
      </c>
      <c r="J58" s="1112"/>
      <c r="K58" s="1145"/>
      <c r="L58" s="941"/>
      <c r="M58" s="941"/>
      <c r="N58" s="941"/>
      <c r="O58" s="941"/>
    </row>
    <row r="59" spans="1:15" s="692" customFormat="1">
      <c r="A59" s="693" t="s">
        <v>2717</v>
      </c>
      <c r="B59" s="262">
        <f t="shared" si="17"/>
        <v>1035</v>
      </c>
      <c r="C59" s="200">
        <f t="shared" si="16"/>
        <v>0.28000000000000003</v>
      </c>
      <c r="D59" s="1164">
        <v>0.25</v>
      </c>
      <c r="E59" s="694"/>
      <c r="F59" s="1103">
        <f t="shared" si="15"/>
        <v>0</v>
      </c>
      <c r="G59" s="3187"/>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924</v>
      </c>
      <c r="C60" s="200">
        <f t="shared" si="16"/>
        <v>0.25</v>
      </c>
      <c r="D60" s="1164">
        <v>0.25</v>
      </c>
      <c r="E60" s="694"/>
      <c r="F60" s="1103">
        <f t="shared" si="15"/>
        <v>0</v>
      </c>
      <c r="G60" s="3187"/>
      <c r="H60" s="1104" t="str">
        <f>项目基本情况!B37</f>
        <v>七级</v>
      </c>
      <c r="I60" s="1108">
        <f>SUMIF(修正!A45:A56,H60,修正!E45:E56)</f>
        <v>0.25</v>
      </c>
      <c r="J60" s="1112"/>
      <c r="K60" s="1145"/>
      <c r="L60" s="941"/>
      <c r="M60" s="941"/>
      <c r="N60" s="941"/>
      <c r="O60" s="941"/>
    </row>
    <row r="61" spans="1:15" s="692" customFormat="1">
      <c r="A61" s="693" t="s">
        <v>2719</v>
      </c>
      <c r="B61" s="262">
        <f t="shared" si="17"/>
        <v>924</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924</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739</v>
      </c>
      <c r="C63" s="200">
        <f t="shared" si="16"/>
        <v>0.2</v>
      </c>
      <c r="D63" s="1164">
        <v>0.25</v>
      </c>
      <c r="E63" s="261">
        <f>'数据-汇总表'!E13</f>
        <v>69675.600000000006</v>
      </c>
      <c r="F63" s="1103">
        <f t="shared" si="15"/>
        <v>5149</v>
      </c>
      <c r="G63" s="1109" t="s">
        <v>3183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739</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5" thickBot="1">
      <c r="A65" s="693" t="s">
        <v>2726</v>
      </c>
      <c r="B65" s="262">
        <f t="shared" si="17"/>
        <v>739</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ht="13.5" thickBot="1">
      <c r="A66" s="695" t="s">
        <v>2727</v>
      </c>
      <c r="B66" s="696" t="s">
        <v>28</v>
      </c>
      <c r="C66" s="696" t="s">
        <v>29</v>
      </c>
      <c r="D66" s="696" t="s">
        <v>1025</v>
      </c>
      <c r="E66" s="696">
        <f>IF(B46="楼面地价",SUM(E56:E65),'数据-汇总表'!D3)</f>
        <v>225447.34000000003</v>
      </c>
      <c r="F66" s="697">
        <f>IF(B46="楼面地价",SUM(F56:F65),ROUND(C48*E66/10000,0))</f>
        <v>235504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59"/>
      <c r="K69" s="1160"/>
      <c r="L69" s="1161"/>
      <c r="M69" s="1159"/>
      <c r="N69" s="1159"/>
      <c r="O69" s="1159"/>
      <c r="P69" s="503"/>
      <c r="Q69" s="504"/>
    </row>
    <row r="70" spans="1:17" s="508" customFormat="1" ht="15">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2533</v>
      </c>
      <c r="B72" s="516"/>
      <c r="C72" s="517"/>
      <c r="D72" s="518"/>
      <c r="E72" s="518"/>
      <c r="F72" s="518"/>
      <c r="G72" s="518"/>
      <c r="H72" s="518"/>
      <c r="I72" s="518"/>
      <c r="J72" s="518"/>
      <c r="K72" s="518"/>
      <c r="L72" s="518"/>
      <c r="M72" s="519"/>
      <c r="N72" s="518"/>
      <c r="O72" s="1162"/>
      <c r="P72" s="504"/>
      <c r="Q72" s="504"/>
    </row>
    <row r="73" spans="1:17" s="117" customFormat="1" ht="15">
      <c r="A73" s="521" t="s">
        <v>2498</v>
      </c>
      <c r="B73" s="510"/>
      <c r="C73" s="522" t="s">
        <v>2600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2536</v>
      </c>
      <c r="B75" s="528" t="s">
        <v>2502</v>
      </c>
      <c r="C75" s="2965" t="s">
        <v>3139</v>
      </c>
      <c r="D75" s="530" t="s">
        <v>3167</v>
      </c>
      <c r="E75" s="530"/>
      <c r="F75" s="530"/>
      <c r="G75" s="530"/>
      <c r="H75" s="530"/>
      <c r="I75" s="530"/>
      <c r="J75" s="530"/>
      <c r="K75" s="531"/>
      <c r="L75" s="532"/>
      <c r="M75" s="533"/>
      <c r="N75" s="1152"/>
      <c r="O75" s="1152"/>
      <c r="P75" s="45"/>
      <c r="Q75" s="504"/>
    </row>
    <row r="76" spans="1:17" ht="15.75" thickBot="1">
      <c r="A76" s="534"/>
      <c r="B76" s="535"/>
      <c r="C76" s="536">
        <v>100</v>
      </c>
      <c r="D76" s="536">
        <v>99</v>
      </c>
      <c r="E76" s="536"/>
      <c r="F76" s="536"/>
      <c r="G76" s="536"/>
      <c r="H76" s="536"/>
      <c r="I76" s="536"/>
      <c r="J76" s="536"/>
      <c r="K76" s="536"/>
      <c r="L76" s="536"/>
      <c r="M76" s="537"/>
      <c r="N76" s="1153"/>
      <c r="O76" s="1153"/>
      <c r="P76" s="45"/>
      <c r="Q76" s="504"/>
    </row>
    <row r="77" spans="1:17" ht="27.75" thickTop="1">
      <c r="A77" s="534"/>
      <c r="B77" s="538" t="s">
        <v>2505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是否自持</v>
      </c>
      <c r="C82" s="2963" t="s">
        <v>3188</v>
      </c>
      <c r="D82" s="2963" t="s">
        <v>3189</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7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2639</v>
      </c>
      <c r="C106" s="2963" t="s">
        <v>3126</v>
      </c>
      <c r="D106" s="2963" t="s">
        <v>3127</v>
      </c>
      <c r="E106" s="2963" t="s">
        <v>3128</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2964" t="s">
        <v>3130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2963" t="s">
        <v>3132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2963"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2963" t="s">
        <v>3132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0" priority="14" stopIfTrue="1" operator="containsText" text="超过">
      <formula>NOT(ISERROR(SEARCH("超过",F51)))</formula>
    </cfRule>
  </conditionalFormatting>
  <conditionalFormatting sqref="J53">
    <cfRule type="containsText" dxfId="149" priority="13" stopIfTrue="1" operator="containsText" text="超过">
      <formula>NOT(ISERROR(SEARCH("超过",J53)))</formula>
    </cfRule>
  </conditionalFormatting>
  <conditionalFormatting sqref="H53">
    <cfRule type="containsText" dxfId="148" priority="12" stopIfTrue="1" operator="containsText" text="超过">
      <formula>NOT(ISERROR(SEARCH("超过",H53)))</formula>
    </cfRule>
  </conditionalFormatting>
  <conditionalFormatting sqref="F53">
    <cfRule type="containsText" dxfId="147" priority="11" stopIfTrue="1" operator="containsText" text="超过">
      <formula>NOT(ISERROR(SEARCH("超过",F53)))</formula>
    </cfRule>
  </conditionalFormatting>
  <conditionalFormatting sqref="F52 H52 J52">
    <cfRule type="containsText" dxfId="146" priority="10" stopIfTrue="1" operator="containsText" text="超过">
      <formula>NOT(ISERROR(SEARCH("超过",F52)))</formula>
    </cfRule>
  </conditionalFormatting>
  <conditionalFormatting sqref="E51">
    <cfRule type="expression" dxfId="145" priority="9" stopIfTrue="1">
      <formula>$F$51="超过30%"</formula>
    </cfRule>
  </conditionalFormatting>
  <conditionalFormatting sqref="G53">
    <cfRule type="expression" dxfId="144" priority="8" stopIfTrue="1">
      <formula>$H$53="超过30%"</formula>
    </cfRule>
  </conditionalFormatting>
  <conditionalFormatting sqref="E52">
    <cfRule type="expression" dxfId="143" priority="7" stopIfTrue="1">
      <formula>$F$52="超过20%"</formula>
    </cfRule>
  </conditionalFormatting>
  <conditionalFormatting sqref="E53">
    <cfRule type="expression" dxfId="142" priority="6" stopIfTrue="1">
      <formula>$F$53="超过30%"</formula>
    </cfRule>
  </conditionalFormatting>
  <conditionalFormatting sqref="G51">
    <cfRule type="expression" dxfId="141" priority="5" stopIfTrue="1">
      <formula>$H$53+$H$51="超过30%"</formula>
    </cfRule>
  </conditionalFormatting>
  <conditionalFormatting sqref="G52">
    <cfRule type="expression" dxfId="140" priority="4" stopIfTrue="1">
      <formula>$H$52="超过20%"</formula>
    </cfRule>
  </conditionalFormatting>
  <conditionalFormatting sqref="I51">
    <cfRule type="expression" dxfId="139" priority="3" stopIfTrue="1">
      <formula>$J$51="超过30%"</formula>
    </cfRule>
  </conditionalFormatting>
  <conditionalFormatting sqref="I52">
    <cfRule type="expression" dxfId="138" priority="2" stopIfTrue="1">
      <formula>$J$52="超过20%"</formula>
    </cfRule>
  </conditionalFormatting>
  <conditionalFormatting sqref="I53">
    <cfRule type="expression" dxfId="13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236" t="s">
        <v>2599</v>
      </c>
      <c r="Q4" s="3237"/>
      <c r="R4" s="3240" t="s">
        <v>2595</v>
      </c>
      <c r="S4" s="3241"/>
      <c r="T4" s="3240" t="s">
        <v>2596</v>
      </c>
      <c r="U4" s="3241"/>
      <c r="V4" s="3242" t="s">
        <v>2597</v>
      </c>
      <c r="W4" s="3242"/>
      <c r="X4" s="2672"/>
      <c r="Y4" s="3240" t="s">
        <v>2599</v>
      </c>
      <c r="Z4" s="3241"/>
      <c r="AA4" s="3244" t="s">
        <v>2595</v>
      </c>
      <c r="AB4" s="3244" t="s">
        <v>2596</v>
      </c>
      <c r="AC4" s="3233" t="s">
        <v>2597</v>
      </c>
    </row>
    <row r="5" spans="1:29" ht="15">
      <c r="A5" s="404"/>
      <c r="B5" s="405"/>
      <c r="C5" s="3213" t="s">
        <v>2490</v>
      </c>
      <c r="D5" s="3214"/>
      <c r="E5" s="3221" t="s">
        <v>2491</v>
      </c>
      <c r="F5" s="3222"/>
      <c r="G5" s="3213" t="s">
        <v>2492</v>
      </c>
      <c r="H5" s="3214"/>
      <c r="I5" s="3213" t="s">
        <v>2493</v>
      </c>
      <c r="J5" s="3214"/>
      <c r="K5" s="610"/>
      <c r="L5" s="1130"/>
      <c r="M5" s="1131"/>
      <c r="N5" s="1131"/>
      <c r="O5" s="1131"/>
      <c r="P5" s="3238"/>
      <c r="Q5" s="3202"/>
      <c r="R5" s="3207"/>
      <c r="S5" s="3208"/>
      <c r="T5" s="3207"/>
      <c r="U5" s="3208"/>
      <c r="V5" s="3192"/>
      <c r="W5" s="3192"/>
      <c r="X5" s="1812"/>
      <c r="Y5" s="3207"/>
      <c r="Z5" s="3208"/>
      <c r="AA5" s="3194"/>
      <c r="AB5" s="3194"/>
      <c r="AC5" s="3234"/>
    </row>
    <row r="6" spans="1:29" ht="15.75" thickBot="1">
      <c r="A6" s="406"/>
      <c r="B6" s="407"/>
      <c r="C6" s="3211" t="s">
        <v>2494</v>
      </c>
      <c r="D6" s="3212"/>
      <c r="E6" s="3219" t="s">
        <v>2494</v>
      </c>
      <c r="F6" s="3220"/>
      <c r="G6" s="3211" t="s">
        <v>2494</v>
      </c>
      <c r="H6" s="3212"/>
      <c r="I6" s="3211" t="s">
        <v>2494</v>
      </c>
      <c r="J6" s="3212"/>
      <c r="K6" s="610" t="s">
        <v>2495</v>
      </c>
      <c r="L6" s="1130"/>
      <c r="M6" s="1131"/>
      <c r="N6" s="1131"/>
      <c r="O6" s="1131"/>
      <c r="P6" s="3239"/>
      <c r="Q6" s="3204"/>
      <c r="R6" s="3207"/>
      <c r="S6" s="3208"/>
      <c r="T6" s="3209"/>
      <c r="U6" s="3210"/>
      <c r="V6" s="3192"/>
      <c r="W6" s="3192"/>
      <c r="X6" s="1812"/>
      <c r="Y6" s="3209"/>
      <c r="Z6" s="3210"/>
      <c r="AA6" s="3195"/>
      <c r="AB6" s="3195"/>
      <c r="AC6" s="3235"/>
    </row>
    <row r="7" spans="1:29" s="117" customFormat="1" ht="15.7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3" t="s">
        <v>2497</v>
      </c>
      <c r="Q7" s="3217"/>
      <c r="R7" s="770" t="s">
        <v>17</v>
      </c>
      <c r="S7" s="771">
        <f t="shared" ref="S7:S15" si="0">F7</f>
        <v>0</v>
      </c>
      <c r="T7" s="770" t="s">
        <v>17</v>
      </c>
      <c r="U7" s="771">
        <f t="shared" ref="U7:U15" si="1">H7</f>
        <v>0</v>
      </c>
      <c r="V7" s="770" t="s">
        <v>17</v>
      </c>
      <c r="W7" s="771">
        <f t="shared" ref="W7:W15" si="2">J7</f>
        <v>0</v>
      </c>
      <c r="X7" s="772"/>
      <c r="Y7" s="3215" t="s">
        <v>2497</v>
      </c>
      <c r="Z7" s="3216"/>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3" t="s">
        <v>2500</v>
      </c>
      <c r="Q8" s="3216"/>
      <c r="R8" s="770" t="s">
        <v>17</v>
      </c>
      <c r="S8" s="771">
        <f t="shared" si="0"/>
        <v>0</v>
      </c>
      <c r="T8" s="770" t="s">
        <v>17</v>
      </c>
      <c r="U8" s="771">
        <f t="shared" si="1"/>
        <v>0</v>
      </c>
      <c r="V8" s="770" t="s">
        <v>17</v>
      </c>
      <c r="W8" s="771">
        <f t="shared" si="2"/>
        <v>0</v>
      </c>
      <c r="X8" s="772"/>
      <c r="Y8" s="3215" t="s">
        <v>2500</v>
      </c>
      <c r="Z8" s="3216"/>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2503</v>
      </c>
      <c r="Q9" s="1794" t="str">
        <f t="shared" ref="Q9:Q15" si="6">B9</f>
        <v>用途</v>
      </c>
      <c r="R9" s="770" t="s">
        <v>17</v>
      </c>
      <c r="S9" s="771">
        <f t="shared" si="0"/>
        <v>100</v>
      </c>
      <c r="T9" s="770" t="s">
        <v>17</v>
      </c>
      <c r="U9" s="771">
        <f t="shared" si="1"/>
        <v>100</v>
      </c>
      <c r="V9" s="770" t="s">
        <v>17</v>
      </c>
      <c r="W9" s="771">
        <f t="shared" si="2"/>
        <v>100</v>
      </c>
      <c r="X9" s="772"/>
      <c r="Y9" s="3018"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5"/>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3">
        <f t="shared" si="5"/>
        <v>1</v>
      </c>
    </row>
    <row r="15" spans="1:29" ht="85.5">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2508</v>
      </c>
      <c r="Q15" s="1809" t="str">
        <f t="shared" si="6"/>
        <v>办公集聚程度</v>
      </c>
      <c r="R15" s="774" t="s">
        <v>17</v>
      </c>
      <c r="S15" s="775">
        <f t="shared" si="0"/>
        <v>100</v>
      </c>
      <c r="T15" s="774" t="s">
        <v>17</v>
      </c>
      <c r="U15" s="775">
        <f t="shared" si="1"/>
        <v>100</v>
      </c>
      <c r="V15" s="774" t="s">
        <v>17</v>
      </c>
      <c r="W15" s="775">
        <f t="shared" si="2"/>
        <v>100</v>
      </c>
      <c r="X15" s="1812"/>
      <c r="Y15" s="3188"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28"/>
      <c r="Q16" s="1809"/>
      <c r="R16" s="774"/>
      <c r="S16" s="775"/>
      <c r="T16" s="774"/>
      <c r="U16" s="775"/>
      <c r="V16" s="774"/>
      <c r="W16" s="775"/>
      <c r="X16" s="1812"/>
      <c r="Y16" s="3189"/>
      <c r="Z16" s="1813"/>
      <c r="AA16" s="1810">
        <v>1</v>
      </c>
      <c r="AB16" s="1810">
        <v>1</v>
      </c>
      <c r="AC16" s="2676">
        <v>1</v>
      </c>
    </row>
    <row r="17" spans="1:29" ht="114">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09" t="str">
        <f>B17</f>
        <v>交通便捷度</v>
      </c>
      <c r="R17" s="774" t="s">
        <v>17</v>
      </c>
      <c r="S17" s="775">
        <f>F17</f>
        <v>100</v>
      </c>
      <c r="T17" s="774" t="s">
        <v>17</v>
      </c>
      <c r="U17" s="775">
        <f>H17</f>
        <v>100</v>
      </c>
      <c r="V17" s="774" t="s">
        <v>17</v>
      </c>
      <c r="W17" s="775">
        <f>J17</f>
        <v>100</v>
      </c>
      <c r="X17" s="1812"/>
      <c r="Y17" s="3189"/>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8"/>
      <c r="Q18" s="1809"/>
      <c r="R18" s="774"/>
      <c r="S18" s="775"/>
      <c r="T18" s="774"/>
      <c r="U18" s="775"/>
      <c r="V18" s="774"/>
      <c r="W18" s="775"/>
      <c r="X18" s="1812"/>
      <c r="Y18" s="3189"/>
      <c r="Z18" s="1813"/>
      <c r="AA18" s="1810">
        <v>1</v>
      </c>
      <c r="AB18" s="1810">
        <v>1</v>
      </c>
      <c r="AC18" s="2676">
        <v>1</v>
      </c>
    </row>
    <row r="19" spans="1:29" ht="42.75">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09" t="str">
        <f>B19</f>
        <v>公共配套设施</v>
      </c>
      <c r="R19" s="774" t="s">
        <v>17</v>
      </c>
      <c r="S19" s="775">
        <f>F19</f>
        <v>100</v>
      </c>
      <c r="T19" s="774" t="s">
        <v>17</v>
      </c>
      <c r="U19" s="775">
        <f>H19</f>
        <v>100</v>
      </c>
      <c r="V19" s="774" t="s">
        <v>17</v>
      </c>
      <c r="W19" s="775">
        <f>J19</f>
        <v>100</v>
      </c>
      <c r="X19" s="1812"/>
      <c r="Y19" s="3189"/>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8"/>
      <c r="Q20" s="1809"/>
      <c r="R20" s="774"/>
      <c r="S20" s="775"/>
      <c r="T20" s="774"/>
      <c r="U20" s="775"/>
      <c r="V20" s="774"/>
      <c r="W20" s="775"/>
      <c r="X20" s="1812"/>
      <c r="Y20" s="3189"/>
      <c r="Z20" s="1813"/>
      <c r="AA20" s="1810">
        <v>1</v>
      </c>
      <c r="AB20" s="1810">
        <v>1</v>
      </c>
      <c r="AC20" s="2676">
        <v>1</v>
      </c>
    </row>
    <row r="21" spans="1:29" ht="28.5">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89"/>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8"/>
      <c r="Q22" s="1809"/>
      <c r="R22" s="774"/>
      <c r="S22" s="775"/>
      <c r="T22" s="774"/>
      <c r="U22" s="775"/>
      <c r="V22" s="774"/>
      <c r="W22" s="775"/>
      <c r="X22" s="1812"/>
      <c r="Y22" s="3189"/>
      <c r="Z22" s="1813"/>
      <c r="AA22" s="1810">
        <v>1</v>
      </c>
      <c r="AB22" s="1810">
        <v>1</v>
      </c>
      <c r="AC22" s="2676">
        <v>1</v>
      </c>
    </row>
    <row r="23" spans="1:29" ht="57">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09" t="str">
        <f>B23</f>
        <v>环境质量</v>
      </c>
      <c r="R23" s="774" t="s">
        <v>17</v>
      </c>
      <c r="S23" s="775">
        <f>F23</f>
        <v>100</v>
      </c>
      <c r="T23" s="774" t="s">
        <v>17</v>
      </c>
      <c r="U23" s="775">
        <f>H23</f>
        <v>100</v>
      </c>
      <c r="V23" s="774" t="s">
        <v>17</v>
      </c>
      <c r="W23" s="775">
        <f>J23</f>
        <v>100</v>
      </c>
      <c r="X23" s="1812"/>
      <c r="Y23" s="3189"/>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8"/>
      <c r="Q24" s="1809"/>
      <c r="R24" s="774"/>
      <c r="S24" s="775"/>
      <c r="T24" s="774"/>
      <c r="U24" s="775"/>
      <c r="V24" s="774"/>
      <c r="W24" s="775"/>
      <c r="X24" s="1812"/>
      <c r="Y24" s="3189"/>
      <c r="Z24" s="1813"/>
      <c r="AA24" s="1810">
        <v>1</v>
      </c>
      <c r="AB24" s="1810">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8"/>
      <c r="Q25" s="1809" t="str">
        <f>B25</f>
        <v>毗邻道路的类型与等级</v>
      </c>
      <c r="R25" s="774" t="s">
        <v>17</v>
      </c>
      <c r="S25" s="775">
        <f>F25</f>
        <v>100</v>
      </c>
      <c r="T25" s="774" t="s">
        <v>17</v>
      </c>
      <c r="U25" s="775">
        <f>H25</f>
        <v>100</v>
      </c>
      <c r="V25" s="774" t="s">
        <v>17</v>
      </c>
      <c r="W25" s="775">
        <f>J25</f>
        <v>100</v>
      </c>
      <c r="X25" s="1812"/>
      <c r="Y25" s="3189"/>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28"/>
      <c r="Q26" s="1809"/>
      <c r="R26" s="774"/>
      <c r="S26" s="775"/>
      <c r="T26" s="774"/>
      <c r="U26" s="775"/>
      <c r="V26" s="774"/>
      <c r="W26" s="775"/>
      <c r="X26" s="1812"/>
      <c r="Y26" s="3189"/>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09" t="str">
        <f t="shared" ref="Q27:Q47" si="11">B27</f>
        <v>楼层</v>
      </c>
      <c r="R27" s="774" t="s">
        <v>17</v>
      </c>
      <c r="S27" s="775">
        <f>F27</f>
        <v>100</v>
      </c>
      <c r="T27" s="774" t="s">
        <v>17</v>
      </c>
      <c r="U27" s="775">
        <f>H27</f>
        <v>100</v>
      </c>
      <c r="V27" s="774" t="s">
        <v>17</v>
      </c>
      <c r="W27" s="775">
        <f>J27</f>
        <v>100</v>
      </c>
      <c r="X27" s="1812"/>
      <c r="Y27" s="3189"/>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8"/>
      <c r="Q28" s="1794" t="str">
        <f t="shared" si="11"/>
        <v>朝向</v>
      </c>
      <c r="R28" s="770" t="s">
        <v>17</v>
      </c>
      <c r="S28" s="771">
        <f>F28</f>
        <v>100</v>
      </c>
      <c r="T28" s="770" t="s">
        <v>17</v>
      </c>
      <c r="U28" s="771">
        <f>H28</f>
        <v>100</v>
      </c>
      <c r="V28" s="770" t="s">
        <v>17</v>
      </c>
      <c r="W28" s="771">
        <f>J28</f>
        <v>100</v>
      </c>
      <c r="X28" s="772"/>
      <c r="Y28" s="3189"/>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8"/>
      <c r="Q29" s="1809">
        <f t="shared" si="11"/>
        <v>111</v>
      </c>
      <c r="R29" s="774" t="s">
        <v>17</v>
      </c>
      <c r="S29" s="775">
        <f t="shared" ref="S29:S47" si="12">F29</f>
        <v>100</v>
      </c>
      <c r="T29" s="774" t="s">
        <v>17</v>
      </c>
      <c r="U29" s="775">
        <f t="shared" ref="U29:U47" si="13">H29</f>
        <v>100</v>
      </c>
      <c r="V29" s="774" t="s">
        <v>17</v>
      </c>
      <c r="W29" s="775">
        <f t="shared" ref="W29:W47" si="14">J29</f>
        <v>100</v>
      </c>
      <c r="X29" s="1812"/>
      <c r="Y29" s="3189"/>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8"/>
      <c r="Q30" s="1809">
        <f t="shared" si="11"/>
        <v>111</v>
      </c>
      <c r="R30" s="774" t="s">
        <v>17</v>
      </c>
      <c r="S30" s="775">
        <f t="shared" si="12"/>
        <v>100</v>
      </c>
      <c r="T30" s="774" t="s">
        <v>17</v>
      </c>
      <c r="U30" s="775">
        <f t="shared" si="13"/>
        <v>100</v>
      </c>
      <c r="V30" s="774" t="s">
        <v>17</v>
      </c>
      <c r="W30" s="775">
        <f t="shared" si="14"/>
        <v>100</v>
      </c>
      <c r="X30" s="1812"/>
      <c r="Y30" s="3189"/>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8"/>
      <c r="Q31" s="1809">
        <f t="shared" si="11"/>
        <v>111</v>
      </c>
      <c r="R31" s="774" t="s">
        <v>17</v>
      </c>
      <c r="S31" s="775">
        <f t="shared" si="12"/>
        <v>100</v>
      </c>
      <c r="T31" s="774" t="s">
        <v>17</v>
      </c>
      <c r="U31" s="775">
        <f t="shared" si="13"/>
        <v>100</v>
      </c>
      <c r="V31" s="774" t="s">
        <v>17</v>
      </c>
      <c r="W31" s="775">
        <f t="shared" si="14"/>
        <v>100</v>
      </c>
      <c r="X31" s="1812"/>
      <c r="Y31" s="3189"/>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8"/>
      <c r="Q32" s="1809">
        <f t="shared" si="11"/>
        <v>111</v>
      </c>
      <c r="R32" s="774" t="s">
        <v>17</v>
      </c>
      <c r="S32" s="775">
        <f t="shared" si="12"/>
        <v>100</v>
      </c>
      <c r="T32" s="774" t="s">
        <v>17</v>
      </c>
      <c r="U32" s="775">
        <f t="shared" si="13"/>
        <v>100</v>
      </c>
      <c r="V32" s="774" t="s">
        <v>17</v>
      </c>
      <c r="W32" s="775">
        <f t="shared" si="14"/>
        <v>100</v>
      </c>
      <c r="X32" s="1812"/>
      <c r="Y32" s="3189"/>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9" t="s">
        <v>2513</v>
      </c>
      <c r="Q33" s="1809" t="str">
        <f t="shared" si="11"/>
        <v>建筑类型</v>
      </c>
      <c r="R33" s="774" t="s">
        <v>17</v>
      </c>
      <c r="S33" s="775">
        <f t="shared" si="12"/>
        <v>100</v>
      </c>
      <c r="T33" s="774" t="s">
        <v>17</v>
      </c>
      <c r="U33" s="775">
        <f t="shared" si="13"/>
        <v>100</v>
      </c>
      <c r="V33" s="774" t="s">
        <v>17</v>
      </c>
      <c r="W33" s="775">
        <f t="shared" si="14"/>
        <v>100</v>
      </c>
      <c r="X33" s="1812"/>
      <c r="Y33" s="3191"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0"/>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0"/>
      <c r="Q35" s="1809" t="str">
        <f t="shared" si="11"/>
        <v>建筑结构</v>
      </c>
      <c r="R35" s="774" t="s">
        <v>17</v>
      </c>
      <c r="S35" s="775">
        <f t="shared" si="12"/>
        <v>100</v>
      </c>
      <c r="T35" s="774" t="s">
        <v>17</v>
      </c>
      <c r="U35" s="775">
        <f t="shared" si="13"/>
        <v>100</v>
      </c>
      <c r="V35" s="774" t="s">
        <v>17</v>
      </c>
      <c r="W35" s="775">
        <f t="shared" si="14"/>
        <v>100</v>
      </c>
      <c r="X35" s="1812"/>
      <c r="Y35" s="3191"/>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0"/>
      <c r="Q36" s="1809" t="str">
        <f t="shared" si="11"/>
        <v>公共部分装修</v>
      </c>
      <c r="R36" s="774" t="s">
        <v>17</v>
      </c>
      <c r="S36" s="775">
        <f t="shared" si="12"/>
        <v>100</v>
      </c>
      <c r="T36" s="774" t="s">
        <v>17</v>
      </c>
      <c r="U36" s="775">
        <f t="shared" si="13"/>
        <v>100</v>
      </c>
      <c r="V36" s="774" t="s">
        <v>17</v>
      </c>
      <c r="W36" s="775">
        <f t="shared" si="14"/>
        <v>100</v>
      </c>
      <c r="X36" s="1812"/>
      <c r="Y36" s="3191"/>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0"/>
      <c r="Q37" s="1809" t="str">
        <f t="shared" si="11"/>
        <v>成新度</v>
      </c>
      <c r="R37" s="774" t="s">
        <v>17</v>
      </c>
      <c r="S37" s="775" t="e">
        <f t="shared" si="12"/>
        <v>#N/A</v>
      </c>
      <c r="T37" s="774" t="s">
        <v>17</v>
      </c>
      <c r="U37" s="775" t="e">
        <f t="shared" si="13"/>
        <v>#N/A</v>
      </c>
      <c r="V37" s="774" t="s">
        <v>17</v>
      </c>
      <c r="W37" s="775" t="e">
        <f t="shared" si="14"/>
        <v>#N/A</v>
      </c>
      <c r="X37" s="1812"/>
      <c r="Y37" s="3191"/>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0"/>
      <c r="Q38" s="1794"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0" t="s">
        <v>2513</v>
      </c>
      <c r="Q39" s="1809" t="str">
        <f t="shared" si="11"/>
        <v>物业管理</v>
      </c>
      <c r="R39" s="774" t="s">
        <v>17</v>
      </c>
      <c r="S39" s="775">
        <f t="shared" si="12"/>
        <v>100</v>
      </c>
      <c r="T39" s="774" t="s">
        <v>17</v>
      </c>
      <c r="U39" s="775">
        <f t="shared" si="13"/>
        <v>100</v>
      </c>
      <c r="V39" s="774" t="s">
        <v>17</v>
      </c>
      <c r="W39" s="775">
        <f t="shared" si="14"/>
        <v>100</v>
      </c>
      <c r="X39" s="1812"/>
      <c r="Y39" s="3191"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0"/>
      <c r="Q40" s="1809" t="str">
        <f t="shared" si="11"/>
        <v>市政基础设施</v>
      </c>
      <c r="R40" s="774" t="s">
        <v>17</v>
      </c>
      <c r="S40" s="775">
        <f t="shared" si="12"/>
        <v>100</v>
      </c>
      <c r="T40" s="774" t="s">
        <v>17</v>
      </c>
      <c r="U40" s="775">
        <f t="shared" si="13"/>
        <v>100</v>
      </c>
      <c r="V40" s="774" t="s">
        <v>17</v>
      </c>
      <c r="W40" s="775">
        <f t="shared" si="14"/>
        <v>100</v>
      </c>
      <c r="X40" s="1812"/>
      <c r="Y40" s="3191"/>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0"/>
      <c r="Q41" s="1809" t="str">
        <f t="shared" si="11"/>
        <v>层高</v>
      </c>
      <c r="R41" s="774" t="s">
        <v>17</v>
      </c>
      <c r="S41" s="775">
        <f t="shared" si="12"/>
        <v>100</v>
      </c>
      <c r="T41" s="774" t="s">
        <v>17</v>
      </c>
      <c r="U41" s="775">
        <f t="shared" si="13"/>
        <v>100</v>
      </c>
      <c r="V41" s="774" t="s">
        <v>17</v>
      </c>
      <c r="W41" s="775">
        <f t="shared" si="14"/>
        <v>100</v>
      </c>
      <c r="X41" s="1812"/>
      <c r="Y41" s="3191"/>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0"/>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0"/>
      <c r="Q43" s="1809" t="str">
        <f t="shared" si="11"/>
        <v>内部装修</v>
      </c>
      <c r="R43" s="774" t="s">
        <v>17</v>
      </c>
      <c r="S43" s="775">
        <f t="shared" si="12"/>
        <v>100</v>
      </c>
      <c r="T43" s="774" t="s">
        <v>17</v>
      </c>
      <c r="U43" s="775">
        <f t="shared" si="13"/>
        <v>100</v>
      </c>
      <c r="V43" s="774" t="s">
        <v>17</v>
      </c>
      <c r="W43" s="775">
        <f t="shared" si="14"/>
        <v>100</v>
      </c>
      <c r="X43" s="1812"/>
      <c r="Y43" s="3191"/>
      <c r="Z43" s="1813" t="str">
        <f t="shared" si="15"/>
        <v>内部装修</v>
      </c>
      <c r="AA43" s="1810">
        <f t="shared" si="3"/>
        <v>1</v>
      </c>
      <c r="AB43" s="1810">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0"/>
      <c r="Q44" s="1809" t="str">
        <f t="shared" si="11"/>
        <v>内部装修维护情况</v>
      </c>
      <c r="R44" s="774" t="s">
        <v>17</v>
      </c>
      <c r="S44" s="775">
        <f t="shared" si="12"/>
        <v>100</v>
      </c>
      <c r="T44" s="774" t="s">
        <v>17</v>
      </c>
      <c r="U44" s="775">
        <f t="shared" si="13"/>
        <v>100</v>
      </c>
      <c r="V44" s="774" t="s">
        <v>17</v>
      </c>
      <c r="W44" s="775">
        <f t="shared" si="14"/>
        <v>100</v>
      </c>
      <c r="X44" s="1812"/>
      <c r="Y44" s="3191"/>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0"/>
      <c r="Q45" s="1794">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0"/>
      <c r="Q46" s="1809">
        <f t="shared" si="11"/>
        <v>111</v>
      </c>
      <c r="R46" s="774" t="s">
        <v>17</v>
      </c>
      <c r="S46" s="775">
        <f t="shared" si="12"/>
        <v>100</v>
      </c>
      <c r="T46" s="774" t="s">
        <v>17</v>
      </c>
      <c r="U46" s="775">
        <f t="shared" si="13"/>
        <v>100</v>
      </c>
      <c r="V46" s="774" t="s">
        <v>17</v>
      </c>
      <c r="W46" s="775">
        <f t="shared" si="14"/>
        <v>100</v>
      </c>
      <c r="X46" s="1812"/>
      <c r="Y46" s="3191"/>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1"/>
      <c r="Q47" s="1809">
        <f t="shared" si="11"/>
        <v>111</v>
      </c>
      <c r="R47" s="774" t="s">
        <v>17</v>
      </c>
      <c r="S47" s="775">
        <f t="shared" si="12"/>
        <v>100</v>
      </c>
      <c r="T47" s="774" t="s">
        <v>17</v>
      </c>
      <c r="U47" s="775">
        <f t="shared" si="13"/>
        <v>100</v>
      </c>
      <c r="V47" s="774" t="s">
        <v>17</v>
      </c>
      <c r="W47" s="775">
        <f t="shared" si="14"/>
        <v>100</v>
      </c>
      <c r="X47" s="1812"/>
      <c r="Y47" s="3232"/>
      <c r="Z47" s="1813">
        <f t="shared" si="15"/>
        <v>111</v>
      </c>
      <c r="AA47" s="1810">
        <f t="shared" si="3"/>
        <v>1</v>
      </c>
      <c r="AB47" s="1810">
        <f t="shared" si="4"/>
        <v>1</v>
      </c>
      <c r="AC47" s="2676">
        <f t="shared" si="5"/>
        <v>1</v>
      </c>
    </row>
    <row r="48" spans="1:29" ht="15">
      <c r="A48" s="479" t="s">
        <v>2525</v>
      </c>
      <c r="B48" s="480"/>
      <c r="C48" s="1407" t="s">
        <v>1</v>
      </c>
      <c r="D48" s="1408"/>
      <c r="E48" s="1409"/>
      <c r="F48" s="1410"/>
      <c r="G48" s="1411"/>
      <c r="H48" s="1412"/>
      <c r="I48" s="1409"/>
      <c r="J48" s="485"/>
      <c r="K48" s="783"/>
      <c r="L48" s="1143"/>
      <c r="M48" s="1131"/>
      <c r="N48" s="1131"/>
      <c r="O48" s="1131"/>
      <c r="P48" s="3185" t="str">
        <f>A48</f>
        <v>成交单价（元/平方米）</v>
      </c>
      <c r="Q48" s="3186"/>
      <c r="R48" s="3223">
        <f>E48</f>
        <v>0</v>
      </c>
      <c r="S48" s="3223"/>
      <c r="T48" s="3223">
        <f>G48</f>
        <v>0</v>
      </c>
      <c r="U48" s="3223"/>
      <c r="V48" s="3223">
        <f>I48</f>
        <v>0</v>
      </c>
      <c r="W48" s="3223"/>
      <c r="X48" s="446"/>
      <c r="Y48" s="781"/>
      <c r="Z48" s="446"/>
      <c r="AA48" s="446"/>
      <c r="AB48" s="446"/>
      <c r="AC48" s="630"/>
    </row>
    <row r="49" spans="1:29" ht="15.7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86"/>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2618</v>
      </c>
      <c r="B50" s="493"/>
      <c r="C50" s="1417" t="e">
        <f>R50</f>
        <v>#DIV/0!</v>
      </c>
      <c r="D50" s="1417"/>
      <c r="E50" s="1417"/>
      <c r="F50" s="1417"/>
      <c r="G50" s="1417"/>
      <c r="H50" s="1417"/>
      <c r="I50" s="1417"/>
      <c r="J50" s="494"/>
      <c r="K50" s="785"/>
      <c r="L50" s="1143"/>
      <c r="M50" s="1131"/>
      <c r="N50" s="1131"/>
      <c r="O50" s="1131"/>
      <c r="P50" s="3224" t="str">
        <f>A50</f>
        <v>估价对象XX用房的比较价值（楼面单价，元/平方米）</v>
      </c>
      <c r="Q50" s="3225"/>
      <c r="R50" s="3226" t="e">
        <f>IF(F1="售价",ROUND(AVERAGE(R49:V49),0),ROUND(AVERAGE(R49:V49),1))</f>
        <v>#DIV/0!</v>
      </c>
      <c r="S50" s="3226"/>
      <c r="T50" s="3226"/>
      <c r="U50" s="3226"/>
      <c r="V50" s="3226"/>
      <c r="W50" s="322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2622</v>
      </c>
      <c r="B58" s="759"/>
      <c r="C58" s="764"/>
      <c r="D58" s="764"/>
      <c r="E58" s="764"/>
      <c r="F58" s="765"/>
      <c r="G58" s="765"/>
      <c r="H58" s="764"/>
      <c r="I58" s="764"/>
      <c r="J58" s="764"/>
      <c r="K58" s="766"/>
      <c r="L58" s="1161"/>
      <c r="M58" s="1159"/>
      <c r="N58" s="1159"/>
      <c r="O58" s="1159"/>
      <c r="P58" s="2683"/>
      <c r="Q58" s="504"/>
    </row>
    <row r="59" spans="1:29" s="508" customFormat="1" ht="15">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2536</v>
      </c>
      <c r="B64" s="528" t="s">
        <v>2502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2647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2511</v>
      </c>
      <c r="B101" s="528" t="s">
        <v>2560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zoomScale="90" zoomScaleNormal="9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c r="C1" s="242"/>
      <c r="D1" s="242"/>
      <c r="E1" s="242"/>
      <c r="F1" s="242"/>
      <c r="G1" s="1379">
        <f>MATCH(B1,'数据-取费表'!A6:A16,0)+5</f>
        <v>10</v>
      </c>
    </row>
    <row r="2" spans="1:9" s="244" customFormat="1" ht="18" customHeight="1">
      <c r="A2" s="245" t="s">
        <v>2278</v>
      </c>
      <c r="B2" s="246">
        <f ca="1">IF(D2="——",C52,C52-E2)</f>
        <v>345811</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12686</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f>C6+C7+C8</f>
        <v>242687</v>
      </c>
      <c r="D5" s="255" t="s">
        <v>2285</v>
      </c>
      <c r="E5" s="256" t="s">
        <v>2286</v>
      </c>
      <c r="F5" s="256" t="s">
        <v>2287</v>
      </c>
      <c r="G5" s="257"/>
    </row>
    <row r="6" spans="1:9" s="258" customFormat="1" ht="13.5" customHeight="1">
      <c r="A6" s="949" t="s">
        <v>2288</v>
      </c>
      <c r="B6" s="259" t="s">
        <v>2289</v>
      </c>
      <c r="C6" s="260">
        <f>'土地比较法-住宅、综合'!B2</f>
        <v>235504</v>
      </c>
      <c r="D6" s="261"/>
      <c r="E6" s="262"/>
      <c r="F6" s="262"/>
      <c r="G6" s="263"/>
    </row>
    <row r="7" spans="1:9" s="258" customFormat="1" ht="13.5" customHeight="1">
      <c r="A7" s="949" t="s">
        <v>2290</v>
      </c>
      <c r="B7" s="259" t="s">
        <v>2291</v>
      </c>
      <c r="C7" s="264">
        <f>ROUND(C6*F7,0)</f>
        <v>7183</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3176</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3177</v>
      </c>
    </row>
    <row r="20" spans="1:7" s="258" customFormat="1" ht="13.5" customHeight="1">
      <c r="A20" s="299" t="s">
        <v>2309</v>
      </c>
      <c r="B20" s="254" t="s">
        <v>2310</v>
      </c>
      <c r="C20" s="276">
        <f>ROUND((C5+C19)*F20,0)</f>
        <v>4854</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17667</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17495</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172</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4.75">
      <c r="A27" s="299" t="s">
        <v>2328</v>
      </c>
      <c r="B27" s="288" t="s">
        <v>2329</v>
      </c>
      <c r="C27" s="289">
        <f ca="1">C28</f>
        <v>18566</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18566</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306949</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f ca="1">SUM(C34:C38)</f>
        <v>29666</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26114</v>
      </c>
      <c r="D34" s="261"/>
      <c r="E34" s="264"/>
      <c r="F34" s="301">
        <f ca="1">IF('数据-取费表'!B24=0,1,IF(B1="",'数据-取费表'!N16,INDIRECT("'数据-取费表'!n"&amp;$G$1)))</f>
        <v>0.34</v>
      </c>
      <c r="G34" s="263" t="s">
        <v>2342</v>
      </c>
    </row>
    <row r="35" spans="1:7" ht="13.5" customHeight="1">
      <c r="A35" s="951" t="s">
        <v>795</v>
      </c>
      <c r="B35" s="259" t="s">
        <v>2343</v>
      </c>
      <c r="C35" s="264">
        <f ca="1">ROUND(C34*F35,0)</f>
        <v>1306</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1854</v>
      </c>
      <c r="D37" s="261">
        <f ca="1">D19</f>
        <v>272582</v>
      </c>
      <c r="E37" s="293">
        <f>'数据-取费表'!B35</f>
        <v>200</v>
      </c>
      <c r="F37" s="303"/>
      <c r="G37" s="305" t="s">
        <v>2348</v>
      </c>
    </row>
    <row r="38" spans="1:7" ht="13.5" customHeight="1">
      <c r="A38" s="951" t="s">
        <v>798</v>
      </c>
      <c r="B38" s="259" t="s">
        <v>2349</v>
      </c>
      <c r="C38" s="264">
        <f ca="1">ROUND(C34*F38,0)</f>
        <v>392</v>
      </c>
      <c r="D38" s="264"/>
      <c r="E38" s="264"/>
      <c r="F38" s="303">
        <f>'数据-取费表'!B36</f>
        <v>1.4999999999999999E-2</v>
      </c>
      <c r="G38" s="263" t="s">
        <v>2344</v>
      </c>
    </row>
    <row r="39" spans="1:7" s="258" customFormat="1" ht="13.5" customHeight="1">
      <c r="A39" s="299" t="s">
        <v>2350</v>
      </c>
      <c r="B39" s="254" t="s">
        <v>2351</v>
      </c>
      <c r="C39" s="276">
        <f ca="1">ROUND(C33*F20,0)</f>
        <v>593</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1072</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1051</v>
      </c>
      <c r="D42" s="282"/>
      <c r="E42" s="282"/>
      <c r="F42" s="283"/>
      <c r="G42" s="3245" t="s">
        <v>2360</v>
      </c>
    </row>
    <row r="43" spans="1:7" ht="13.5" customHeight="1">
      <c r="A43" s="951" t="s">
        <v>791</v>
      </c>
      <c r="B43" s="259" t="s">
        <v>2361</v>
      </c>
      <c r="C43" s="282">
        <f ca="1">ROUND(IF('数据-取费表'!B22&lt;=1,C39*F22*'数据-取费表'!B21/2,C39*(POWER((1+F22),'数据-取费表'!B21/2)-1)),0)</f>
        <v>21</v>
      </c>
      <c r="D43" s="282"/>
      <c r="E43" s="282"/>
      <c r="F43" s="283"/>
      <c r="G43" s="3246"/>
    </row>
    <row r="44" spans="1:7" ht="13.5" customHeight="1">
      <c r="A44" s="951" t="s">
        <v>792</v>
      </c>
      <c r="B44" s="259" t="s">
        <v>2362</v>
      </c>
      <c r="C44" s="282">
        <f ca="1">ROUND(IF('数据-取费表'!B22&lt;=1,C40*F22*'数据-取费表'!B21/2,C40*(POWER((1+F22),'数据-取费表'!B21/2)-1)),4)</f>
        <v>6.9999999999999999E-4</v>
      </c>
      <c r="D44" s="282"/>
      <c r="E44" s="282"/>
      <c r="F44" s="283"/>
      <c r="G44" s="3247"/>
    </row>
    <row r="45" spans="1:7" s="258" customFormat="1" ht="13.5" customHeight="1">
      <c r="A45" s="299" t="s">
        <v>2363</v>
      </c>
      <c r="B45" s="288" t="s">
        <v>2329</v>
      </c>
      <c r="C45" s="289">
        <f ca="1">C46</f>
        <v>4539</v>
      </c>
      <c r="D45" s="279">
        <f ca="1">C47</f>
        <v>3.0000000000000001E-3</v>
      </c>
      <c r="E45" s="280" t="s">
        <v>2355</v>
      </c>
      <c r="F45" s="290"/>
      <c r="G45" s="291" t="s">
        <v>2364</v>
      </c>
    </row>
    <row r="46" spans="1:7" s="258" customFormat="1" ht="13.5" customHeight="1">
      <c r="A46" s="951" t="s">
        <v>790</v>
      </c>
      <c r="B46" s="292" t="s">
        <v>2365</v>
      </c>
      <c r="C46" s="293">
        <f ca="1">ROUND((C33+C39)*F27,0)</f>
        <v>4539</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38862</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38862</v>
      </c>
      <c r="D51" s="276"/>
      <c r="E51" s="276"/>
      <c r="F51" s="308"/>
      <c r="G51" s="278" t="s">
        <v>2376</v>
      </c>
    </row>
    <row r="52" spans="1:7" s="252" customFormat="1" ht="16.5" thickBot="1">
      <c r="A52" s="309" t="s">
        <v>2377</v>
      </c>
      <c r="B52" s="310"/>
      <c r="C52" s="311">
        <f ca="1">C31+C51</f>
        <v>345811</v>
      </c>
      <c r="D52" s="310"/>
      <c r="E52" s="310"/>
      <c r="F52" s="310"/>
      <c r="G52" s="312"/>
    </row>
    <row r="55" spans="1:7" ht="15">
      <c r="B55" s="314" t="s">
        <v>2378</v>
      </c>
      <c r="C55" s="315"/>
    </row>
    <row r="56" spans="1:7">
      <c r="B56" s="317" t="s">
        <v>1505</v>
      </c>
      <c r="C56" s="319">
        <f ca="1">1-C57</f>
        <v>0.88800000000000001</v>
      </c>
    </row>
    <row r="57" spans="1:7">
      <c r="B57" s="317" t="s">
        <v>1506</v>
      </c>
      <c r="C57" s="318">
        <f ca="1">ROUND(C51/C52,3)</f>
        <v>0.112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133507</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4898</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4.75">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872017280</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767606460</v>
      </c>
      <c r="D34" s="261"/>
      <c r="E34" s="264"/>
      <c r="F34" s="301"/>
      <c r="G34" s="263"/>
    </row>
    <row r="35" spans="1:7" ht="13.5" customHeight="1">
      <c r="A35" s="951" t="s">
        <v>795</v>
      </c>
      <c r="B35" s="259" t="s">
        <v>2343</v>
      </c>
      <c r="C35" s="264">
        <f ca="1">ROUND(C34*F35,0)</f>
        <v>38380323</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11514097</v>
      </c>
      <c r="D38" s="264"/>
      <c r="E38" s="264"/>
      <c r="F38" s="303">
        <f>'数据-取费表'!B36</f>
        <v>1.4999999999999999E-2</v>
      </c>
      <c r="G38" s="263" t="s">
        <v>2344</v>
      </c>
    </row>
    <row r="39" spans="1:7" s="258" customFormat="1" ht="13.5" customHeight="1">
      <c r="A39" s="299" t="s">
        <v>2350</v>
      </c>
      <c r="B39" s="254" t="s">
        <v>2351</v>
      </c>
      <c r="C39" s="276">
        <f ca="1">ROUND(C33*F20,0)</f>
        <v>17440346</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64120566</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62863300</v>
      </c>
      <c r="D42" s="282"/>
      <c r="E42" s="282"/>
      <c r="F42" s="283"/>
      <c r="G42" s="3245" t="s">
        <v>2407</v>
      </c>
    </row>
    <row r="43" spans="1:7" ht="13.5" customHeight="1">
      <c r="A43" s="951" t="s">
        <v>791</v>
      </c>
      <c r="B43" s="259" t="s">
        <v>2361</v>
      </c>
      <c r="C43" s="282">
        <f ca="1">ROUND(IF('数据-取费表'!B22&lt;=1,C39*F22*'数据-取费表'!B20/2,C39*(POWER((1+F22),'数据-取费表'!B20/2)-1)),0)</f>
        <v>1257266</v>
      </c>
      <c r="D43" s="282"/>
      <c r="E43" s="282"/>
      <c r="F43" s="283"/>
      <c r="G43" s="3246"/>
    </row>
    <row r="44" spans="1:7" ht="13.5" customHeight="1">
      <c r="A44" s="951" t="s">
        <v>792</v>
      </c>
      <c r="B44" s="259" t="s">
        <v>2362</v>
      </c>
      <c r="C44" s="282">
        <f ca="1">ROUND(IF('数据-取费表'!B22&lt;=1,C40*F22*'数据-取费表'!B20/2,C40*(POWER((1+F22),'数据-取费表'!B20/2)-1)),4)</f>
        <v>1.4E-3</v>
      </c>
      <c r="D44" s="282"/>
      <c r="E44" s="282"/>
      <c r="F44" s="283"/>
      <c r="G44" s="3247"/>
    </row>
    <row r="45" spans="1:7" s="258" customFormat="1" ht="13.5" customHeight="1">
      <c r="A45" s="299" t="s">
        <v>2363</v>
      </c>
      <c r="B45" s="288" t="s">
        <v>2329</v>
      </c>
      <c r="C45" s="289">
        <f ca="1">C46</f>
        <v>133418644</v>
      </c>
      <c r="D45" s="279">
        <f ca="1">C47</f>
        <v>3.0000000000000001E-3</v>
      </c>
      <c r="E45" s="280" t="s">
        <v>2355</v>
      </c>
      <c r="F45" s="290"/>
      <c r="G45" s="291" t="s">
        <v>2364</v>
      </c>
    </row>
    <row r="46" spans="1:7" s="258" customFormat="1" ht="13.5" customHeight="1">
      <c r="A46" s="951" t="s">
        <v>790</v>
      </c>
      <c r="B46" s="292" t="s">
        <v>2365</v>
      </c>
      <c r="C46" s="293">
        <f ca="1">ROUND((C33+C39)*F27,0)</f>
        <v>133418644</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1178571870</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1178571870</v>
      </c>
      <c r="D51" s="276"/>
      <c r="E51" s="276"/>
      <c r="F51" s="308"/>
      <c r="G51" s="278" t="s">
        <v>2376</v>
      </c>
    </row>
    <row r="52" spans="1:7" s="252" customFormat="1" ht="16.5" thickBot="1">
      <c r="A52" s="309" t="s">
        <v>2377</v>
      </c>
      <c r="B52" s="310"/>
      <c r="C52" s="311">
        <f ca="1">C31+C51</f>
        <v>1335071438</v>
      </c>
      <c r="D52" s="310"/>
      <c r="E52" s="310"/>
      <c r="F52" s="310"/>
      <c r="G52" s="312"/>
    </row>
    <row r="55" spans="1:7" ht="15">
      <c r="B55" s="314" t="s">
        <v>2378</v>
      </c>
      <c r="C55" s="315"/>
    </row>
    <row r="56" spans="1:7">
      <c r="B56" s="317" t="s">
        <v>1505</v>
      </c>
      <c r="C56" s="319">
        <f ca="1">1-C57</f>
        <v>0.11699999999999999</v>
      </c>
    </row>
    <row r="57" spans="1:7">
      <c r="B57" s="317" t="s">
        <v>1506</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2.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0"/>
      <c r="C1" s="1581"/>
      <c r="D1" s="1579"/>
      <c r="E1" s="320"/>
      <c r="F1" s="320"/>
      <c r="G1" s="1580"/>
      <c r="H1" s="320"/>
      <c r="I1" s="320"/>
      <c r="J1" s="320"/>
      <c r="K1" s="320">
        <f>MATCH(C1,'数据-取费表'!A6:A16,0)+5</f>
        <v>10</v>
      </c>
    </row>
    <row r="2" spans="1:33" ht="18" customHeight="1">
      <c r="A2" s="245" t="s">
        <v>2278</v>
      </c>
      <c r="B2" s="248">
        <f ca="1">C32</f>
        <v>207050</v>
      </c>
      <c r="C2" s="320" t="s">
        <v>2411</v>
      </c>
      <c r="D2" s="320"/>
      <c r="E2" s="320"/>
      <c r="F2" s="320"/>
      <c r="G2" s="320"/>
      <c r="H2" s="320"/>
      <c r="I2" s="320"/>
      <c r="J2" s="320"/>
      <c r="K2" s="320"/>
    </row>
    <row r="3" spans="1:33" ht="18" customHeight="1" thickBot="1">
      <c r="A3" s="247" t="s">
        <v>2280</v>
      </c>
      <c r="B3" s="248">
        <f ca="1">ROUND(B2*10000/IF(C1="",'数据-汇总表'!E3,INDIRECT("'数据-取费表'!K"&amp;$K$1)),0)</f>
        <v>7596</v>
      </c>
      <c r="C3" s="320" t="s">
        <v>2412</v>
      </c>
      <c r="D3" s="320"/>
      <c r="E3" s="320"/>
      <c r="F3" s="320"/>
      <c r="G3" s="320"/>
      <c r="H3" s="320"/>
      <c r="I3" s="320"/>
      <c r="J3" s="320"/>
      <c r="K3" s="320"/>
    </row>
    <row r="4" spans="1:33" s="956" customFormat="1" ht="16.5" customHeight="1">
      <c r="A4" s="953" t="s">
        <v>2413</v>
      </c>
      <c r="B4" s="954"/>
      <c r="C4" s="996">
        <f ca="1">SUM(C8:K8)</f>
        <v>344316</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22488</v>
      </c>
      <c r="D6" s="962">
        <f ca="1">'收益法-商业'!B3</f>
        <v>26725</v>
      </c>
      <c r="E6" s="962">
        <f ca="1">'收益法-酒店'!B3</f>
        <v>14588</v>
      </c>
      <c r="F6" s="962">
        <f ca="1">'收益法-地下车库'!B3</f>
        <v>584</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282369</v>
      </c>
      <c r="D8" s="997">
        <f ca="1">'收益法-商业'!B2</f>
        <v>30404</v>
      </c>
      <c r="E8" s="997">
        <f ca="1">'收益法-酒店'!B2</f>
        <v>27474</v>
      </c>
      <c r="F8" s="998">
        <f ca="1">'收益法-地下车库'!B2</f>
        <v>4069</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50647</v>
      </c>
      <c r="D11" s="973"/>
      <c r="E11" s="375"/>
      <c r="F11" s="974">
        <f ca="1">1-IF('数据-取费表'!B24=0,1,IF(C1="",'数据-取费表'!N16,INDIRECT("'数据-取费表'!n"&amp;$K$1)))</f>
        <v>0.65999999999999992</v>
      </c>
      <c r="G11" s="8"/>
      <c r="H11" s="968"/>
      <c r="I11" s="968"/>
      <c r="J11" s="968"/>
      <c r="K11" s="969"/>
    </row>
    <row r="12" spans="1:33" s="975" customFormat="1" ht="13.5" customHeight="1">
      <c r="A12" s="971" t="s">
        <v>1327</v>
      </c>
      <c r="B12" s="972" t="s">
        <v>2429</v>
      </c>
      <c r="C12" s="24">
        <f ca="1">ROUND(C11*F12,0)</f>
        <v>2532</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3598</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760</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57537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3184</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62989</v>
      </c>
      <c r="D21" s="987"/>
      <c r="E21" s="325"/>
      <c r="F21" s="325"/>
      <c r="G21" s="140" t="s">
        <v>2445</v>
      </c>
      <c r="H21" s="979"/>
      <c r="I21" s="979"/>
      <c r="J21" s="979"/>
      <c r="K21" s="980"/>
    </row>
    <row r="22" spans="1:33" s="975" customFormat="1" ht="13.5" customHeight="1">
      <c r="A22" s="961" t="s">
        <v>2417</v>
      </c>
      <c r="B22" s="985" t="s">
        <v>2446</v>
      </c>
      <c r="C22" s="986">
        <f ca="1">ROUND(C21*F22,0)</f>
        <v>1260</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4545</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2437</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2437</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10319</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10319</v>
      </c>
      <c r="D30" s="328"/>
      <c r="E30" s="329"/>
      <c r="F30" s="334"/>
      <c r="G30" s="140"/>
      <c r="H30" s="979"/>
      <c r="I30" s="979"/>
      <c r="J30" s="979"/>
      <c r="K30" s="980"/>
    </row>
    <row r="31" spans="1:33" s="975" customFormat="1" ht="13.5" customHeight="1" thickBot="1">
      <c r="A31" s="2562" t="s">
        <v>2462</v>
      </c>
      <c r="B31" s="1005" t="s">
        <v>2463</v>
      </c>
      <c r="C31" s="1006">
        <f ca="1">ROUND(C4*F31/(1+'数据-取费表'!C42),0)</f>
        <v>18364</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207050</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C17" sqref="C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2999</v>
      </c>
      <c r="D1" s="1819" t="s">
        <v>3182</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282369</v>
      </c>
      <c r="C2" s="1844" t="s">
        <v>1508</v>
      </c>
      <c r="D2" s="1844"/>
      <c r="E2" s="1845"/>
      <c r="F2" s="1846"/>
      <c r="G2" s="1847"/>
      <c r="H2" s="1839"/>
      <c r="I2" s="1839"/>
      <c r="J2" s="1839"/>
      <c r="K2" s="1840"/>
      <c r="L2" s="1839"/>
      <c r="M2" s="1839"/>
    </row>
    <row r="3" spans="1:37" ht="18" customHeight="1" thickBot="1">
      <c r="A3" s="1848" t="s">
        <v>1509</v>
      </c>
      <c r="B3" s="1849">
        <f ca="1">IF(ISERROR(B2*10000/F43),0,ROUND(B2*10000/F43,0))</f>
        <v>22488</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16520</v>
      </c>
      <c r="D5" s="1821" t="s">
        <v>1394</v>
      </c>
      <c r="E5" s="1293"/>
      <c r="F5" s="1294"/>
      <c r="G5" s="1850"/>
      <c r="H5" s="344">
        <v>1</v>
      </c>
      <c r="I5" s="345" t="s">
        <v>1393</v>
      </c>
      <c r="J5" s="1292">
        <f ca="1">J6+J10+J12</f>
        <v>0</v>
      </c>
      <c r="K5" s="1821" t="s">
        <v>1394</v>
      </c>
      <c r="L5" s="1293"/>
      <c r="M5" s="1294"/>
    </row>
    <row r="6" spans="1:37" ht="18" customHeight="1">
      <c r="A6" s="1291" t="s">
        <v>1031</v>
      </c>
      <c r="B6" s="3250" t="s">
        <v>1395</v>
      </c>
      <c r="C6" s="1296">
        <f ca="1">ROUND(F6*F8*F7*(1-F9)/10000,0)</f>
        <v>16499</v>
      </c>
      <c r="D6" s="164" t="s">
        <v>2978</v>
      </c>
      <c r="E6" s="347" t="s">
        <v>1397</v>
      </c>
      <c r="F6" s="348">
        <f ca="1">INDIRECT("'数据-取费表'!u"&amp;$G$1)</f>
        <v>4</v>
      </c>
      <c r="G6" s="1850"/>
      <c r="H6" s="1291" t="s">
        <v>1031</v>
      </c>
      <c r="I6" s="3250" t="s">
        <v>1395</v>
      </c>
      <c r="J6" s="346">
        <f ca="1">ROUND(M6*M8*M7*(1-M9)/10000,0)</f>
        <v>0</v>
      </c>
      <c r="K6" s="164" t="s">
        <v>2977</v>
      </c>
      <c r="L6" s="347" t="s">
        <v>1397</v>
      </c>
      <c r="M6" s="348">
        <f ca="1">INDIRECT("'数据-取费表'!z"&amp;$G$1)</f>
        <v>0</v>
      </c>
    </row>
    <row r="7" spans="1:37" ht="18" customHeight="1">
      <c r="A7" s="1295"/>
      <c r="B7" s="3251"/>
      <c r="C7" s="1297"/>
      <c r="D7" s="352"/>
      <c r="E7" s="1298" t="s">
        <v>1398</v>
      </c>
      <c r="F7" s="348">
        <f ca="1">IF(INDIRECT("'数据-取费表'!ah"&amp;$G$1)="",INDIRECT("'数据-取费表'!k"&amp;$G$1),INDIRECT("'数据-取费表'!ah"&amp;$G$1))</f>
        <v>125562.38</v>
      </c>
      <c r="G7" s="1850"/>
      <c r="H7" s="349"/>
      <c r="I7" s="3251"/>
      <c r="J7" s="351"/>
      <c r="K7" s="352"/>
      <c r="L7" s="347" t="s">
        <v>1398</v>
      </c>
      <c r="M7" s="348">
        <f ca="1">F7</f>
        <v>125562.38</v>
      </c>
    </row>
    <row r="8" spans="1:37" ht="18" customHeight="1">
      <c r="A8" s="349"/>
      <c r="B8" s="3251"/>
      <c r="C8" s="351"/>
      <c r="D8" s="352"/>
      <c r="E8" s="347" t="s">
        <v>1399</v>
      </c>
      <c r="F8" s="348">
        <f ca="1">INDIRECT("'数据-取费表'!ai"&amp;$G$1)</f>
        <v>365</v>
      </c>
      <c r="G8" s="1850"/>
      <c r="H8" s="349"/>
      <c r="I8" s="3251"/>
      <c r="J8" s="351"/>
      <c r="K8" s="352"/>
      <c r="L8" s="347" t="s">
        <v>1399</v>
      </c>
      <c r="M8" s="348">
        <f ca="1">INDIRECT("'数据-取费表'!ai"&amp;$G$1)</f>
        <v>365</v>
      </c>
    </row>
    <row r="9" spans="1:37" ht="18" customHeight="1">
      <c r="A9" s="349"/>
      <c r="B9" s="3252"/>
      <c r="C9" s="351"/>
      <c r="D9" s="352"/>
      <c r="E9" s="347" t="s">
        <v>1400</v>
      </c>
      <c r="F9" s="357">
        <f ca="1">INDIRECT("'数据-取费表'!w"&amp;$G$1)</f>
        <v>0.1</v>
      </c>
      <c r="G9" s="1850"/>
      <c r="H9" s="349"/>
      <c r="I9" s="3252"/>
      <c r="J9" s="351"/>
      <c r="K9" s="352"/>
      <c r="L9" s="358" t="s">
        <v>1400</v>
      </c>
      <c r="M9" s="359">
        <f ca="1">INDIRECT("'数据-取费表'!ab"&amp;$G$1)</f>
        <v>0</v>
      </c>
    </row>
    <row r="10" spans="1:37" ht="18" customHeight="1">
      <c r="A10" s="1291" t="s">
        <v>1035</v>
      </c>
      <c r="B10" s="1822" t="s">
        <v>1401</v>
      </c>
      <c r="C10" s="361">
        <f ca="1">ROUND(IF(F10="押一",C6/12*F11,IF(F10="押二",C6/12*2*F11,IF(F10="押三",C6/12*3*F11,C11*F11))),0)</f>
        <v>21</v>
      </c>
      <c r="D10" s="1823" t="s">
        <v>2987</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67882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44742</v>
      </c>
      <c r="D14" s="1799" t="s">
        <v>1410</v>
      </c>
      <c r="E14" s="1793"/>
      <c r="F14" s="364"/>
      <c r="G14" s="1850"/>
      <c r="H14" s="1201" t="s">
        <v>1031</v>
      </c>
      <c r="I14" s="347" t="s">
        <v>1411</v>
      </c>
      <c r="J14" s="24">
        <f ca="1">C29</f>
        <v>67882</v>
      </c>
      <c r="K14" s="15"/>
      <c r="L14" s="979"/>
      <c r="M14" s="980"/>
    </row>
    <row r="15" spans="1:37" s="1857" customFormat="1" ht="18" customHeight="1" thickBot="1">
      <c r="A15" s="1201" t="s">
        <v>1032</v>
      </c>
      <c r="B15" s="347" t="s">
        <v>1412</v>
      </c>
      <c r="C15" s="24">
        <f ca="1">ROUND(C14*F15,0)</f>
        <v>2237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1936</v>
      </c>
      <c r="K16" s="1337" t="s">
        <v>1417</v>
      </c>
      <c r="L16" s="1338"/>
      <c r="M16" s="1294"/>
    </row>
    <row r="17" spans="1:37" s="1857" customFormat="1" ht="18" customHeight="1">
      <c r="A17" s="1201" t="s">
        <v>1382</v>
      </c>
      <c r="B17" s="347" t="s">
        <v>1418</v>
      </c>
      <c r="C17" s="24">
        <f ca="1">ROUND(F17*(F43+INDIRECT("'数据-取费表'!S"&amp;$G$1))/10000,0)</f>
        <v>2575</v>
      </c>
      <c r="D17" s="347" t="s">
        <v>1419</v>
      </c>
      <c r="E17" s="347" t="s">
        <v>1420</v>
      </c>
      <c r="F17" s="26">
        <f>'数据-取费表'!B35</f>
        <v>200</v>
      </c>
      <c r="G17" s="1853"/>
      <c r="H17" s="1201" t="s">
        <v>1031</v>
      </c>
      <c r="I17" s="347" t="s">
        <v>1421</v>
      </c>
      <c r="J17" s="24">
        <f ca="1">ROUND(IF(项目基本情况!B11="自然人",J5*M17,J18+J19+J20),1)</f>
        <v>577.9</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671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50225</v>
      </c>
      <c r="D19" s="140" t="s">
        <v>1428</v>
      </c>
      <c r="E19" s="1817"/>
      <c r="F19" s="26"/>
      <c r="G19" s="1850"/>
      <c r="H19" s="1201" t="s">
        <v>1032</v>
      </c>
      <c r="I19" s="347" t="s">
        <v>1429</v>
      </c>
      <c r="J19" s="24">
        <f ca="1">IF(K19="按租金收入计税",ROUND(J5*M19,2),ROUND(C29*M19*0.7,2))</f>
        <v>570.21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1005</v>
      </c>
      <c r="D20" s="369" t="s">
        <v>1432</v>
      </c>
      <c r="E20" s="347" t="s">
        <v>1414</v>
      </c>
      <c r="F20" s="367">
        <f>'数据-取费表'!B37</f>
        <v>0.02</v>
      </c>
      <c r="G20" s="1853"/>
      <c r="H20" s="1201" t="s">
        <v>1381</v>
      </c>
      <c r="I20" s="164" t="s">
        <v>1433</v>
      </c>
      <c r="J20" s="25">
        <f ca="1">ROUND(M20*M21/10000,2)</f>
        <v>7.73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25778.44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1357.6</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3693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-1936</v>
      </c>
      <c r="K25" s="1345" t="s">
        <v>1456</v>
      </c>
      <c r="L25" s="1346"/>
      <c r="M25" s="1347"/>
    </row>
    <row r="26" spans="1:37">
      <c r="A26" s="1201" t="s">
        <v>1030</v>
      </c>
      <c r="B26" s="347" t="s">
        <v>1457</v>
      </c>
      <c r="C26" s="24">
        <f ca="1">ROUND((C19+C20)*F26,0)</f>
        <v>7685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67882</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4695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2871.2</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881.07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1982.4</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7.73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25778.44</v>
      </c>
      <c r="G35" s="1850"/>
      <c r="H35" s="745"/>
      <c r="I35" s="1859"/>
      <c r="J35" s="1860"/>
      <c r="K35" s="1861"/>
      <c r="L35" s="1858"/>
      <c r="M35" s="1858"/>
    </row>
    <row r="36" spans="1:18" ht="18" customHeight="1">
      <c r="A36" s="1352" t="s">
        <v>1035</v>
      </c>
      <c r="B36" s="347" t="s">
        <v>1441</v>
      </c>
      <c r="C36" s="24">
        <f ca="1">ROUND(C29*F36,1)</f>
        <v>1357.6</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135.80000000000001</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330.4</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11825</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282369</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22488</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-400700</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282369</v>
      </c>
      <c r="R47" s="1885" t="s">
        <v>1521</v>
      </c>
    </row>
    <row r="48" spans="1:18" s="1841" customFormat="1" ht="28.5" thickBot="1">
      <c r="A48" s="1360" t="s">
        <v>1131</v>
      </c>
      <c r="B48" s="345" t="s">
        <v>1393</v>
      </c>
      <c r="C48" s="1816">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67882</v>
      </c>
      <c r="R49" s="1885" t="s">
        <v>1521</v>
      </c>
    </row>
    <row r="50" spans="1:18" s="1841" customFormat="1" ht="13.5"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107740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8" t="s">
        <v>1540</v>
      </c>
      <c r="L53" s="3249"/>
      <c r="O53" s="1883" t="s">
        <v>1042</v>
      </c>
      <c r="P53" s="1884" t="s">
        <v>1541</v>
      </c>
      <c r="Q53" s="1885">
        <f ca="1">Q47+Q48</f>
        <v>282369</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67882</v>
      </c>
      <c r="D56" s="1913"/>
      <c r="E56" s="1914"/>
      <c r="F56" s="1906"/>
      <c r="I56" s="1915" t="s">
        <v>1546</v>
      </c>
      <c r="J56" s="1916" t="s">
        <v>3023</v>
      </c>
      <c r="K56" s="1886" t="s">
        <v>1547</v>
      </c>
      <c r="L56" s="1889" t="str">
        <f ca="1">IF(L48&lt;J51,"——",L48-J53)</f>
        <v>——</v>
      </c>
      <c r="O56" s="1883" t="s">
        <v>1036</v>
      </c>
      <c r="P56" s="1884" t="s">
        <v>1520</v>
      </c>
      <c r="Q56" s="1885">
        <f ca="1">C40+J29</f>
        <v>282369</v>
      </c>
      <c r="R56" s="1885" t="s">
        <v>1521</v>
      </c>
    </row>
    <row r="57" spans="1:18" s="1841" customFormat="1" ht="24.75" thickBot="1">
      <c r="A57" s="1917"/>
      <c r="B57" s="1169" t="s">
        <v>1470</v>
      </c>
      <c r="C57" s="282">
        <f ca="1">C29</f>
        <v>67882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7203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5709.8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5702.09</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7.73</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282369</v>
      </c>
      <c r="R62" s="1885" t="s">
        <v>1043</v>
      </c>
    </row>
    <row r="63" spans="1:18" s="1841" customFormat="1" ht="13.5" thickBot="1">
      <c r="A63" s="372"/>
      <c r="B63" s="1175"/>
      <c r="C63" s="29"/>
      <c r="D63" s="1185"/>
      <c r="E63" s="1169" t="s">
        <v>1491</v>
      </c>
      <c r="F63" s="348">
        <f t="shared" ca="1" si="0"/>
        <v>25778.44</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1357.6</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135.80000000000001</v>
      </c>
      <c r="D65" s="1183" t="s">
        <v>1446</v>
      </c>
      <c r="E65" s="1169" t="s">
        <v>1447</v>
      </c>
      <c r="F65" s="376">
        <f t="shared" ca="1" si="0"/>
        <v>2E-3</v>
      </c>
      <c r="I65" s="1928" t="s">
        <v>1571</v>
      </c>
      <c r="J65" s="1929">
        <v>40</v>
      </c>
      <c r="K65" s="1929">
        <v>30</v>
      </c>
      <c r="L65" s="1929">
        <v>50</v>
      </c>
      <c r="M65" s="1931">
        <v>0.02</v>
      </c>
      <c r="O65" s="1883" t="s">
        <v>1036</v>
      </c>
      <c r="P65" s="1884" t="s">
        <v>1572</v>
      </c>
      <c r="Q65" s="1885">
        <f ca="1">C40+J29</f>
        <v>282369</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-7203</v>
      </c>
      <c r="D67" s="1182" t="s">
        <v>1456</v>
      </c>
      <c r="E67" s="1187"/>
      <c r="F67" s="1188"/>
      <c r="O67" s="1893" t="s">
        <v>1038</v>
      </c>
      <c r="P67" s="1884" t="s">
        <v>1554</v>
      </c>
      <c r="Q67" s="1932">
        <f ca="1">L51</f>
        <v>107740</v>
      </c>
      <c r="R67" s="1885" t="s">
        <v>1574</v>
      </c>
    </row>
    <row r="68" spans="1:18" s="1841" customFormat="1" ht="16.5" thickBot="1">
      <c r="A68" s="1166" t="s">
        <v>1028</v>
      </c>
      <c r="B68" s="1167" t="s">
        <v>1477</v>
      </c>
      <c r="C68" s="346">
        <f ca="1">ROUND(C67*(1-((1+F70)/(1+F68))^F69)/(F68-F70),0)</f>
        <v>-118331</v>
      </c>
      <c r="D68" s="1184" t="s">
        <v>1461</v>
      </c>
      <c r="E68" s="1169" t="s">
        <v>1462</v>
      </c>
      <c r="F68" s="357">
        <f ca="1">F40</f>
        <v>5.5E-2</v>
      </c>
      <c r="O68" s="1893" t="s">
        <v>1039</v>
      </c>
      <c r="P68" s="1933" t="s">
        <v>1575</v>
      </c>
      <c r="Q68" s="1885">
        <f ca="1">ROUND(Q69-Q70*Q71,0)</f>
        <v>6055</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11825</v>
      </c>
      <c r="R69" s="1885" t="s">
        <v>1521</v>
      </c>
    </row>
    <row r="70" spans="1:18" s="1841" customFormat="1" ht="13.5" thickBot="1">
      <c r="A70" s="1173"/>
      <c r="B70" s="1174"/>
      <c r="C70" s="355"/>
      <c r="D70" s="1185"/>
      <c r="E70" s="1169" t="s">
        <v>1469</v>
      </c>
      <c r="F70" s="1275"/>
      <c r="O70" s="1893" t="s">
        <v>1045</v>
      </c>
      <c r="P70" s="1933" t="s">
        <v>1577</v>
      </c>
      <c r="Q70" s="1885">
        <f ca="1">C13</f>
        <v>67882</v>
      </c>
      <c r="R70" s="1885" t="s">
        <v>1521</v>
      </c>
    </row>
    <row r="71" spans="1:18" s="1841" customFormat="1" ht="13.5" thickBot="1">
      <c r="A71" s="1190" t="s">
        <v>1029</v>
      </c>
      <c r="B71" s="1191" t="s">
        <v>1479</v>
      </c>
      <c r="C71" s="382">
        <f ca="1">ROUND(C68*10000/F71,0)</f>
        <v>-9424</v>
      </c>
      <c r="D71" s="1192" t="s">
        <v>1480</v>
      </c>
      <c r="E71" s="1193" t="s">
        <v>1481</v>
      </c>
      <c r="F71" s="385">
        <f ca="1">F43</f>
        <v>125562.38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5770</v>
      </c>
      <c r="D75" s="1841"/>
      <c r="E75" s="1841"/>
      <c r="F75" s="1841"/>
      <c r="K75" s="1867"/>
      <c r="L75" s="1841"/>
      <c r="O75" s="1883" t="s">
        <v>1042</v>
      </c>
      <c r="P75" s="1884" t="s">
        <v>1541</v>
      </c>
      <c r="Q75" s="1885">
        <f ca="1">Q65+Q66</f>
        <v>282369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0.51200000000000001</v>
      </c>
    </row>
    <row r="80" spans="1:18">
      <c r="B80" s="386" t="s">
        <v>1503</v>
      </c>
      <c r="C80" s="318">
        <f ca="1">ROUND(C75/C39,3)</f>
        <v>0.48799999999999999</v>
      </c>
    </row>
    <row r="81" spans="2:3">
      <c r="B81" s="314" t="s">
        <v>1504</v>
      </c>
      <c r="C81" s="282"/>
    </row>
    <row r="82" spans="2:3">
      <c r="B82" s="317" t="s">
        <v>1505</v>
      </c>
      <c r="C82" s="319">
        <f ca="1">1-C83</f>
        <v>0.76</v>
      </c>
    </row>
    <row r="83" spans="2:3">
      <c r="B83" s="317" t="s">
        <v>1506</v>
      </c>
      <c r="C83" s="318">
        <f ca="1">ROUND(C13/C40,3)</f>
        <v>0.24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50" t="s">
        <v>1395</v>
      </c>
      <c r="C6" s="1296">
        <f ca="1">ROUND(F6*F8*F7*(1-F9),0)</f>
        <v>0</v>
      </c>
      <c r="D6" s="164" t="s">
        <v>2975</v>
      </c>
      <c r="E6" s="347" t="s">
        <v>1397</v>
      </c>
      <c r="F6" s="348">
        <f ca="1">INDIRECT("'数据-取费表'!u"&amp;$G$1)</f>
        <v>0</v>
      </c>
      <c r="G6" s="1850"/>
      <c r="H6" s="1291" t="s">
        <v>1031</v>
      </c>
      <c r="I6" s="3250" t="s">
        <v>1395</v>
      </c>
      <c r="J6" s="346">
        <f ca="1">ROUND(M6*M8*M7*(1-M9),0)</f>
        <v>0</v>
      </c>
      <c r="K6" s="1833" t="s">
        <v>2976</v>
      </c>
      <c r="L6" s="347" t="s">
        <v>1397</v>
      </c>
      <c r="M6" s="348">
        <f ca="1">INDIRECT("'数据-取费表'!z"&amp;$G$1)</f>
        <v>0</v>
      </c>
    </row>
    <row r="7" spans="1:37" ht="18" customHeight="1">
      <c r="A7" s="1295"/>
      <c r="B7" s="3251"/>
      <c r="C7" s="1297"/>
      <c r="D7" s="352"/>
      <c r="E7" s="1298" t="s">
        <v>1398</v>
      </c>
      <c r="F7" s="348">
        <f ca="1">IF(INDIRECT("'数据-取费表'!ah"&amp;$G$1)="",INDIRECT("'数据-取费表'!k"&amp;$G$1),INDIRECT("'数据-取费表'!ah"&amp;$G$1))</f>
        <v>0</v>
      </c>
      <c r="G7" s="1850"/>
      <c r="H7" s="349"/>
      <c r="I7" s="3251"/>
      <c r="J7" s="351"/>
      <c r="K7" s="352"/>
      <c r="L7" s="347" t="s">
        <v>1398</v>
      </c>
      <c r="M7" s="348">
        <f ca="1">F7</f>
        <v>0</v>
      </c>
    </row>
    <row r="8" spans="1:37" ht="18" customHeight="1">
      <c r="A8" s="349"/>
      <c r="B8" s="3251"/>
      <c r="C8" s="351"/>
      <c r="D8" s="352"/>
      <c r="E8" s="347" t="s">
        <v>1399</v>
      </c>
      <c r="F8" s="348">
        <f ca="1">INDIRECT("'数据-取费表'!ai"&amp;$G$1)</f>
        <v>0</v>
      </c>
      <c r="G8" s="1850"/>
      <c r="H8" s="349"/>
      <c r="I8" s="3251"/>
      <c r="J8" s="351"/>
      <c r="K8" s="352"/>
      <c r="L8" s="347" t="s">
        <v>1399</v>
      </c>
      <c r="M8" s="348">
        <f ca="1">INDIRECT("'数据-取费表'!ai"&amp;$G$1)</f>
        <v>0</v>
      </c>
    </row>
    <row r="9" spans="1:37" ht="18" customHeight="1">
      <c r="A9" s="349"/>
      <c r="B9" s="3252"/>
      <c r="C9" s="351"/>
      <c r="D9" s="352"/>
      <c r="E9" s="347" t="s">
        <v>1400</v>
      </c>
      <c r="F9" s="357">
        <f ca="1">INDIRECT("'数据-取费表'!w"&amp;$G$1)</f>
        <v>0</v>
      </c>
      <c r="G9" s="1850"/>
      <c r="H9" s="349"/>
      <c r="I9" s="325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48" t="s">
        <v>1540</v>
      </c>
      <c r="L53" s="3249"/>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2474</v>
      </c>
      <c r="B1" s="2564"/>
      <c r="C1" s="2564"/>
      <c r="D1" s="2564"/>
      <c r="E1" s="2565"/>
    </row>
    <row r="2" spans="1:6" ht="15.75">
      <c r="A2" s="2566" t="s">
        <v>2278</v>
      </c>
      <c r="B2" s="2567">
        <f ca="1">SUMIF(B6:B13,"&lt;&gt;#ref!",B6:B13)</f>
        <v>344316</v>
      </c>
      <c r="C2" s="2568" t="s">
        <v>2467</v>
      </c>
      <c r="D2" s="2569" t="s">
        <v>2468</v>
      </c>
      <c r="E2" s="2570">
        <f>SUM(E6:E13)</f>
        <v>231158.84999999998</v>
      </c>
    </row>
    <row r="3" spans="1:6" ht="15.75">
      <c r="A3" s="2566" t="s">
        <v>1387</v>
      </c>
      <c r="B3" s="2567">
        <f ca="1">ROUND(B2*10000/E2,0)</f>
        <v>14895</v>
      </c>
      <c r="C3" s="2568" t="s">
        <v>2475</v>
      </c>
      <c r="D3" s="2571"/>
      <c r="E3" s="2572"/>
    </row>
    <row r="4" spans="1:6" ht="15.75">
      <c r="A4" s="2573"/>
      <c r="B4" s="2571"/>
      <c r="C4" s="2571"/>
      <c r="D4" s="2571"/>
      <c r="E4" s="2572"/>
    </row>
    <row r="5" spans="1:6" ht="15">
      <c r="A5" s="2574" t="s">
        <v>2469</v>
      </c>
      <c r="B5" s="3253" t="s">
        <v>2470</v>
      </c>
      <c r="C5" s="3253"/>
      <c r="D5" s="2575"/>
      <c r="E5" s="2576" t="s">
        <v>2471</v>
      </c>
      <c r="F5" s="2577" t="s">
        <v>2472</v>
      </c>
    </row>
    <row r="6" spans="1:6">
      <c r="A6" s="2578" t="str">
        <f>'数据-取费表'!AN6</f>
        <v>收益法-办公</v>
      </c>
      <c r="B6" s="2577">
        <f ca="1">IF(F6="是",'数据-取费表'!AO6,0)</f>
        <v>282369</v>
      </c>
      <c r="C6" s="2568" t="s">
        <v>2467</v>
      </c>
      <c r="D6" s="2571"/>
      <c r="E6" s="2579">
        <f>IF(OR(A6=0,F6="否"),0,'数据-取费表'!K6+'数据-取费表'!S6)</f>
        <v>128743.39</v>
      </c>
      <c r="F6" s="2580" t="s">
        <v>2473</v>
      </c>
    </row>
    <row r="7" spans="1:6">
      <c r="A7" s="2578" t="str">
        <f>'数据-取费表'!AN7</f>
        <v>收益法-商业</v>
      </c>
      <c r="B7" s="2577">
        <f ca="1">IF(F7="是",'数据-取费表'!AO7,0)</f>
        <v>30404</v>
      </c>
      <c r="C7" s="2568" t="s">
        <v>2467</v>
      </c>
      <c r="D7" s="2571"/>
      <c r="E7" s="2579">
        <f>IF(OR(A7=0,F7="否"),0,'数据-取费表'!K7+'数据-取费表'!S7)</f>
        <v>11664.63</v>
      </c>
      <c r="F7" s="2580" t="s">
        <v>2473</v>
      </c>
    </row>
    <row r="8" spans="1:6">
      <c r="A8" s="2578" t="str">
        <f>'数据-取费表'!AN8</f>
        <v>收益法-酒店</v>
      </c>
      <c r="B8" s="2577">
        <f ca="1">IF(F8="是",'数据-取费表'!AO8,0)</f>
        <v>27474</v>
      </c>
      <c r="C8" s="2568" t="s">
        <v>2467</v>
      </c>
      <c r="D8" s="2571"/>
      <c r="E8" s="2579">
        <f>IF(OR(A8=0,F8="否"),0,'数据-取费表'!K8+'数据-取费表'!S8)</f>
        <v>19310.059999999998</v>
      </c>
      <c r="F8" s="2580" t="s">
        <v>2473</v>
      </c>
    </row>
    <row r="9" spans="1:6">
      <c r="A9" s="2578" t="str">
        <f>'数据-取费表'!AN9</f>
        <v>收益法-地下车库</v>
      </c>
      <c r="B9" s="2577">
        <f ca="1">IF(F9="是",'数据-取费表'!AO9,0)</f>
        <v>4069</v>
      </c>
      <c r="C9" s="2568" t="s">
        <v>2467</v>
      </c>
      <c r="D9" s="2571"/>
      <c r="E9" s="2579">
        <f>IF(OR(A9=0,F9="否"),0,'数据-取费表'!K9+'数据-取费表'!S9)</f>
        <v>71440.77</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80" zoomScaleNormal="80" zoomScaleSheetLayoutView="90" workbookViewId="0">
      <selection activeCell="C17" sqref="C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3001</v>
      </c>
      <c r="D1" s="1819" t="s">
        <v>3182</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30404</v>
      </c>
      <c r="C2" s="1844" t="s">
        <v>1508</v>
      </c>
      <c r="D2" s="1844"/>
      <c r="E2" s="1845"/>
      <c r="F2" s="1846"/>
      <c r="G2" s="1847"/>
      <c r="H2" s="1839"/>
      <c r="I2" s="1839"/>
      <c r="J2" s="1839"/>
      <c r="K2" s="1840"/>
      <c r="L2" s="1839"/>
      <c r="M2" s="1839"/>
    </row>
    <row r="3" spans="1:37" ht="18" customHeight="1" thickBot="1">
      <c r="A3" s="1848" t="s">
        <v>1509</v>
      </c>
      <c r="B3" s="1849">
        <f ca="1">IF(ISERROR(B2*10000/F43),0,ROUND(B2*10000/F43,0))</f>
        <v>26725</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250" t="s">
        <v>1395</v>
      </c>
      <c r="C6" s="1296">
        <f ca="1">ROUND(F6*F8*F7*(1-F9)/10000,0)</f>
        <v>2093</v>
      </c>
      <c r="D6" s="164" t="s">
        <v>2978</v>
      </c>
      <c r="E6" s="347" t="s">
        <v>1397</v>
      </c>
      <c r="F6" s="348">
        <f ca="1">INDIRECT("'数据-取费表'!u"&amp;$G$1)</f>
        <v>5.6</v>
      </c>
      <c r="G6" s="1850"/>
      <c r="H6" s="1291" t="s">
        <v>1031</v>
      </c>
      <c r="I6" s="3250" t="s">
        <v>1395</v>
      </c>
      <c r="J6" s="346">
        <f ca="1">ROUND(M6*M8*M7*(1-M9)/10000,0)</f>
        <v>0</v>
      </c>
      <c r="K6" s="164" t="s">
        <v>2977</v>
      </c>
      <c r="L6" s="347" t="s">
        <v>1397</v>
      </c>
      <c r="M6" s="348">
        <f ca="1">INDIRECT("'数据-取费表'!z"&amp;$G$1)</f>
        <v>0</v>
      </c>
    </row>
    <row r="7" spans="1:37" ht="18" customHeight="1">
      <c r="A7" s="1295"/>
      <c r="B7" s="3251"/>
      <c r="C7" s="1297"/>
      <c r="D7" s="352"/>
      <c r="E7" s="2945" t="s">
        <v>1398</v>
      </c>
      <c r="F7" s="348">
        <f ca="1">IF(INDIRECT("'数据-取费表'!ah"&amp;$G$1)="",INDIRECT("'数据-取费表'!k"&amp;$G$1),INDIRECT("'数据-取费表'!ah"&amp;$G$1))</f>
        <v>11376.42</v>
      </c>
      <c r="G7" s="1850"/>
      <c r="H7" s="349"/>
      <c r="I7" s="3251"/>
      <c r="J7" s="351"/>
      <c r="K7" s="352"/>
      <c r="L7" s="347" t="s">
        <v>1398</v>
      </c>
      <c r="M7" s="348">
        <f ca="1">F7</f>
        <v>11376.42</v>
      </c>
    </row>
    <row r="8" spans="1:37" ht="18" customHeight="1">
      <c r="A8" s="349"/>
      <c r="B8" s="3251"/>
      <c r="C8" s="351"/>
      <c r="D8" s="352"/>
      <c r="E8" s="347" t="s">
        <v>1399</v>
      </c>
      <c r="F8" s="348">
        <f ca="1">INDIRECT("'数据-取费表'!ai"&amp;$G$1)</f>
        <v>365</v>
      </c>
      <c r="G8" s="1850"/>
      <c r="H8" s="349"/>
      <c r="I8" s="3251"/>
      <c r="J8" s="351"/>
      <c r="K8" s="352"/>
      <c r="L8" s="347" t="s">
        <v>1399</v>
      </c>
      <c r="M8" s="348">
        <f ca="1">INDIRECT("'数据-取费表'!ai"&amp;$G$1)</f>
        <v>365</v>
      </c>
    </row>
    <row r="9" spans="1:37" ht="18" customHeight="1">
      <c r="A9" s="349"/>
      <c r="B9" s="3252"/>
      <c r="C9" s="351"/>
      <c r="D9" s="352"/>
      <c r="E9" s="347" t="s">
        <v>1400</v>
      </c>
      <c r="F9" s="357">
        <f ca="1">INDIRECT("'数据-取费表'!w"&amp;$G$1)</f>
        <v>0.1</v>
      </c>
      <c r="G9" s="1850"/>
      <c r="H9" s="349"/>
      <c r="I9" s="3252"/>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7555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4623</v>
      </c>
      <c r="D14" s="2948" t="s">
        <v>1410</v>
      </c>
      <c r="E14" s="2947"/>
      <c r="F14" s="364"/>
      <c r="G14" s="1850"/>
      <c r="H14" s="1201" t="s">
        <v>1031</v>
      </c>
      <c r="I14" s="347" t="s">
        <v>1411</v>
      </c>
      <c r="J14" s="24">
        <f ca="1">C29</f>
        <v>7555</v>
      </c>
      <c r="K14" s="2944"/>
      <c r="L14" s="979"/>
      <c r="M14" s="980"/>
    </row>
    <row r="15" spans="1:37" s="1857" customFormat="1" ht="18" customHeight="1" thickBot="1">
      <c r="A15" s="1201" t="s">
        <v>1032</v>
      </c>
      <c r="B15" s="347" t="s">
        <v>1412</v>
      </c>
      <c r="C15" s="24">
        <f ca="1">ROUND(C14*F15,0)</f>
        <v>231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253</v>
      </c>
      <c r="K16" s="1337" t="s">
        <v>1417</v>
      </c>
      <c r="L16" s="2950"/>
      <c r="M16" s="1294"/>
    </row>
    <row r="17" spans="1:37" s="1857" customFormat="1" ht="18" customHeight="1">
      <c r="A17" s="1201" t="s">
        <v>1382</v>
      </c>
      <c r="B17" s="347" t="s">
        <v>1418</v>
      </c>
      <c r="C17" s="24">
        <f ca="1">ROUND(F17*(F43+INDIRECT("'数据-取费表'!S"&amp;$G$1))/10000,0)</f>
        <v>233</v>
      </c>
      <c r="D17" s="347" t="s">
        <v>1419</v>
      </c>
      <c r="E17" s="347" t="s">
        <v>1420</v>
      </c>
      <c r="F17" s="26">
        <f>'数据-取费表'!B35</f>
        <v>200</v>
      </c>
      <c r="G17" s="1853"/>
      <c r="H17" s="1201" t="s">
        <v>1031</v>
      </c>
      <c r="I17" s="347" t="s">
        <v>1421</v>
      </c>
      <c r="J17" s="24">
        <f ca="1">ROUND(IF(项目基本情况!B11="自然人",J5*M17,J18+J19+J20),1)</f>
        <v>64.2</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69</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5156</v>
      </c>
      <c r="D19" s="140" t="s">
        <v>1428</v>
      </c>
      <c r="E19" s="2943"/>
      <c r="F19" s="26"/>
      <c r="G19" s="1850"/>
      <c r="H19" s="1201" t="s">
        <v>1032</v>
      </c>
      <c r="I19" s="347" t="s">
        <v>1429</v>
      </c>
      <c r="J19" s="24">
        <f ca="1">IF(K19="按租金收入计税",ROUND(J5*M19,2),ROUND(C29*M19*0.7,2))</f>
        <v>63.46</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103</v>
      </c>
      <c r="D20" s="369" t="s">
        <v>1432</v>
      </c>
      <c r="E20" s="347" t="s">
        <v>1414</v>
      </c>
      <c r="F20" s="367">
        <f>'数据-取费表'!B37</f>
        <v>0.02</v>
      </c>
      <c r="G20" s="1853"/>
      <c r="H20" s="1201" t="s">
        <v>1381</v>
      </c>
      <c r="I20" s="164" t="s">
        <v>1433</v>
      </c>
      <c r="J20" s="25">
        <f ca="1">ROUND(M20*M21/10000,2)</f>
        <v>0.7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2335.62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188.9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379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-253</v>
      </c>
      <c r="K25" s="1345" t="s">
        <v>1456</v>
      </c>
      <c r="L25" s="1346"/>
      <c r="M25" s="1347"/>
    </row>
    <row r="26" spans="1:37">
      <c r="A26" s="1201" t="s">
        <v>1030</v>
      </c>
      <c r="B26" s="347" t="s">
        <v>1457</v>
      </c>
      <c r="C26" s="24">
        <f ca="1">ROUND((C19+C20)*F26,0)</f>
        <v>1315</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7555</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624</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2335.62</v>
      </c>
      <c r="G35" s="1850"/>
      <c r="H35" s="745"/>
      <c r="I35" s="1859"/>
      <c r="J35" s="1860"/>
      <c r="K35" s="1861"/>
      <c r="L35" s="1858"/>
      <c r="M35" s="1858"/>
    </row>
    <row r="36" spans="1:18" ht="18" customHeight="1">
      <c r="A36" s="1352" t="s">
        <v>1035</v>
      </c>
      <c r="B36" s="347" t="s">
        <v>1441</v>
      </c>
      <c r="C36" s="24">
        <f ca="1">ROUND(C29*F36,1)</f>
        <v>188.9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18.899999999999999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1472</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30404</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26725</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-42479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40</v>
      </c>
      <c r="M47" s="1837" t="str">
        <f>IF(ISNUMBER(FIND("住宅",C1)),"住宅","非住宅")</f>
        <v>非住宅</v>
      </c>
      <c r="O47" s="1883" t="s">
        <v>1036</v>
      </c>
      <c r="P47" s="1884" t="s">
        <v>1520</v>
      </c>
      <c r="Q47" s="1885">
        <f ca="1">C40+J29</f>
        <v>30404</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35.17</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7555</v>
      </c>
      <c r="R49" s="1885" t="s">
        <v>1521</v>
      </c>
    </row>
    <row r="50" spans="1:18" s="1841" customFormat="1" ht="13.5"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12792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248" t="s">
        <v>1540</v>
      </c>
      <c r="L53" s="3249"/>
      <c r="O53" s="1883" t="s">
        <v>1042</v>
      </c>
      <c r="P53" s="1884" t="s">
        <v>1541</v>
      </c>
      <c r="Q53" s="1885">
        <f ca="1">Q47+Q48</f>
        <v>30404</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7555</v>
      </c>
      <c r="D56" s="1913"/>
      <c r="E56" s="1914"/>
      <c r="F56" s="1906"/>
      <c r="I56" s="1915" t="s">
        <v>1546</v>
      </c>
      <c r="J56" s="1916" t="s">
        <v>3023</v>
      </c>
      <c r="K56" s="1886" t="s">
        <v>1547</v>
      </c>
      <c r="L56" s="1889" t="str">
        <f ca="1">IF(L48&lt;J51,"——",L48-J53)</f>
        <v>——</v>
      </c>
      <c r="O56" s="1883" t="s">
        <v>1036</v>
      </c>
      <c r="P56" s="1884" t="s">
        <v>1520</v>
      </c>
      <c r="Q56" s="1885">
        <f ca="1">C40+J29</f>
        <v>30404</v>
      </c>
      <c r="R56" s="1885" t="s">
        <v>1521</v>
      </c>
    </row>
    <row r="57" spans="1:18" s="1841" customFormat="1" ht="24.75" thickBot="1">
      <c r="A57" s="1917"/>
      <c r="B57" s="1169" t="s">
        <v>1470</v>
      </c>
      <c r="C57" s="282">
        <f ca="1">C29</f>
        <v>7555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843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635.29999999999995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634.62</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30404</v>
      </c>
      <c r="R62" s="1885" t="s">
        <v>1043</v>
      </c>
    </row>
    <row r="63" spans="1:18" s="1841" customFormat="1" ht="13.5" thickBot="1">
      <c r="A63" s="372"/>
      <c r="B63" s="1175"/>
      <c r="C63" s="29"/>
      <c r="D63" s="1185"/>
      <c r="E63" s="1169" t="s">
        <v>1439</v>
      </c>
      <c r="F63" s="348">
        <f t="shared" ca="1" si="0"/>
        <v>2335.62</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188.9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18.899999999999999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30404</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-843</v>
      </c>
      <c r="D67" s="1182" t="s">
        <v>1456</v>
      </c>
      <c r="E67" s="1187"/>
      <c r="F67" s="1188"/>
      <c r="O67" s="1893" t="s">
        <v>1038</v>
      </c>
      <c r="P67" s="1884" t="s">
        <v>1554</v>
      </c>
      <c r="Q67" s="1932">
        <f ca="1">L51</f>
        <v>12792</v>
      </c>
      <c r="R67" s="1885" t="s">
        <v>1574</v>
      </c>
    </row>
    <row r="68" spans="1:18" s="1841" customFormat="1" ht="16.5" thickBot="1">
      <c r="A68" s="1166" t="s">
        <v>1028</v>
      </c>
      <c r="B68" s="1167" t="s">
        <v>1477</v>
      </c>
      <c r="C68" s="346">
        <f ca="1">ROUND(C67*(1-((1+F70)/(1+F68))^F69)/(F68-F70),0)</f>
        <v>-12075</v>
      </c>
      <c r="D68" s="1184" t="s">
        <v>1461</v>
      </c>
      <c r="E68" s="1169" t="s">
        <v>1462</v>
      </c>
      <c r="F68" s="357">
        <f ca="1">F40</f>
        <v>0.06</v>
      </c>
      <c r="O68" s="1893" t="s">
        <v>1039</v>
      </c>
      <c r="P68" s="1933" t="s">
        <v>1575</v>
      </c>
      <c r="Q68" s="1885">
        <f ca="1">ROUND(Q69-Q70*Q71,0)</f>
        <v>830</v>
      </c>
      <c r="R68" s="1885" t="s">
        <v>1047</v>
      </c>
    </row>
    <row r="69" spans="1:18" s="1841" customFormat="1" ht="13.5" thickBot="1">
      <c r="A69" s="1170"/>
      <c r="B69" s="1171"/>
      <c r="C69" s="351"/>
      <c r="D69" s="1189" t="s">
        <v>1465</v>
      </c>
      <c r="E69" s="1169" t="s">
        <v>1466</v>
      </c>
      <c r="F69" s="379">
        <f ca="1">F41</f>
        <v>33.67</v>
      </c>
      <c r="O69" s="1893" t="s">
        <v>1044</v>
      </c>
      <c r="P69" s="1933" t="s">
        <v>1576</v>
      </c>
      <c r="Q69" s="1885">
        <f ca="1">C39</f>
        <v>1472</v>
      </c>
      <c r="R69" s="1885" t="s">
        <v>1521</v>
      </c>
    </row>
    <row r="70" spans="1:18" s="1841" customFormat="1" ht="13.5" thickBot="1">
      <c r="A70" s="1173"/>
      <c r="B70" s="1174"/>
      <c r="C70" s="355"/>
      <c r="D70" s="1185"/>
      <c r="E70" s="1169" t="s">
        <v>1469</v>
      </c>
      <c r="F70" s="1275"/>
      <c r="O70" s="1893" t="s">
        <v>1045</v>
      </c>
      <c r="P70" s="1933" t="s">
        <v>1577</v>
      </c>
      <c r="Q70" s="1885">
        <f ca="1">C13</f>
        <v>7555</v>
      </c>
      <c r="R70" s="1885" t="s">
        <v>1521</v>
      </c>
    </row>
    <row r="71" spans="1:18" s="1841" customFormat="1" ht="13.5" thickBot="1">
      <c r="A71" s="1190" t="s">
        <v>1029</v>
      </c>
      <c r="B71" s="1191" t="s">
        <v>1479</v>
      </c>
      <c r="C71" s="382">
        <f ca="1">ROUND(C68*10000/F71,0)</f>
        <v>-10614</v>
      </c>
      <c r="D71" s="1192" t="s">
        <v>1480</v>
      </c>
      <c r="E71" s="1193" t="s">
        <v>1481</v>
      </c>
      <c r="F71" s="385">
        <f ca="1">F43</f>
        <v>11376.42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642</v>
      </c>
      <c r="D75" s="1841"/>
      <c r="E75" s="1841"/>
      <c r="F75" s="1841"/>
      <c r="K75" s="1867"/>
      <c r="L75" s="1841"/>
      <c r="O75" s="1883" t="s">
        <v>1042</v>
      </c>
      <c r="P75" s="1884" t="s">
        <v>1541</v>
      </c>
      <c r="Q75" s="1885">
        <f ca="1">Q65+Q66</f>
        <v>30404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0.56400000000000006</v>
      </c>
    </row>
    <row r="80" spans="1:18">
      <c r="B80" s="386" t="s">
        <v>1503</v>
      </c>
      <c r="C80" s="318">
        <f ca="1">ROUND(C75/C39,3)</f>
        <v>0.436</v>
      </c>
    </row>
    <row r="81" spans="2:3">
      <c r="B81" s="314" t="s">
        <v>1504</v>
      </c>
      <c r="C81" s="282"/>
    </row>
    <row r="82" spans="2:3">
      <c r="B82" s="317" t="s">
        <v>1505</v>
      </c>
      <c r="C82" s="319">
        <f ca="1">1-C83</f>
        <v>0.752</v>
      </c>
    </row>
    <row r="83" spans="2:3">
      <c r="B83" s="317" t="s">
        <v>1506</v>
      </c>
      <c r="C83" s="318">
        <f ca="1">ROUND(C13/C40,3)</f>
        <v>0.248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C17" sqref="C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3003</v>
      </c>
      <c r="D1" s="1819" t="s">
        <v>3182</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27474</v>
      </c>
      <c r="C2" s="1844" t="s">
        <v>1508</v>
      </c>
      <c r="D2" s="1844"/>
      <c r="E2" s="1845"/>
      <c r="F2" s="1846"/>
      <c r="G2" s="1847"/>
      <c r="H2" s="1839"/>
      <c r="I2" s="1839"/>
      <c r="J2" s="1839"/>
      <c r="K2" s="1840"/>
      <c r="L2" s="1839"/>
      <c r="M2" s="1839"/>
    </row>
    <row r="3" spans="1:37" ht="18" customHeight="1" thickBot="1">
      <c r="A3" s="1848" t="s">
        <v>1509</v>
      </c>
      <c r="B3" s="1849">
        <f ca="1">IF(ISERROR(B2*10000/F43),0,ROUND(B2*10000/F43,0))</f>
        <v>14588</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250" t="s">
        <v>1395</v>
      </c>
      <c r="C6" s="1296">
        <f ca="1">ROUND(F6*F8*F7*(1-F9)/10000,0)</f>
        <v>1774</v>
      </c>
      <c r="D6" s="164" t="s">
        <v>2978</v>
      </c>
      <c r="E6" s="347" t="s">
        <v>1397</v>
      </c>
      <c r="F6" s="348">
        <f ca="1">INDIRECT("'数据-取费表'!u"&amp;$G$1)</f>
        <v>17737500</v>
      </c>
      <c r="G6" s="1850"/>
      <c r="H6" s="1291" t="s">
        <v>1031</v>
      </c>
      <c r="I6" s="3250" t="s">
        <v>1395</v>
      </c>
      <c r="J6" s="346">
        <f ca="1">ROUND(M6*M8*M7*(1-M9)/10000,0)</f>
        <v>0</v>
      </c>
      <c r="K6" s="164" t="s">
        <v>2977</v>
      </c>
      <c r="L6" s="347" t="s">
        <v>1397</v>
      </c>
      <c r="M6" s="348">
        <f ca="1">INDIRECT("'数据-取费表'!z"&amp;$G$1)</f>
        <v>0</v>
      </c>
    </row>
    <row r="7" spans="1:37" ht="18" customHeight="1">
      <c r="A7" s="1295"/>
      <c r="B7" s="3251"/>
      <c r="C7" s="1297"/>
      <c r="D7" s="352"/>
      <c r="E7" s="2945" t="s">
        <v>1398</v>
      </c>
      <c r="F7" s="348">
        <f ca="1">IF(INDIRECT("'数据-取费表'!ah"&amp;$G$1)="",INDIRECT("'数据-取费表'!k"&amp;$G$1),INDIRECT("'数据-取费表'!ah"&amp;$G$1))</f>
        <v>1</v>
      </c>
      <c r="G7" s="1850"/>
      <c r="H7" s="349"/>
      <c r="I7" s="3251"/>
      <c r="J7" s="351"/>
      <c r="K7" s="352"/>
      <c r="L7" s="347" t="s">
        <v>1398</v>
      </c>
      <c r="M7" s="348">
        <f ca="1">F7</f>
        <v>1</v>
      </c>
    </row>
    <row r="8" spans="1:37" ht="18" customHeight="1">
      <c r="A8" s="349"/>
      <c r="B8" s="3251"/>
      <c r="C8" s="351"/>
      <c r="D8" s="352"/>
      <c r="E8" s="347" t="s">
        <v>1399</v>
      </c>
      <c r="F8" s="348">
        <f ca="1">INDIRECT("'数据-取费表'!ai"&amp;$G$1)</f>
        <v>1</v>
      </c>
      <c r="G8" s="1850"/>
      <c r="H8" s="349"/>
      <c r="I8" s="3251"/>
      <c r="J8" s="351"/>
      <c r="K8" s="352"/>
      <c r="L8" s="347" t="s">
        <v>1399</v>
      </c>
      <c r="M8" s="348">
        <f ca="1">INDIRECT("'数据-取费表'!ai"&amp;$G$1)</f>
        <v>1</v>
      </c>
    </row>
    <row r="9" spans="1:37" ht="18" customHeight="1">
      <c r="A9" s="349"/>
      <c r="B9" s="3252"/>
      <c r="C9" s="351"/>
      <c r="D9" s="352"/>
      <c r="E9" s="347" t="s">
        <v>1400</v>
      </c>
      <c r="F9" s="357">
        <f ca="1">INDIRECT("'数据-取费表'!w"&amp;$G$1)</f>
        <v>0</v>
      </c>
      <c r="G9" s="1850"/>
      <c r="H9" s="349"/>
      <c r="I9" s="325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16048</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9535</v>
      </c>
      <c r="D14" s="2948" t="s">
        <v>1410</v>
      </c>
      <c r="E14" s="2947"/>
      <c r="F14" s="364"/>
      <c r="G14" s="1850"/>
      <c r="H14" s="1201" t="s">
        <v>1031</v>
      </c>
      <c r="I14" s="347" t="s">
        <v>1411</v>
      </c>
      <c r="J14" s="24">
        <f ca="1">C29</f>
        <v>16048</v>
      </c>
      <c r="K14" s="2944"/>
      <c r="L14" s="979"/>
      <c r="M14" s="980"/>
    </row>
    <row r="15" spans="1:37" s="1857" customFormat="1" ht="18" customHeight="1" thickBot="1">
      <c r="A15" s="1201" t="s">
        <v>1032</v>
      </c>
      <c r="B15" s="347" t="s">
        <v>1412</v>
      </c>
      <c r="C15" s="24">
        <f ca="1">ROUND(C14*F15,0)</f>
        <v>477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537</v>
      </c>
      <c r="K16" s="1337" t="s">
        <v>1417</v>
      </c>
      <c r="L16" s="2950"/>
      <c r="M16" s="1294"/>
    </row>
    <row r="17" spans="1:37" s="1857" customFormat="1" ht="18" customHeight="1">
      <c r="A17" s="1201" t="s">
        <v>1382</v>
      </c>
      <c r="B17" s="347" t="s">
        <v>1418</v>
      </c>
      <c r="C17" s="24">
        <f ca="1">ROUND(F17*(F43+INDIRECT("'数据-取费表'!S"&amp;$G$1))/10000,0)</f>
        <v>386</v>
      </c>
      <c r="D17" s="347" t="s">
        <v>1419</v>
      </c>
      <c r="E17" s="347" t="s">
        <v>1420</v>
      </c>
      <c r="F17" s="26">
        <f>'数据-取费表'!B35</f>
        <v>200</v>
      </c>
      <c r="G17" s="1853"/>
      <c r="H17" s="1201" t="s">
        <v>1031</v>
      </c>
      <c r="I17" s="347" t="s">
        <v>1421</v>
      </c>
      <c r="J17" s="24">
        <f ca="1">ROUND(IF(项目基本情况!B11="自然人",J5*M17,J18+J19+J20),1)</f>
        <v>136</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143</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10541</v>
      </c>
      <c r="D19" s="140" t="s">
        <v>1428</v>
      </c>
      <c r="E19" s="2943"/>
      <c r="F19" s="26"/>
      <c r="G19" s="1850"/>
      <c r="H19" s="1201" t="s">
        <v>1032</v>
      </c>
      <c r="I19" s="347" t="s">
        <v>1429</v>
      </c>
      <c r="J19" s="24">
        <f ca="1">IF(K19="按租金收入计税",ROUND(J5*M19,2),ROUND(C29*M19*0.7,2))</f>
        <v>134.80000000000001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211</v>
      </c>
      <c r="D20" s="369" t="s">
        <v>1432</v>
      </c>
      <c r="E20" s="347" t="s">
        <v>1414</v>
      </c>
      <c r="F20" s="367">
        <f>'数据-取费表'!B37</f>
        <v>0.02</v>
      </c>
      <c r="G20" s="1853"/>
      <c r="H20" s="1201" t="s">
        <v>1381</v>
      </c>
      <c r="I20" s="164" t="s">
        <v>1433</v>
      </c>
      <c r="J20" s="25">
        <f ca="1">ROUND(M20*M21/10000,2)</f>
        <v>1.1599999999999999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3866.4700000000003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401.2</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775</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-537</v>
      </c>
      <c r="K25" s="1345" t="s">
        <v>1456</v>
      </c>
      <c r="L25" s="1346"/>
      <c r="M25" s="1347"/>
    </row>
    <row r="26" spans="1:37">
      <c r="A26" s="1201" t="s">
        <v>1030</v>
      </c>
      <c r="B26" s="347" t="s">
        <v>1457</v>
      </c>
      <c r="C26" s="24">
        <f ca="1">ROUND((C19+C20)*F26,0)</f>
        <v>3226</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16048</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716</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230.6</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134.80000000000001</v>
      </c>
      <c r="D33" s="1827" t="s">
        <v>3190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1.1599999999999999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3866.4700000000003</v>
      </c>
      <c r="G35" s="1850"/>
      <c r="H35" s="745"/>
      <c r="I35" s="1859"/>
      <c r="J35" s="1860"/>
      <c r="K35" s="1861"/>
      <c r="L35" s="1858"/>
      <c r="M35" s="1858"/>
    </row>
    <row r="36" spans="1:18" ht="18" customHeight="1">
      <c r="A36" s="1352" t="s">
        <v>1035</v>
      </c>
      <c r="B36" s="347" t="s">
        <v>1441</v>
      </c>
      <c r="C36" s="24">
        <f ca="1">ROUND(C29*F36,1)</f>
        <v>401.2</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40.1</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1058</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27474</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14588</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-36953</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27474</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16048</v>
      </c>
      <c r="R49" s="1885" t="s">
        <v>1521</v>
      </c>
    </row>
    <row r="50" spans="1:18" s="1841" customFormat="1" ht="13.5"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-5446</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8" t="s">
        <v>1540</v>
      </c>
      <c r="L53" s="3249"/>
      <c r="O53" s="1883" t="s">
        <v>1042</v>
      </c>
      <c r="P53" s="1884" t="s">
        <v>1541</v>
      </c>
      <c r="Q53" s="1885">
        <f ca="1">Q47+Q48</f>
        <v>27474</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16048</v>
      </c>
      <c r="D56" s="1913"/>
      <c r="E56" s="1914"/>
      <c r="F56" s="1906"/>
      <c r="I56" s="1915" t="s">
        <v>1546</v>
      </c>
      <c r="J56" s="1916" t="s">
        <v>3023</v>
      </c>
      <c r="K56" s="1886" t="s">
        <v>1547</v>
      </c>
      <c r="L56" s="1889" t="str">
        <f ca="1">IF(L48&lt;J51,"——",L48-J53)</f>
        <v>——</v>
      </c>
      <c r="O56" s="1883" t="s">
        <v>1036</v>
      </c>
      <c r="P56" s="1884" t="s">
        <v>1520</v>
      </c>
      <c r="Q56" s="1885">
        <f ca="1">C40+J29</f>
        <v>27474</v>
      </c>
      <c r="R56" s="1885" t="s">
        <v>1521</v>
      </c>
    </row>
    <row r="57" spans="1:18" s="1841" customFormat="1" ht="24.75" thickBot="1">
      <c r="A57" s="1917"/>
      <c r="B57" s="1169" t="s">
        <v>1470</v>
      </c>
      <c r="C57" s="282">
        <f ca="1">C29</f>
        <v>16048</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577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136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134.80000000000001</v>
      </c>
      <c r="D61" s="1827" t="s">
        <v>1430</v>
      </c>
      <c r="E61" s="1169" t="s">
        <v>1414</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1.1599999999999999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27474</v>
      </c>
      <c r="R62" s="1885" t="s">
        <v>1043</v>
      </c>
    </row>
    <row r="63" spans="1:18" s="1841" customFormat="1" ht="13.5" thickBot="1">
      <c r="A63" s="372"/>
      <c r="B63" s="1175"/>
      <c r="C63" s="29"/>
      <c r="D63" s="1185"/>
      <c r="E63" s="1169" t="s">
        <v>1439</v>
      </c>
      <c r="F63" s="348">
        <f t="shared" ca="1" si="0"/>
        <v>3866.4700000000003</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401.2</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40.1</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27474</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-577</v>
      </c>
      <c r="D67" s="1182" t="s">
        <v>1456</v>
      </c>
      <c r="E67" s="1187"/>
      <c r="F67" s="1188"/>
      <c r="O67" s="1893" t="s">
        <v>1038</v>
      </c>
      <c r="P67" s="1884" t="s">
        <v>1554</v>
      </c>
      <c r="Q67" s="1932">
        <f ca="1">L51</f>
        <v>-5446</v>
      </c>
      <c r="R67" s="1885" t="s">
        <v>1574</v>
      </c>
    </row>
    <row r="68" spans="1:18" s="1841" customFormat="1" ht="16.5" thickBot="1">
      <c r="A68" s="1166" t="s">
        <v>1028</v>
      </c>
      <c r="B68" s="1167" t="s">
        <v>1477</v>
      </c>
      <c r="C68" s="346">
        <f ca="1">ROUND(C67*(1-((1+F70)/(1+F68))^F69)/(F68-F70),0)</f>
        <v>-9479</v>
      </c>
      <c r="D68" s="1184" t="s">
        <v>1461</v>
      </c>
      <c r="E68" s="1169" t="s">
        <v>1462</v>
      </c>
      <c r="F68" s="357">
        <f ca="1">F40</f>
        <v>5.5E-2</v>
      </c>
      <c r="O68" s="1893" t="s">
        <v>1039</v>
      </c>
      <c r="P68" s="1933" t="s">
        <v>1575</v>
      </c>
      <c r="Q68" s="1885">
        <f ca="1">ROUND(Q69-Q70*Q71,0)</f>
        <v>-306</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1058</v>
      </c>
      <c r="R69" s="1885" t="s">
        <v>1521</v>
      </c>
    </row>
    <row r="70" spans="1:18" s="1841" customFormat="1" ht="13.5" thickBot="1">
      <c r="A70" s="1173"/>
      <c r="B70" s="1174"/>
      <c r="C70" s="355"/>
      <c r="D70" s="1185"/>
      <c r="E70" s="1169" t="s">
        <v>1469</v>
      </c>
      <c r="F70" s="1275"/>
      <c r="O70" s="1893" t="s">
        <v>1045</v>
      </c>
      <c r="P70" s="1933" t="s">
        <v>1577</v>
      </c>
      <c r="Q70" s="1885">
        <f ca="1">C13</f>
        <v>16048</v>
      </c>
      <c r="R70" s="1885" t="s">
        <v>1521</v>
      </c>
    </row>
    <row r="71" spans="1:18" s="1841" customFormat="1" ht="13.5" thickBot="1">
      <c r="A71" s="1190" t="s">
        <v>1029</v>
      </c>
      <c r="B71" s="1191" t="s">
        <v>1479</v>
      </c>
      <c r="C71" s="382">
        <f ca="1">ROUND(C68*10000/F71,0)</f>
        <v>-5033</v>
      </c>
      <c r="D71" s="1192" t="s">
        <v>1480</v>
      </c>
      <c r="E71" s="1193" t="s">
        <v>1481</v>
      </c>
      <c r="F71" s="385">
        <f ca="1">F43</f>
        <v>18832.939999999999</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1364</v>
      </c>
      <c r="D75" s="1841"/>
      <c r="E75" s="1841"/>
      <c r="F75" s="1841"/>
      <c r="K75" s="1867"/>
      <c r="L75" s="1841"/>
      <c r="O75" s="1883" t="s">
        <v>1042</v>
      </c>
      <c r="P75" s="1884" t="s">
        <v>1541</v>
      </c>
      <c r="Q75" s="1885">
        <f ca="1">Q65+Q66</f>
        <v>27474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-0.28899999999999992</v>
      </c>
    </row>
    <row r="80" spans="1:18">
      <c r="B80" s="386" t="s">
        <v>1503</v>
      </c>
      <c r="C80" s="318">
        <f ca="1">ROUND(C75/C39,3)</f>
        <v>1.2889999999999999</v>
      </c>
    </row>
    <row r="81" spans="2:3">
      <c r="B81" s="314" t="s">
        <v>1504</v>
      </c>
      <c r="C81" s="282"/>
    </row>
    <row r="82" spans="2:3">
      <c r="B82" s="317" t="s">
        <v>1505</v>
      </c>
      <c r="C82" s="319">
        <f ca="1">1-C83</f>
        <v>0.41600000000000004</v>
      </c>
    </row>
    <row r="83" spans="2:3">
      <c r="B83" s="317" t="s">
        <v>1506</v>
      </c>
      <c r="C83" s="318">
        <f ca="1">ROUND(C13/C40,3)</f>
        <v>0.58399999999999996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2019年3月13日（评估专业人员实地查勘之日）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7" zoomScale="80" zoomScaleNormal="8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3021</v>
      </c>
      <c r="D1" s="1819" t="s">
        <v>3182</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4069</v>
      </c>
      <c r="C2" s="1844" t="s">
        <v>1508</v>
      </c>
      <c r="D2" s="1844"/>
      <c r="E2" s="1845"/>
      <c r="F2" s="1846"/>
      <c r="G2" s="1847"/>
      <c r="H2" s="1839"/>
      <c r="I2" s="1839"/>
      <c r="J2" s="1839"/>
      <c r="K2" s="1840"/>
      <c r="L2" s="1839"/>
      <c r="M2" s="1839"/>
    </row>
    <row r="3" spans="1:37" ht="18" customHeight="1" thickBot="1">
      <c r="A3" s="1848" t="s">
        <v>1509</v>
      </c>
      <c r="B3" s="1849">
        <f ca="1">IF(ISERROR(B2*10000/F43),0,ROUND(B2*10000/F43,0))</f>
        <v>584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753</v>
      </c>
      <c r="D5" s="1821" t="s">
        <v>1394</v>
      </c>
      <c r="E5" s="1293"/>
      <c r="F5" s="1294"/>
      <c r="G5" s="1850"/>
      <c r="H5" s="344">
        <v>1</v>
      </c>
      <c r="I5" s="345" t="s">
        <v>1393</v>
      </c>
      <c r="J5" s="1292">
        <f ca="1">J6+J10+J12</f>
        <v>0</v>
      </c>
      <c r="K5" s="1821" t="s">
        <v>1394</v>
      </c>
      <c r="L5" s="1293"/>
      <c r="M5" s="1294"/>
    </row>
    <row r="6" spans="1:37" ht="18" customHeight="1">
      <c r="A6" s="1291" t="s">
        <v>1031</v>
      </c>
      <c r="B6" s="3250" t="s">
        <v>1395</v>
      </c>
      <c r="C6" s="1296">
        <f ca="1">ROUND(F6*F8*F7*(1-F9)/10000,0)</f>
        <v>753</v>
      </c>
      <c r="D6" s="164" t="s">
        <v>2978</v>
      </c>
      <c r="E6" s="347" t="s">
        <v>1397</v>
      </c>
      <c r="F6" s="348">
        <f ca="1">INDIRECT("'数据-取费表'!u"&amp;$G$1)</f>
        <v>500</v>
      </c>
      <c r="G6" s="1850"/>
      <c r="H6" s="1291" t="s">
        <v>1031</v>
      </c>
      <c r="I6" s="3250" t="s">
        <v>1395</v>
      </c>
      <c r="J6" s="346">
        <f ca="1">ROUND(M6*M8*M7*(1-M9)/10000,0)</f>
        <v>0</v>
      </c>
      <c r="K6" s="164" t="s">
        <v>2977</v>
      </c>
      <c r="L6" s="347" t="s">
        <v>1397</v>
      </c>
      <c r="M6" s="348">
        <f ca="1">INDIRECT("'数据-取费表'!z"&amp;$G$1)</f>
        <v>0</v>
      </c>
    </row>
    <row r="7" spans="1:37" ht="18" customHeight="1">
      <c r="A7" s="1295"/>
      <c r="B7" s="3251"/>
      <c r="C7" s="1297"/>
      <c r="D7" s="352"/>
      <c r="E7" s="2945" t="s">
        <v>1398</v>
      </c>
      <c r="F7" s="348">
        <f ca="1">IF(INDIRECT("'数据-取费表'!ah"&amp;$G$1)="",INDIRECT("'数据-取费表'!k"&amp;$G$1),INDIRECT("'数据-取费表'!ah"&amp;$G$1))</f>
        <v>1394</v>
      </c>
      <c r="G7" s="1850"/>
      <c r="H7" s="349"/>
      <c r="I7" s="3251"/>
      <c r="J7" s="351"/>
      <c r="K7" s="352"/>
      <c r="L7" s="347" t="s">
        <v>1398</v>
      </c>
      <c r="M7" s="348">
        <f ca="1">F7</f>
        <v>1394</v>
      </c>
    </row>
    <row r="8" spans="1:37" ht="18" customHeight="1">
      <c r="A8" s="349"/>
      <c r="B8" s="3251"/>
      <c r="C8" s="351"/>
      <c r="D8" s="352"/>
      <c r="E8" s="347" t="s">
        <v>1399</v>
      </c>
      <c r="F8" s="348">
        <f ca="1">INDIRECT("'数据-取费表'!ai"&amp;$G$1)</f>
        <v>12</v>
      </c>
      <c r="G8" s="1850"/>
      <c r="H8" s="349"/>
      <c r="I8" s="3251"/>
      <c r="J8" s="351"/>
      <c r="K8" s="352"/>
      <c r="L8" s="347" t="s">
        <v>1399</v>
      </c>
      <c r="M8" s="348">
        <f ca="1">INDIRECT("'数据-取费表'!ai"&amp;$G$1)</f>
        <v>12</v>
      </c>
    </row>
    <row r="9" spans="1:37" ht="18" customHeight="1">
      <c r="A9" s="349"/>
      <c r="B9" s="3252"/>
      <c r="C9" s="351"/>
      <c r="D9" s="352"/>
      <c r="E9" s="347" t="s">
        <v>1400</v>
      </c>
      <c r="F9" s="357">
        <f ca="1">INDIRECT("'数据-取费表'!w"&amp;$G$1)</f>
        <v>0.1</v>
      </c>
      <c r="G9" s="1850"/>
      <c r="H9" s="349"/>
      <c r="I9" s="325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26479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17860</v>
      </c>
      <c r="D14" s="2948" t="s">
        <v>1410</v>
      </c>
      <c r="E14" s="2947"/>
      <c r="F14" s="364"/>
      <c r="G14" s="1850"/>
      <c r="H14" s="1201" t="s">
        <v>1031</v>
      </c>
      <c r="I14" s="347" t="s">
        <v>1411</v>
      </c>
      <c r="J14" s="24">
        <f ca="1">C29</f>
        <v>26479</v>
      </c>
      <c r="K14" s="2944"/>
      <c r="L14" s="979"/>
      <c r="M14" s="980"/>
    </row>
    <row r="15" spans="1:37" s="1857" customFormat="1" ht="18" customHeight="1" thickBot="1">
      <c r="A15" s="1201" t="s">
        <v>1032</v>
      </c>
      <c r="B15" s="347" t="s">
        <v>1412</v>
      </c>
      <c r="C15" s="24">
        <f ca="1">ROUND(C14*F15,0)</f>
        <v>893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624</v>
      </c>
      <c r="K16" s="1337" t="s">
        <v>1417</v>
      </c>
      <c r="L16" s="2950"/>
      <c r="M16" s="1294"/>
    </row>
    <row r="17" spans="1:37" s="1857" customFormat="1" ht="18" customHeight="1">
      <c r="A17" s="1201" t="s">
        <v>1382</v>
      </c>
      <c r="B17" s="347" t="s">
        <v>1418</v>
      </c>
      <c r="C17" s="24">
        <f ca="1">ROUND(F17*(F43+INDIRECT("'数据-取费表'!S"&amp;$G$1))/10000,0)</f>
        <v>1429</v>
      </c>
      <c r="D17" s="347" t="s">
        <v>1419</v>
      </c>
      <c r="E17" s="347" t="s">
        <v>1420</v>
      </c>
      <c r="F17" s="26">
        <f>'数据-取费表'!B35</f>
        <v>200</v>
      </c>
      <c r="G17" s="1853"/>
      <c r="H17" s="1201" t="s">
        <v>1031</v>
      </c>
      <c r="I17" s="347" t="s">
        <v>1421</v>
      </c>
      <c r="J17" s="24">
        <f ca="1">ROUND(IF(项目基本情况!B11="自然人",J5*M17,J18+J19+J20),1)</f>
        <v>226.7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268</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20450</v>
      </c>
      <c r="D19" s="140" t="s">
        <v>1428</v>
      </c>
      <c r="E19" s="2943"/>
      <c r="F19" s="26"/>
      <c r="G19" s="1850"/>
      <c r="H19" s="1201" t="s">
        <v>1032</v>
      </c>
      <c r="I19" s="347" t="s">
        <v>1429</v>
      </c>
      <c r="J19" s="24">
        <f ca="1">IF(K19="按租金收入计税",ROUND(J5*M19,2),ROUND(C29*M19*0.7,2))</f>
        <v>222.42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409</v>
      </c>
      <c r="D20" s="369" t="s">
        <v>1432</v>
      </c>
      <c r="E20" s="347" t="s">
        <v>1414</v>
      </c>
      <c r="F20" s="367">
        <f>'数据-取费表'!B37</f>
        <v>0.02</v>
      </c>
      <c r="G20" s="1853"/>
      <c r="H20" s="1201" t="s">
        <v>1381</v>
      </c>
      <c r="I20" s="164" t="s">
        <v>1433</v>
      </c>
      <c r="J20" s="25">
        <f ca="1">ROUND(M20*M21/10000,2)</f>
        <v>4.29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14304.66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397.2</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-624</v>
      </c>
      <c r="K25" s="1345" t="s">
        <v>1456</v>
      </c>
      <c r="L25" s="1346"/>
      <c r="M25" s="1347"/>
    </row>
    <row r="26" spans="1:37">
      <c r="A26" s="1201" t="s">
        <v>1030</v>
      </c>
      <c r="B26" s="347" t="s">
        <v>1457</v>
      </c>
      <c r="C26" s="24">
        <f ca="1">ROUND((C19+C20)*F26,0)</f>
        <v>2086</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26479</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583</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134.80000000000001</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40.159999999999997</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90.36</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4.29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14304.66</v>
      </c>
      <c r="G35" s="1850"/>
      <c r="H35" s="745"/>
      <c r="I35" s="1859"/>
      <c r="J35" s="1860"/>
      <c r="K35" s="1861"/>
      <c r="L35" s="1858"/>
      <c r="M35" s="1858"/>
    </row>
    <row r="36" spans="1:18" ht="18" customHeight="1">
      <c r="A36" s="1352" t="s">
        <v>1035</v>
      </c>
      <c r="B36" s="347" t="s">
        <v>1441</v>
      </c>
      <c r="C36" s="24">
        <f ca="1">ROUND(C29*F36,1)</f>
        <v>397.2</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39.700000000000003</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11.3</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170</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4069</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584</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2970">
        <f ca="1">'收益法-地下车库'!C40/'数据-取费表'!AH9</f>
        <v>2.9189383070301291</v>
      </c>
      <c r="E44" s="1865" t="s">
        <v>3185</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-51042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4069</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26479</v>
      </c>
      <c r="R49" s="1885" t="s">
        <v>1521</v>
      </c>
    </row>
    <row r="50" spans="1:18" s="1841" customFormat="1" ht="13.5" thickBot="1">
      <c r="A50" s="1195"/>
      <c r="B50" s="1198"/>
      <c r="C50" s="1368"/>
      <c r="D50" s="1172"/>
      <c r="E50" s="1277" t="s">
        <v>1398</v>
      </c>
      <c r="F50" s="1278">
        <f ca="1">F7</f>
        <v>1394</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-39909</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8" t="s">
        <v>1540</v>
      </c>
      <c r="L53" s="3249"/>
      <c r="O53" s="1883" t="s">
        <v>1042</v>
      </c>
      <c r="P53" s="1884" t="s">
        <v>1541</v>
      </c>
      <c r="Q53" s="1885">
        <f ca="1">Q47+Q48</f>
        <v>4069</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26479</v>
      </c>
      <c r="D56" s="1913"/>
      <c r="E56" s="1914"/>
      <c r="F56" s="1906"/>
      <c r="I56" s="1915" t="s">
        <v>1546</v>
      </c>
      <c r="J56" s="1916" t="s">
        <v>3023</v>
      </c>
      <c r="K56" s="1886" t="s">
        <v>1547</v>
      </c>
      <c r="L56" s="1889" t="str">
        <f ca="1">IF(L48&lt;J51,"——",L48-J53)</f>
        <v>——</v>
      </c>
      <c r="O56" s="1883" t="s">
        <v>1036</v>
      </c>
      <c r="P56" s="1884" t="s">
        <v>1520</v>
      </c>
      <c r="Q56" s="1885">
        <f ca="1">C40+J29</f>
        <v>4069</v>
      </c>
      <c r="R56" s="1885" t="s">
        <v>1521</v>
      </c>
    </row>
    <row r="57" spans="1:18" s="1841" customFormat="1" ht="24.75" thickBot="1">
      <c r="A57" s="1917"/>
      <c r="B57" s="1169" t="s">
        <v>1470</v>
      </c>
      <c r="C57" s="282">
        <f ca="1">C29</f>
        <v>26479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2665</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2228.5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2224.2399999999998</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4.29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4069</v>
      </c>
      <c r="R62" s="1885" t="s">
        <v>1043</v>
      </c>
    </row>
    <row r="63" spans="1:18" s="1841" customFormat="1" ht="13.5" thickBot="1">
      <c r="A63" s="372"/>
      <c r="B63" s="1175"/>
      <c r="C63" s="29"/>
      <c r="D63" s="1185"/>
      <c r="E63" s="1169" t="s">
        <v>1439</v>
      </c>
      <c r="F63" s="348">
        <f t="shared" ca="1" si="0"/>
        <v>14304.66</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397.2</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39.700000000000003</v>
      </c>
      <c r="D65" s="1183" t="s">
        <v>1446</v>
      </c>
      <c r="E65" s="1169" t="s">
        <v>1414</v>
      </c>
      <c r="F65" s="376">
        <f t="shared" ca="1" si="0"/>
        <v>1.5E-3</v>
      </c>
      <c r="I65" s="1928" t="s">
        <v>1571</v>
      </c>
      <c r="J65" s="1929">
        <v>40</v>
      </c>
      <c r="K65" s="1929">
        <v>30</v>
      </c>
      <c r="L65" s="1929">
        <v>50</v>
      </c>
      <c r="M65" s="1931">
        <v>0.02</v>
      </c>
      <c r="O65" s="1883" t="s">
        <v>1036</v>
      </c>
      <c r="P65" s="1884" t="s">
        <v>1520</v>
      </c>
      <c r="Q65" s="1885">
        <f ca="1">C40+J29</f>
        <v>4069</v>
      </c>
      <c r="R65" s="1885" t="s">
        <v>1521</v>
      </c>
    </row>
    <row r="66" spans="1:18" s="1841" customFormat="1" ht="16.5"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16.5" thickBot="1">
      <c r="A67" s="1176" t="s">
        <v>1027</v>
      </c>
      <c r="B67" s="1186" t="s">
        <v>1455</v>
      </c>
      <c r="C67" s="361">
        <f ca="1">C48-C58</f>
        <v>-2665</v>
      </c>
      <c r="D67" s="1182" t="s">
        <v>1456</v>
      </c>
      <c r="E67" s="1187"/>
      <c r="F67" s="1188"/>
      <c r="O67" s="1893" t="s">
        <v>1038</v>
      </c>
      <c r="P67" s="1884" t="s">
        <v>1554</v>
      </c>
      <c r="Q67" s="1932">
        <f ca="1">L51</f>
        <v>-39909</v>
      </c>
      <c r="R67" s="1885" t="s">
        <v>1574</v>
      </c>
    </row>
    <row r="68" spans="1:18" s="1841" customFormat="1" ht="16.5" thickBot="1">
      <c r="A68" s="1166" t="s">
        <v>1028</v>
      </c>
      <c r="B68" s="1167" t="s">
        <v>1477</v>
      </c>
      <c r="C68" s="346">
        <f ca="1">ROUND(C67*(1-((1+F70)/(1+F68))^F69)/(F68-F70),0)</f>
        <v>-46973</v>
      </c>
      <c r="D68" s="1184" t="s">
        <v>1461</v>
      </c>
      <c r="E68" s="1169" t="s">
        <v>1462</v>
      </c>
      <c r="F68" s="357">
        <f ca="1">F40</f>
        <v>0.05</v>
      </c>
      <c r="O68" s="1893" t="s">
        <v>1039</v>
      </c>
      <c r="P68" s="1933" t="s">
        <v>1575</v>
      </c>
      <c r="Q68" s="1885">
        <f ca="1">ROUND(Q69-Q70*Q71,0)</f>
        <v>-2081</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170</v>
      </c>
      <c r="R69" s="1885" t="s">
        <v>1521</v>
      </c>
    </row>
    <row r="70" spans="1:18" s="1841" customFormat="1" ht="13.5" thickBot="1">
      <c r="A70" s="1173"/>
      <c r="B70" s="1174"/>
      <c r="C70" s="355"/>
      <c r="D70" s="1185"/>
      <c r="E70" s="1169" t="s">
        <v>1469</v>
      </c>
      <c r="F70" s="1275"/>
      <c r="O70" s="1893" t="s">
        <v>1045</v>
      </c>
      <c r="P70" s="1933" t="s">
        <v>1577</v>
      </c>
      <c r="Q70" s="1885">
        <f ca="1">C13</f>
        <v>26479</v>
      </c>
      <c r="R70" s="1885" t="s">
        <v>1521</v>
      </c>
    </row>
    <row r="71" spans="1:18" s="1841" customFormat="1" ht="13.5" thickBot="1">
      <c r="A71" s="1190" t="s">
        <v>1029</v>
      </c>
      <c r="B71" s="1191" t="s">
        <v>1479</v>
      </c>
      <c r="C71" s="382">
        <f ca="1">ROUND(C68*10000/F71,0)</f>
        <v>-6742</v>
      </c>
      <c r="D71" s="1192" t="s">
        <v>1480</v>
      </c>
      <c r="E71" s="1193" t="s">
        <v>1481</v>
      </c>
      <c r="F71" s="385">
        <f ca="1">F43</f>
        <v>69675.600000000006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2251</v>
      </c>
      <c r="D75" s="1841"/>
      <c r="E75" s="1841"/>
      <c r="F75" s="1841"/>
      <c r="K75" s="1867"/>
      <c r="L75" s="1841"/>
      <c r="O75" s="1883" t="s">
        <v>1042</v>
      </c>
      <c r="P75" s="1884" t="s">
        <v>1541</v>
      </c>
      <c r="Q75" s="1885">
        <f ca="1">Q65+Q66</f>
        <v>4069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-12.241</v>
      </c>
    </row>
    <row r="80" spans="1:18">
      <c r="B80" s="386" t="s">
        <v>1503</v>
      </c>
      <c r="C80" s="318">
        <f ca="1">ROUND(C75/C39,3)</f>
        <v>13.241</v>
      </c>
    </row>
    <row r="81" spans="2:3">
      <c r="B81" s="314" t="s">
        <v>1504</v>
      </c>
      <c r="C81" s="282"/>
    </row>
    <row r="82" spans="2:3">
      <c r="B82" s="317" t="s">
        <v>1505</v>
      </c>
      <c r="C82" s="319">
        <f ca="1">1-C83</f>
        <v>-5.5069999999999997</v>
      </c>
    </row>
    <row r="83" spans="2:3">
      <c r="B83" s="317" t="s">
        <v>1506</v>
      </c>
      <c r="C83" s="318">
        <f ca="1">ROUND(C13/C40,3)</f>
        <v>6.5069999999999997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19" sqref="N19"/>
    </sheetView>
  </sheetViews>
  <sheetFormatPr defaultRowHeight="13.5"/>
  <cols>
    <col min="1" max="1" width="10.5" customWidth="1"/>
    <col min="2" max="2" width="12.875" customWidth="1"/>
    <col min="3" max="3" width="8.75" customWidth="1"/>
  </cols>
  <sheetData>
    <row r="1" spans="1:9" ht="14.25">
      <c r="A1" s="3270" t="s">
        <v>1072</v>
      </c>
      <c r="B1" s="3271"/>
      <c r="C1" s="3272"/>
      <c r="D1" s="3273">
        <f>SUM(I10,I15,I20,I21,I23)</f>
        <v>3225</v>
      </c>
      <c r="E1" s="3273"/>
      <c r="F1" s="3273"/>
      <c r="G1" s="3273"/>
      <c r="H1" s="3273"/>
      <c r="I1" s="3274"/>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f>ROUND('数据-汇总表'!F21/75,0)</f>
        <v>251</v>
      </c>
      <c r="E6" s="1301">
        <v>400</v>
      </c>
      <c r="F6" s="1304">
        <v>1</v>
      </c>
      <c r="G6" s="1304">
        <v>0.8</v>
      </c>
      <c r="H6" s="1305">
        <v>365</v>
      </c>
      <c r="I6" s="1306">
        <f>ROUND(D6*E6*F6*G6*H6/10000,0)</f>
        <v>2932</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2932</v>
      </c>
    </row>
    <row r="11" spans="1:9" ht="14.25">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4.25">
      <c r="A17" s="3260"/>
      <c r="B17" s="3261" t="s">
        <v>1102</v>
      </c>
      <c r="C17" s="3261"/>
      <c r="D17" s="1303"/>
      <c r="E17" s="1303"/>
      <c r="F17" s="1304"/>
      <c r="G17" s="1305"/>
      <c r="H17" s="1315"/>
      <c r="I17" s="1316">
        <f>ROUND(D17*E17*F17*G17/10000,0)</f>
        <v>0</v>
      </c>
    </row>
    <row r="18" spans="1:9" ht="14.25">
      <c r="A18" s="3260"/>
      <c r="B18" s="3261" t="s">
        <v>1103</v>
      </c>
      <c r="C18" s="3261"/>
      <c r="D18" s="1303"/>
      <c r="E18" s="1303"/>
      <c r="F18" s="1304"/>
      <c r="G18" s="1305"/>
      <c r="H18" s="1315"/>
      <c r="I18" s="1316">
        <f>ROUND(D18*E18*F18*G18/10000,0)</f>
        <v>0</v>
      </c>
    </row>
    <row r="19" spans="1:9" ht="14.25">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3"/>
      <c r="C21" s="3263"/>
      <c r="D21" s="3263"/>
      <c r="E21" s="3263"/>
      <c r="F21" s="3263"/>
      <c r="G21" s="3263"/>
      <c r="H21" s="1764">
        <v>0.1</v>
      </c>
      <c r="I21" s="1310">
        <f>ROUND(I10*H21,0)</f>
        <v>293</v>
      </c>
    </row>
    <row r="22" spans="1:9" ht="14.25">
      <c r="A22" s="3264" t="s">
        <v>1106</v>
      </c>
      <c r="B22" s="3265"/>
      <c r="C22" s="3266"/>
      <c r="D22" s="1317" t="s">
        <v>1107</v>
      </c>
      <c r="E22" s="1317" t="s">
        <v>1108</v>
      </c>
      <c r="F22" s="1318" t="s">
        <v>1109</v>
      </c>
      <c r="G22" s="1318" t="s">
        <v>1110</v>
      </c>
      <c r="H22" s="1311" t="s">
        <v>1111</v>
      </c>
      <c r="I22" s="1302" t="s">
        <v>1112</v>
      </c>
    </row>
    <row r="23" spans="1:9" ht="14.25" thickBot="1">
      <c r="A23" s="3267"/>
      <c r="B23" s="3268"/>
      <c r="C23" s="3269"/>
      <c r="D23" s="1319"/>
      <c r="E23" s="1319"/>
      <c r="F23" s="1319"/>
      <c r="G23" s="1320"/>
      <c r="H23" s="1321"/>
      <c r="I23" s="1322">
        <f>ROUND(E23*D23*F23*(1-G23)/10000,0)</f>
        <v>0</v>
      </c>
    </row>
    <row r="26" spans="1:9">
      <c r="A26" s="1323" t="s">
        <v>1113</v>
      </c>
      <c r="B26" s="1323"/>
      <c r="C26" s="1323"/>
      <c r="D26" s="1323"/>
      <c r="E26" s="3257">
        <f>C27-C30-C31-C32</f>
        <v>1773.75</v>
      </c>
      <c r="F26" s="3257"/>
      <c r="G26" s="3257"/>
      <c r="H26" s="1736" t="s">
        <v>1332</v>
      </c>
    </row>
    <row r="27" spans="1:9">
      <c r="A27" s="1324">
        <v>1</v>
      </c>
      <c r="B27" s="1325" t="s">
        <v>1114</v>
      </c>
      <c r="C27" s="1325">
        <f>C28+C29</f>
        <v>3225</v>
      </c>
      <c r="D27" s="1325"/>
      <c r="E27" s="3258"/>
      <c r="F27" s="3258"/>
      <c r="G27" s="3258"/>
    </row>
    <row r="28" spans="1:9">
      <c r="A28" s="1326" t="s">
        <v>1115</v>
      </c>
      <c r="B28" s="1325" t="s">
        <v>1116</v>
      </c>
      <c r="C28" s="1325">
        <f>I10</f>
        <v>2932</v>
      </c>
      <c r="D28" s="1325"/>
      <c r="E28" s="3258"/>
      <c r="F28" s="3258"/>
      <c r="G28" s="3258"/>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259"/>
      <c r="F32" s="3259"/>
      <c r="G32" s="3259"/>
    </row>
    <row r="33" spans="1:7" hidden="1">
      <c r="A33" s="3254" t="s">
        <v>1125</v>
      </c>
      <c r="B33" s="3255"/>
      <c r="C33" s="3255"/>
      <c r="D33" s="3256"/>
      <c r="E33" s="3257"/>
      <c r="F33" s="3257"/>
      <c r="G33" s="3257"/>
    </row>
    <row r="34" spans="1:7" hidden="1">
      <c r="A34" s="1328">
        <v>1</v>
      </c>
      <c r="B34" s="1325" t="s">
        <v>1126</v>
      </c>
      <c r="C34" s="1325"/>
      <c r="D34" s="1325"/>
      <c r="E34" s="3258"/>
      <c r="F34" s="3258"/>
      <c r="G34" s="3258"/>
    </row>
    <row r="35" spans="1:7" hidden="1">
      <c r="A35" s="1328">
        <v>2</v>
      </c>
      <c r="B35" s="1325" t="s">
        <v>1127</v>
      </c>
      <c r="C35" s="1325"/>
      <c r="D35" s="1325"/>
      <c r="E35" s="3258"/>
      <c r="F35" s="3258"/>
      <c r="G35" s="3258"/>
    </row>
    <row r="36" spans="1:7" hidden="1">
      <c r="A36" s="1328">
        <v>3</v>
      </c>
      <c r="B36" s="1325" t="s">
        <v>1128</v>
      </c>
      <c r="C36" s="1325"/>
      <c r="D36" s="1325"/>
      <c r="E36" s="3258"/>
      <c r="F36" s="3258"/>
      <c r="G36" s="3258"/>
    </row>
    <row r="37" spans="1:7" hidden="1">
      <c r="A37" s="1328">
        <v>4</v>
      </c>
      <c r="B37" s="1325" t="s">
        <v>1129</v>
      </c>
      <c r="C37" s="1325"/>
      <c r="D37" s="1325"/>
      <c r="E37" s="3258"/>
      <c r="F37" s="3258"/>
      <c r="G37" s="3258"/>
    </row>
    <row r="38" spans="1:7" hidden="1">
      <c r="A38" s="3254" t="s">
        <v>1130</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2483</v>
      </c>
      <c r="B4" s="402"/>
      <c r="C4" s="3183" t="s">
        <v>2484</v>
      </c>
      <c r="D4" s="3196"/>
      <c r="E4" s="3197" t="s">
        <v>2485</v>
      </c>
      <c r="F4" s="3198"/>
      <c r="G4" s="3183" t="s">
        <v>2486</v>
      </c>
      <c r="H4" s="3196"/>
      <c r="I4" s="3183" t="s">
        <v>2487</v>
      </c>
      <c r="J4" s="3196"/>
      <c r="K4" s="2598" t="s">
        <v>2488</v>
      </c>
      <c r="L4" s="1130"/>
      <c r="M4" s="1131"/>
      <c r="N4" s="1131"/>
      <c r="O4" s="1131"/>
      <c r="P4" s="3199" t="s">
        <v>2489</v>
      </c>
      <c r="Q4" s="3200"/>
      <c r="R4" s="3205" t="s">
        <v>2485</v>
      </c>
      <c r="S4" s="3206"/>
      <c r="T4" s="3205" t="s">
        <v>2486</v>
      </c>
      <c r="U4" s="3206"/>
      <c r="V4" s="3192" t="s">
        <v>2487</v>
      </c>
      <c r="W4" s="3192"/>
      <c r="X4" s="1812"/>
      <c r="Y4" s="3205" t="s">
        <v>2489</v>
      </c>
      <c r="Z4" s="3206"/>
      <c r="AA4" s="3193" t="s">
        <v>2485</v>
      </c>
      <c r="AB4" s="3193" t="s">
        <v>2486</v>
      </c>
      <c r="AC4" s="3193" t="s">
        <v>2487</v>
      </c>
    </row>
    <row r="5" spans="1:29" ht="15">
      <c r="A5" s="404"/>
      <c r="B5" s="405"/>
      <c r="C5" s="3213" t="s">
        <v>2490</v>
      </c>
      <c r="D5" s="3214"/>
      <c r="E5" s="3221" t="s">
        <v>2491</v>
      </c>
      <c r="F5" s="3222"/>
      <c r="G5" s="3213" t="s">
        <v>2492</v>
      </c>
      <c r="H5" s="3214"/>
      <c r="I5" s="3213" t="s">
        <v>2493</v>
      </c>
      <c r="J5" s="3214"/>
      <c r="K5" s="2599"/>
      <c r="L5" s="1130"/>
      <c r="M5" s="1131"/>
      <c r="N5" s="1131"/>
      <c r="O5" s="1131"/>
      <c r="P5" s="3201"/>
      <c r="Q5" s="3202"/>
      <c r="R5" s="3207"/>
      <c r="S5" s="3208"/>
      <c r="T5" s="3207"/>
      <c r="U5" s="3208"/>
      <c r="V5" s="3192"/>
      <c r="W5" s="3192"/>
      <c r="X5" s="1812"/>
      <c r="Y5" s="3207"/>
      <c r="Z5" s="3208"/>
      <c r="AA5" s="3194"/>
      <c r="AB5" s="3194"/>
      <c r="AC5" s="3194"/>
    </row>
    <row r="6" spans="1:29" ht="15.75" thickBot="1">
      <c r="A6" s="406"/>
      <c r="B6" s="407"/>
      <c r="C6" s="3211" t="s">
        <v>2494</v>
      </c>
      <c r="D6" s="3212"/>
      <c r="E6" s="3219" t="s">
        <v>2494</v>
      </c>
      <c r="F6" s="3220"/>
      <c r="G6" s="3211" t="s">
        <v>2494</v>
      </c>
      <c r="H6" s="3212"/>
      <c r="I6" s="3211" t="s">
        <v>2494</v>
      </c>
      <c r="J6" s="3212"/>
      <c r="K6" s="2599" t="s">
        <v>2495</v>
      </c>
      <c r="L6" s="1130"/>
      <c r="M6" s="1131"/>
      <c r="N6" s="1131"/>
      <c r="O6" s="1131"/>
      <c r="P6" s="3203"/>
      <c r="Q6" s="3204"/>
      <c r="R6" s="3207"/>
      <c r="S6" s="3208"/>
      <c r="T6" s="3209"/>
      <c r="U6" s="3210"/>
      <c r="V6" s="3192"/>
      <c r="W6" s="3192"/>
      <c r="X6" s="1812"/>
      <c r="Y6" s="3209"/>
      <c r="Z6" s="3210"/>
      <c r="AA6" s="3195"/>
      <c r="AB6" s="3195"/>
      <c r="AC6" s="3195"/>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15" t="s">
        <v>2497</v>
      </c>
      <c r="Q7" s="3217"/>
      <c r="R7" s="770" t="s">
        <v>23</v>
      </c>
      <c r="S7" s="771">
        <f t="shared" ref="S7:S15" si="0">F7</f>
        <v>0</v>
      </c>
      <c r="T7" s="770" t="s">
        <v>23</v>
      </c>
      <c r="U7" s="771">
        <f t="shared" ref="U7:U15" si="1">H7</f>
        <v>0</v>
      </c>
      <c r="V7" s="770" t="s">
        <v>23</v>
      </c>
      <c r="W7" s="771">
        <f t="shared" ref="W7:W15" si="2">J7</f>
        <v>0</v>
      </c>
      <c r="X7" s="772"/>
      <c r="Y7" s="3215" t="s">
        <v>2497</v>
      </c>
      <c r="Z7" s="3216"/>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15" t="s">
        <v>2500</v>
      </c>
      <c r="Q8" s="3216"/>
      <c r="R8" s="770" t="s">
        <v>23</v>
      </c>
      <c r="S8" s="771">
        <f t="shared" si="0"/>
        <v>0</v>
      </c>
      <c r="T8" s="770" t="s">
        <v>23</v>
      </c>
      <c r="U8" s="771">
        <f t="shared" si="1"/>
        <v>0</v>
      </c>
      <c r="V8" s="770" t="s">
        <v>23</v>
      </c>
      <c r="W8" s="771">
        <f t="shared" si="2"/>
        <v>0</v>
      </c>
      <c r="X8" s="772"/>
      <c r="Y8" s="3215" t="s">
        <v>2500</v>
      </c>
      <c r="Z8" s="3216"/>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5" t="s">
        <v>2503</v>
      </c>
      <c r="Q9" s="1794" t="str">
        <f t="shared" ref="Q9:Q15" si="6">B9</f>
        <v>用途</v>
      </c>
      <c r="R9" s="770" t="s">
        <v>17</v>
      </c>
      <c r="S9" s="771">
        <f t="shared" si="0"/>
        <v>100</v>
      </c>
      <c r="T9" s="770" t="s">
        <v>17</v>
      </c>
      <c r="U9" s="771">
        <f t="shared" si="1"/>
        <v>100</v>
      </c>
      <c r="V9" s="770" t="s">
        <v>17</v>
      </c>
      <c r="W9" s="771">
        <f t="shared" si="2"/>
        <v>100</v>
      </c>
      <c r="X9" s="772"/>
      <c r="Y9" s="3018"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4"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5"/>
      <c r="Q12" s="1794">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5"/>
      <c r="Q13" s="1794">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5"/>
      <c r="Q14" s="1794">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2508</v>
      </c>
      <c r="Q15" s="1809" t="str">
        <f t="shared" si="6"/>
        <v>居住社区成熟度</v>
      </c>
      <c r="R15" s="774" t="s">
        <v>21</v>
      </c>
      <c r="S15" s="775">
        <f t="shared" si="0"/>
        <v>100</v>
      </c>
      <c r="T15" s="774" t="s">
        <v>21</v>
      </c>
      <c r="U15" s="775">
        <f t="shared" si="1"/>
        <v>100</v>
      </c>
      <c r="V15" s="774" t="s">
        <v>21</v>
      </c>
      <c r="W15" s="775">
        <f t="shared" si="2"/>
        <v>100</v>
      </c>
      <c r="X15" s="1812"/>
      <c r="Y15" s="3188"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28"/>
      <c r="Q16" s="1809"/>
      <c r="R16" s="774"/>
      <c r="S16" s="775"/>
      <c r="T16" s="774"/>
      <c r="U16" s="775"/>
      <c r="V16" s="774"/>
      <c r="W16" s="775"/>
      <c r="X16" s="1812"/>
      <c r="Y16" s="3189"/>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09" t="str">
        <f>B17</f>
        <v>交通便捷度</v>
      </c>
      <c r="R17" s="774" t="s">
        <v>21</v>
      </c>
      <c r="S17" s="775">
        <f>F17</f>
        <v>100</v>
      </c>
      <c r="T17" s="774" t="s">
        <v>21</v>
      </c>
      <c r="U17" s="775">
        <f>H17</f>
        <v>100</v>
      </c>
      <c r="V17" s="774" t="s">
        <v>21</v>
      </c>
      <c r="W17" s="775">
        <f>J17</f>
        <v>100</v>
      </c>
      <c r="X17" s="1812"/>
      <c r="Y17" s="3189"/>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28"/>
      <c r="Q18" s="1809"/>
      <c r="R18" s="774"/>
      <c r="S18" s="775"/>
      <c r="T18" s="774"/>
      <c r="U18" s="775"/>
      <c r="V18" s="774"/>
      <c r="W18" s="775"/>
      <c r="X18" s="1812"/>
      <c r="Y18" s="3189"/>
      <c r="Z18" s="1813"/>
      <c r="AA18" s="1810">
        <v>1</v>
      </c>
      <c r="AB18" s="1810">
        <v>1</v>
      </c>
      <c r="AC18" s="1810">
        <v>1</v>
      </c>
    </row>
    <row r="19" spans="1:29" ht="42.75">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09" t="str">
        <f>B19</f>
        <v>公共配套设施</v>
      </c>
      <c r="R19" s="774" t="s">
        <v>21</v>
      </c>
      <c r="S19" s="775">
        <f>F19</f>
        <v>100</v>
      </c>
      <c r="T19" s="774" t="s">
        <v>21</v>
      </c>
      <c r="U19" s="775">
        <f>H19</f>
        <v>100</v>
      </c>
      <c r="V19" s="774" t="s">
        <v>21</v>
      </c>
      <c r="W19" s="775">
        <f>J19</f>
        <v>100</v>
      </c>
      <c r="X19" s="1812"/>
      <c r="Y19" s="3189"/>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28"/>
      <c r="Q20" s="1809"/>
      <c r="R20" s="774"/>
      <c r="S20" s="775"/>
      <c r="T20" s="774"/>
      <c r="U20" s="775"/>
      <c r="V20" s="774"/>
      <c r="W20" s="775"/>
      <c r="X20" s="1812"/>
      <c r="Y20" s="3189"/>
      <c r="Z20" s="1813"/>
      <c r="AA20" s="1810">
        <v>1</v>
      </c>
      <c r="AB20" s="1810">
        <v>1</v>
      </c>
      <c r="AC20" s="1810">
        <v>1</v>
      </c>
    </row>
    <row r="21" spans="1:29" ht="42.75">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89"/>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28"/>
      <c r="Q22" s="1809"/>
      <c r="R22" s="774"/>
      <c r="S22" s="775"/>
      <c r="T22" s="774"/>
      <c r="U22" s="775"/>
      <c r="V22" s="774"/>
      <c r="W22" s="775"/>
      <c r="X22" s="1812"/>
      <c r="Y22" s="3189"/>
      <c r="Z22" s="1813"/>
      <c r="AA22" s="1810">
        <v>1</v>
      </c>
      <c r="AB22" s="1810">
        <v>1</v>
      </c>
      <c r="AC22" s="1810">
        <v>1</v>
      </c>
    </row>
    <row r="23" spans="1:29" ht="57">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09" t="str">
        <f>B23</f>
        <v>自然及人文环境</v>
      </c>
      <c r="R23" s="774" t="s">
        <v>21</v>
      </c>
      <c r="S23" s="775">
        <f>F23</f>
        <v>100</v>
      </c>
      <c r="T23" s="774" t="s">
        <v>21</v>
      </c>
      <c r="U23" s="775">
        <f>H23</f>
        <v>100</v>
      </c>
      <c r="V23" s="774" t="s">
        <v>21</v>
      </c>
      <c r="W23" s="775">
        <f>J23</f>
        <v>100</v>
      </c>
      <c r="X23" s="1812"/>
      <c r="Y23" s="3189"/>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28"/>
      <c r="Q24" s="1809"/>
      <c r="R24" s="774"/>
      <c r="S24" s="775"/>
      <c r="T24" s="774"/>
      <c r="U24" s="775"/>
      <c r="V24" s="774"/>
      <c r="W24" s="775"/>
      <c r="X24" s="1812"/>
      <c r="Y24" s="3189"/>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9"/>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8"/>
      <c r="Q26" s="1809" t="str">
        <f t="shared" si="11"/>
        <v>朝向</v>
      </c>
      <c r="R26" s="774" t="s">
        <v>21</v>
      </c>
      <c r="S26" s="775">
        <f t="shared" si="12"/>
        <v>100</v>
      </c>
      <c r="T26" s="774" t="s">
        <v>21</v>
      </c>
      <c r="U26" s="775">
        <f t="shared" si="13"/>
        <v>100</v>
      </c>
      <c r="V26" s="774" t="s">
        <v>21</v>
      </c>
      <c r="W26" s="775">
        <f t="shared" si="14"/>
        <v>100</v>
      </c>
      <c r="X26" s="1812"/>
      <c r="Y26" s="3189"/>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8"/>
      <c r="Q27" s="1794">
        <f t="shared" si="11"/>
        <v>111</v>
      </c>
      <c r="R27" s="770" t="s">
        <v>21</v>
      </c>
      <c r="S27" s="771">
        <f t="shared" si="12"/>
        <v>100</v>
      </c>
      <c r="T27" s="770" t="s">
        <v>21</v>
      </c>
      <c r="U27" s="771">
        <f t="shared" si="13"/>
        <v>100</v>
      </c>
      <c r="V27" s="770" t="s">
        <v>21</v>
      </c>
      <c r="W27" s="771">
        <f t="shared" si="14"/>
        <v>100</v>
      </c>
      <c r="X27" s="772"/>
      <c r="Y27" s="3189"/>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8"/>
      <c r="Q28" s="1809">
        <f t="shared" si="11"/>
        <v>111</v>
      </c>
      <c r="R28" s="774" t="s">
        <v>21</v>
      </c>
      <c r="S28" s="775">
        <f t="shared" si="12"/>
        <v>100</v>
      </c>
      <c r="T28" s="774" t="s">
        <v>21</v>
      </c>
      <c r="U28" s="775">
        <f t="shared" si="13"/>
        <v>100</v>
      </c>
      <c r="V28" s="774" t="s">
        <v>21</v>
      </c>
      <c r="W28" s="775">
        <f t="shared" si="14"/>
        <v>100</v>
      </c>
      <c r="X28" s="1812"/>
      <c r="Y28" s="3189"/>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8"/>
      <c r="Q29" s="1809">
        <f t="shared" si="11"/>
        <v>111</v>
      </c>
      <c r="R29" s="774" t="s">
        <v>21</v>
      </c>
      <c r="S29" s="775">
        <f t="shared" si="12"/>
        <v>100</v>
      </c>
      <c r="T29" s="774" t="s">
        <v>21</v>
      </c>
      <c r="U29" s="775">
        <f t="shared" si="13"/>
        <v>100</v>
      </c>
      <c r="V29" s="774" t="s">
        <v>21</v>
      </c>
      <c r="W29" s="775">
        <f t="shared" si="14"/>
        <v>100</v>
      </c>
      <c r="X29" s="1812"/>
      <c r="Y29" s="3189"/>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8"/>
      <c r="Q30" s="1809">
        <f t="shared" si="11"/>
        <v>111</v>
      </c>
      <c r="R30" s="774" t="s">
        <v>21</v>
      </c>
      <c r="S30" s="775">
        <f t="shared" si="12"/>
        <v>100</v>
      </c>
      <c r="T30" s="774" t="s">
        <v>21</v>
      </c>
      <c r="U30" s="775">
        <f t="shared" si="13"/>
        <v>100</v>
      </c>
      <c r="V30" s="774" t="s">
        <v>21</v>
      </c>
      <c r="W30" s="775">
        <f t="shared" si="14"/>
        <v>100</v>
      </c>
      <c r="X30" s="1812"/>
      <c r="Y30" s="3189"/>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8"/>
      <c r="Q31" s="1809">
        <f t="shared" si="11"/>
        <v>111</v>
      </c>
      <c r="R31" s="774" t="s">
        <v>21</v>
      </c>
      <c r="S31" s="775">
        <f t="shared" si="12"/>
        <v>100</v>
      </c>
      <c r="T31" s="774" t="s">
        <v>21</v>
      </c>
      <c r="U31" s="775">
        <f t="shared" si="13"/>
        <v>100</v>
      </c>
      <c r="V31" s="774" t="s">
        <v>21</v>
      </c>
      <c r="W31" s="775">
        <f t="shared" si="14"/>
        <v>100</v>
      </c>
      <c r="X31" s="1812"/>
      <c r="Y31" s="3189"/>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9" t="s">
        <v>2513</v>
      </c>
      <c r="Q32" s="1809" t="str">
        <f t="shared" si="11"/>
        <v>建筑类型</v>
      </c>
      <c r="R32" s="774" t="s">
        <v>21</v>
      </c>
      <c r="S32" s="775">
        <f t="shared" si="12"/>
        <v>100</v>
      </c>
      <c r="T32" s="774" t="s">
        <v>21</v>
      </c>
      <c r="U32" s="775">
        <f t="shared" si="13"/>
        <v>100</v>
      </c>
      <c r="V32" s="774" t="s">
        <v>21</v>
      </c>
      <c r="W32" s="775">
        <f t="shared" si="14"/>
        <v>100</v>
      </c>
      <c r="X32" s="1812"/>
      <c r="Y32" s="3191"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0"/>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0"/>
      <c r="Q34" s="1809" t="str">
        <f t="shared" si="11"/>
        <v>建筑结构</v>
      </c>
      <c r="R34" s="774" t="s">
        <v>21</v>
      </c>
      <c r="S34" s="775">
        <f t="shared" si="12"/>
        <v>100</v>
      </c>
      <c r="T34" s="774" t="s">
        <v>21</v>
      </c>
      <c r="U34" s="775">
        <f t="shared" si="13"/>
        <v>100</v>
      </c>
      <c r="V34" s="774" t="s">
        <v>21</v>
      </c>
      <c r="W34" s="775">
        <f t="shared" si="14"/>
        <v>100</v>
      </c>
      <c r="X34" s="1812"/>
      <c r="Y34" s="3191"/>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0"/>
      <c r="Q35" s="1809" t="str">
        <f t="shared" si="11"/>
        <v>建筑品质</v>
      </c>
      <c r="R35" s="774" t="s">
        <v>21</v>
      </c>
      <c r="S35" s="775">
        <f t="shared" si="12"/>
        <v>100</v>
      </c>
      <c r="T35" s="774" t="s">
        <v>21</v>
      </c>
      <c r="U35" s="775">
        <f t="shared" si="13"/>
        <v>100</v>
      </c>
      <c r="V35" s="774" t="s">
        <v>21</v>
      </c>
      <c r="W35" s="775">
        <f t="shared" si="14"/>
        <v>100</v>
      </c>
      <c r="X35" s="1812"/>
      <c r="Y35" s="3191"/>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0"/>
      <c r="Q36" s="1809" t="str">
        <f t="shared" si="11"/>
        <v>公共部分装修</v>
      </c>
      <c r="R36" s="774" t="s">
        <v>21</v>
      </c>
      <c r="S36" s="775">
        <f t="shared" si="12"/>
        <v>100</v>
      </c>
      <c r="T36" s="774" t="s">
        <v>21</v>
      </c>
      <c r="U36" s="775">
        <f t="shared" si="13"/>
        <v>100</v>
      </c>
      <c r="V36" s="774" t="s">
        <v>21</v>
      </c>
      <c r="W36" s="775">
        <f t="shared" si="14"/>
        <v>100</v>
      </c>
      <c r="X36" s="1812"/>
      <c r="Y36" s="3191"/>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0"/>
      <c r="Q37" s="1794"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0" t="s">
        <v>2513</v>
      </c>
      <c r="Q38" s="1809" t="str">
        <f t="shared" si="11"/>
        <v>物业管理</v>
      </c>
      <c r="R38" s="774" t="s">
        <v>21</v>
      </c>
      <c r="S38" s="775">
        <f t="shared" si="12"/>
        <v>100</v>
      </c>
      <c r="T38" s="774" t="s">
        <v>21</v>
      </c>
      <c r="U38" s="775">
        <f t="shared" si="13"/>
        <v>100</v>
      </c>
      <c r="V38" s="774" t="s">
        <v>21</v>
      </c>
      <c r="W38" s="775">
        <f t="shared" si="14"/>
        <v>100</v>
      </c>
      <c r="X38" s="1812"/>
      <c r="Y38" s="3191"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0"/>
      <c r="Q39" s="1809" t="str">
        <f t="shared" si="11"/>
        <v>市政基础设施</v>
      </c>
      <c r="R39" s="774" t="s">
        <v>21</v>
      </c>
      <c r="S39" s="775">
        <f t="shared" si="12"/>
        <v>100</v>
      </c>
      <c r="T39" s="774" t="s">
        <v>21</v>
      </c>
      <c r="U39" s="775">
        <f t="shared" si="13"/>
        <v>100</v>
      </c>
      <c r="V39" s="774" t="s">
        <v>21</v>
      </c>
      <c r="W39" s="775">
        <f t="shared" si="14"/>
        <v>100</v>
      </c>
      <c r="X39" s="1812"/>
      <c r="Y39" s="3191"/>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0"/>
      <c r="Q40" s="1809" t="str">
        <f t="shared" si="11"/>
        <v>房型</v>
      </c>
      <c r="R40" s="774" t="s">
        <v>21</v>
      </c>
      <c r="S40" s="775">
        <f t="shared" si="12"/>
        <v>100</v>
      </c>
      <c r="T40" s="774" t="s">
        <v>21</v>
      </c>
      <c r="U40" s="775">
        <f t="shared" si="13"/>
        <v>100</v>
      </c>
      <c r="V40" s="774" t="s">
        <v>21</v>
      </c>
      <c r="W40" s="775">
        <f t="shared" si="14"/>
        <v>100</v>
      </c>
      <c r="X40" s="1812"/>
      <c r="Y40" s="3191"/>
      <c r="Z40" s="1813" t="str">
        <f t="shared" si="18"/>
        <v>房型</v>
      </c>
      <c r="AA40" s="1810">
        <f t="shared" si="15"/>
        <v>1</v>
      </c>
      <c r="AB40" s="1810">
        <f t="shared" si="16"/>
        <v>1</v>
      </c>
      <c r="AC40" s="1810">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0"/>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0"/>
      <c r="Q42" s="1809" t="str">
        <f t="shared" si="11"/>
        <v>内部装修</v>
      </c>
      <c r="R42" s="774" t="s">
        <v>21</v>
      </c>
      <c r="S42" s="775">
        <f t="shared" si="12"/>
        <v>100</v>
      </c>
      <c r="T42" s="774" t="s">
        <v>21</v>
      </c>
      <c r="U42" s="775">
        <f t="shared" si="13"/>
        <v>100</v>
      </c>
      <c r="V42" s="774" t="s">
        <v>21</v>
      </c>
      <c r="W42" s="775">
        <f t="shared" si="14"/>
        <v>100</v>
      </c>
      <c r="X42" s="1812"/>
      <c r="Y42" s="3191"/>
      <c r="Z42" s="1813" t="str">
        <f t="shared" si="18"/>
        <v>内部装修</v>
      </c>
      <c r="AA42" s="1810">
        <f t="shared" si="15"/>
        <v>1</v>
      </c>
      <c r="AB42" s="1810">
        <f t="shared" si="16"/>
        <v>1</v>
      </c>
      <c r="AC42" s="1810">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0"/>
      <c r="Q43" s="1809" t="str">
        <f t="shared" si="11"/>
        <v>内部装修维护情况</v>
      </c>
      <c r="R43" s="774" t="s">
        <v>21</v>
      </c>
      <c r="S43" s="775">
        <f t="shared" si="12"/>
        <v>100</v>
      </c>
      <c r="T43" s="774" t="s">
        <v>21</v>
      </c>
      <c r="U43" s="775">
        <f t="shared" si="13"/>
        <v>100</v>
      </c>
      <c r="V43" s="774" t="s">
        <v>21</v>
      </c>
      <c r="W43" s="775">
        <f t="shared" si="14"/>
        <v>100</v>
      </c>
      <c r="X43" s="1812"/>
      <c r="Y43" s="3191"/>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0"/>
      <c r="Q44" s="1794">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0"/>
      <c r="Q45" s="1809">
        <f t="shared" si="11"/>
        <v>111</v>
      </c>
      <c r="R45" s="774" t="s">
        <v>21</v>
      </c>
      <c r="S45" s="775">
        <f t="shared" si="12"/>
        <v>100</v>
      </c>
      <c r="T45" s="774" t="s">
        <v>21</v>
      </c>
      <c r="U45" s="775">
        <f t="shared" si="13"/>
        <v>100</v>
      </c>
      <c r="V45" s="774" t="s">
        <v>21</v>
      </c>
      <c r="W45" s="775">
        <f t="shared" si="14"/>
        <v>100</v>
      </c>
      <c r="X45" s="1812"/>
      <c r="Y45" s="3191"/>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1"/>
      <c r="Q46" s="1809">
        <f t="shared" si="11"/>
        <v>111</v>
      </c>
      <c r="R46" s="774" t="s">
        <v>20</v>
      </c>
      <c r="S46" s="775">
        <f t="shared" si="12"/>
        <v>100</v>
      </c>
      <c r="T46" s="774" t="s">
        <v>20</v>
      </c>
      <c r="U46" s="775">
        <f t="shared" si="13"/>
        <v>100</v>
      </c>
      <c r="V46" s="774" t="s">
        <v>20</v>
      </c>
      <c r="W46" s="775">
        <f t="shared" si="14"/>
        <v>100</v>
      </c>
      <c r="X46" s="1812"/>
      <c r="Y46" s="3232"/>
      <c r="Z46" s="1813">
        <f t="shared" si="18"/>
        <v>111</v>
      </c>
      <c r="AA46" s="1810">
        <f t="shared" si="15"/>
        <v>1</v>
      </c>
      <c r="AB46" s="1810">
        <f t="shared" si="16"/>
        <v>1</v>
      </c>
      <c r="AC46" s="1810">
        <f t="shared" si="17"/>
        <v>1</v>
      </c>
    </row>
    <row r="47" spans="1:29" ht="15">
      <c r="A47" s="479" t="s">
        <v>2525</v>
      </c>
      <c r="B47" s="480"/>
      <c r="C47" s="1407" t="s">
        <v>19</v>
      </c>
      <c r="D47" s="1408"/>
      <c r="E47" s="1409"/>
      <c r="F47" s="1410"/>
      <c r="G47" s="1411"/>
      <c r="H47" s="1412"/>
      <c r="I47" s="1409"/>
      <c r="J47" s="1412"/>
      <c r="K47" s="2623"/>
      <c r="L47" s="1143"/>
      <c r="M47" s="1144"/>
      <c r="N47" s="1131"/>
      <c r="O47" s="1144"/>
      <c r="P47" s="3186" t="str">
        <f>A47</f>
        <v>成交单价（元/平方米）</v>
      </c>
      <c r="Q47" s="3186"/>
      <c r="R47" s="3223">
        <f>E47</f>
        <v>0</v>
      </c>
      <c r="S47" s="3223"/>
      <c r="T47" s="3223">
        <f>G47</f>
        <v>0</v>
      </c>
      <c r="U47" s="3223"/>
      <c r="V47" s="3223">
        <f>I47</f>
        <v>0</v>
      </c>
      <c r="W47" s="3223"/>
      <c r="X47" s="759"/>
      <c r="Y47" s="781"/>
      <c r="Z47" s="759"/>
      <c r="AA47" s="759"/>
      <c r="AB47" s="759"/>
      <c r="AC47" s="759"/>
    </row>
    <row r="48" spans="1:29" ht="15.7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86" t="str">
        <f>A48</f>
        <v>比较价值（元/平方米）</v>
      </c>
      <c r="Q48" s="3186"/>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2527</v>
      </c>
      <c r="B49" s="493"/>
      <c r="C49" s="1416" t="e">
        <f>R49</f>
        <v>#DIV/0!</v>
      </c>
      <c r="D49" s="1417"/>
      <c r="E49" s="1417"/>
      <c r="F49" s="1417"/>
      <c r="G49" s="1417"/>
      <c r="H49" s="1417"/>
      <c r="I49" s="1417"/>
      <c r="J49" s="1417"/>
      <c r="K49" s="2625"/>
      <c r="L49" s="1143"/>
      <c r="M49" s="1144"/>
      <c r="N49" s="1144"/>
      <c r="O49" s="1144"/>
      <c r="P49" s="3180" t="str">
        <f>A49</f>
        <v>估价对象XX用房的比较价值（楼面单价，元/平方米）</v>
      </c>
      <c r="Q49" s="3181"/>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2531</v>
      </c>
      <c r="B57" s="759"/>
      <c r="C57" s="764"/>
      <c r="D57" s="764"/>
      <c r="E57" s="764"/>
      <c r="F57" s="765"/>
      <c r="G57" s="765"/>
      <c r="H57" s="764"/>
      <c r="I57" s="764"/>
      <c r="J57" s="764"/>
      <c r="K57" s="1160"/>
      <c r="L57" s="1161"/>
      <c r="M57" s="1159"/>
      <c r="N57" s="1159"/>
      <c r="O57" s="1159"/>
      <c r="P57" s="2628"/>
      <c r="Q57" s="504"/>
    </row>
    <row r="58" spans="1:29" s="508" customFormat="1" ht="15">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2558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2559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2511</v>
      </c>
      <c r="B100" s="528" t="s">
        <v>2560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5.75"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c r="B147" s="2639" t="s">
        <v>2588</v>
      </c>
    </row>
    <row r="148" spans="2:11">
      <c r="B148" s="2639"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2" t="s">
        <v>2596</v>
      </c>
      <c r="AC4" s="3193" t="s">
        <v>2597</v>
      </c>
    </row>
    <row r="5" spans="1:29" ht="15">
      <c r="A5" s="404"/>
      <c r="B5" s="405"/>
      <c r="C5" s="3213" t="s">
        <v>2490</v>
      </c>
      <c r="D5" s="3214"/>
      <c r="E5" s="3221" t="s">
        <v>2491</v>
      </c>
      <c r="F5" s="3222"/>
      <c r="G5" s="3213" t="s">
        <v>2492</v>
      </c>
      <c r="H5" s="3214"/>
      <c r="I5" s="3213" t="s">
        <v>2493</v>
      </c>
      <c r="J5" s="3214"/>
      <c r="K5" s="610"/>
      <c r="L5" s="1130"/>
      <c r="M5" s="1131"/>
      <c r="N5" s="1131"/>
      <c r="O5" s="1131"/>
      <c r="P5" s="3201"/>
      <c r="Q5" s="3202"/>
      <c r="R5" s="3207"/>
      <c r="S5" s="3208"/>
      <c r="T5" s="3207"/>
      <c r="U5" s="3208"/>
      <c r="V5" s="3192"/>
      <c r="W5" s="3192"/>
      <c r="X5" s="1812"/>
      <c r="Y5" s="3207"/>
      <c r="Z5" s="3208"/>
      <c r="AA5" s="3194"/>
      <c r="AB5" s="3192"/>
      <c r="AC5" s="3194"/>
    </row>
    <row r="6" spans="1:29" ht="15.75" thickBot="1">
      <c r="A6" s="406"/>
      <c r="B6" s="407"/>
      <c r="C6" s="3211" t="s">
        <v>2494</v>
      </c>
      <c r="D6" s="3212"/>
      <c r="E6" s="3219" t="s">
        <v>2494</v>
      </c>
      <c r="F6" s="3220"/>
      <c r="G6" s="3211" t="s">
        <v>2494</v>
      </c>
      <c r="H6" s="3212"/>
      <c r="I6" s="3211" t="s">
        <v>2494</v>
      </c>
      <c r="J6" s="3212"/>
      <c r="K6" s="610" t="s">
        <v>2495</v>
      </c>
      <c r="L6" s="1130"/>
      <c r="M6" s="1131"/>
      <c r="N6" s="1131"/>
      <c r="O6" s="1131"/>
      <c r="P6" s="3203"/>
      <c r="Q6" s="3204"/>
      <c r="R6" s="3207"/>
      <c r="S6" s="3208"/>
      <c r="T6" s="3209"/>
      <c r="U6" s="3210"/>
      <c r="V6" s="3192"/>
      <c r="W6" s="3192"/>
      <c r="X6" s="1812"/>
      <c r="Y6" s="3209"/>
      <c r="Z6" s="3210"/>
      <c r="AA6" s="3195"/>
      <c r="AB6" s="3192"/>
      <c r="AC6" s="3195"/>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5" t="s">
        <v>2497</v>
      </c>
      <c r="Q7" s="3217"/>
      <c r="R7" s="770" t="s">
        <v>17</v>
      </c>
      <c r="S7" s="771">
        <f t="shared" ref="S7:S15" si="0">F7</f>
        <v>0</v>
      </c>
      <c r="T7" s="770" t="s">
        <v>17</v>
      </c>
      <c r="U7" s="771">
        <f t="shared" ref="U7:U15" si="1">H7</f>
        <v>0</v>
      </c>
      <c r="V7" s="770" t="s">
        <v>17</v>
      </c>
      <c r="W7" s="771">
        <f t="shared" ref="W7:W15" si="2">J7</f>
        <v>0</v>
      </c>
      <c r="X7" s="772"/>
      <c r="Y7" s="3215" t="s">
        <v>2497</v>
      </c>
      <c r="Z7" s="3216"/>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5" t="s">
        <v>2500</v>
      </c>
      <c r="Q8" s="3216"/>
      <c r="R8" s="770" t="s">
        <v>17</v>
      </c>
      <c r="S8" s="771">
        <f t="shared" si="0"/>
        <v>0</v>
      </c>
      <c r="T8" s="770" t="s">
        <v>17</v>
      </c>
      <c r="U8" s="771">
        <f t="shared" si="1"/>
        <v>0</v>
      </c>
      <c r="V8" s="770" t="s">
        <v>17</v>
      </c>
      <c r="W8" s="771">
        <f t="shared" si="2"/>
        <v>0</v>
      </c>
      <c r="X8" s="772"/>
      <c r="Y8" s="3215" t="s">
        <v>2500</v>
      </c>
      <c r="Z8" s="3216"/>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2503</v>
      </c>
      <c r="Q9" s="1794" t="str">
        <f t="shared" ref="Q9:Q15" si="6">B9</f>
        <v>用途</v>
      </c>
      <c r="R9" s="770" t="s">
        <v>17</v>
      </c>
      <c r="S9" s="771">
        <f t="shared" si="0"/>
        <v>100</v>
      </c>
      <c r="T9" s="770" t="s">
        <v>17</v>
      </c>
      <c r="U9" s="771">
        <f t="shared" si="1"/>
        <v>100</v>
      </c>
      <c r="V9" s="770" t="s">
        <v>17</v>
      </c>
      <c r="W9" s="771">
        <f t="shared" si="2"/>
        <v>100</v>
      </c>
      <c r="X9" s="772"/>
      <c r="Y9" s="3018"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85.5">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2508</v>
      </c>
      <c r="Q15" s="1809" t="str">
        <f t="shared" si="6"/>
        <v>商业繁华度</v>
      </c>
      <c r="R15" s="774" t="s">
        <v>17</v>
      </c>
      <c r="S15" s="775">
        <f t="shared" si="0"/>
        <v>100</v>
      </c>
      <c r="T15" s="774" t="s">
        <v>17</v>
      </c>
      <c r="U15" s="775">
        <f t="shared" si="1"/>
        <v>100</v>
      </c>
      <c r="V15" s="774" t="s">
        <v>17</v>
      </c>
      <c r="W15" s="775">
        <f t="shared" si="2"/>
        <v>100</v>
      </c>
      <c r="X15" s="1812"/>
      <c r="Y15" s="3188"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8"/>
      <c r="Q16" s="1809"/>
      <c r="R16" s="774"/>
      <c r="S16" s="775"/>
      <c r="T16" s="774"/>
      <c r="U16" s="775"/>
      <c r="V16" s="774"/>
      <c r="W16" s="775"/>
      <c r="X16" s="1812"/>
      <c r="Y16" s="3189"/>
      <c r="Z16" s="1813"/>
      <c r="AA16" s="1810">
        <v>1</v>
      </c>
      <c r="AB16" s="1810">
        <v>1</v>
      </c>
      <c r="AC16" s="1810">
        <v>1</v>
      </c>
    </row>
    <row r="17" spans="1:29" ht="128.2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09" t="str">
        <f>B17</f>
        <v>交通便捷度</v>
      </c>
      <c r="R17" s="774" t="s">
        <v>17</v>
      </c>
      <c r="S17" s="775">
        <f>F17</f>
        <v>100</v>
      </c>
      <c r="T17" s="774" t="s">
        <v>17</v>
      </c>
      <c r="U17" s="775">
        <f>H17</f>
        <v>100</v>
      </c>
      <c r="V17" s="774" t="s">
        <v>17</v>
      </c>
      <c r="W17" s="775">
        <f>J17</f>
        <v>100</v>
      </c>
      <c r="X17" s="1812"/>
      <c r="Y17" s="318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28"/>
      <c r="Q18" s="1809"/>
      <c r="R18" s="774"/>
      <c r="S18" s="775"/>
      <c r="T18" s="774"/>
      <c r="U18" s="775"/>
      <c r="V18" s="774"/>
      <c r="W18" s="775"/>
      <c r="X18" s="1812"/>
      <c r="Y18" s="3189"/>
      <c r="Z18" s="1813"/>
      <c r="AA18" s="1810">
        <v>1</v>
      </c>
      <c r="AB18" s="1810">
        <v>1</v>
      </c>
      <c r="AC18" s="1810">
        <v>1</v>
      </c>
    </row>
    <row r="19" spans="1:29" ht="42.75">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09" t="str">
        <f>B19</f>
        <v>公共配套设施</v>
      </c>
      <c r="R19" s="774" t="s">
        <v>17</v>
      </c>
      <c r="S19" s="775">
        <f>F19</f>
        <v>100</v>
      </c>
      <c r="T19" s="774" t="s">
        <v>17</v>
      </c>
      <c r="U19" s="775">
        <f>H19</f>
        <v>100</v>
      </c>
      <c r="V19" s="774" t="s">
        <v>17</v>
      </c>
      <c r="W19" s="775">
        <f>J19</f>
        <v>100</v>
      </c>
      <c r="X19" s="1812"/>
      <c r="Y19" s="318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28"/>
      <c r="Q20" s="1809"/>
      <c r="R20" s="774"/>
      <c r="S20" s="775"/>
      <c r="T20" s="774"/>
      <c r="U20" s="775"/>
      <c r="V20" s="774"/>
      <c r="W20" s="775"/>
      <c r="X20" s="1812"/>
      <c r="Y20" s="3189"/>
      <c r="Z20" s="1813"/>
      <c r="AA20" s="1810">
        <v>1</v>
      </c>
      <c r="AB20" s="1810">
        <v>1</v>
      </c>
      <c r="AC20" s="1810">
        <v>1</v>
      </c>
    </row>
    <row r="21" spans="1:29" ht="42.75">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09" t="str">
        <f>B21</f>
        <v>基础设施水平</v>
      </c>
      <c r="R21" s="774" t="s">
        <v>17</v>
      </c>
      <c r="S21" s="775">
        <f>F21</f>
        <v>100</v>
      </c>
      <c r="T21" s="774" t="s">
        <v>17</v>
      </c>
      <c r="U21" s="775">
        <f>H21</f>
        <v>100</v>
      </c>
      <c r="V21" s="774" t="s">
        <v>17</v>
      </c>
      <c r="W21" s="775">
        <f>J21</f>
        <v>100</v>
      </c>
      <c r="X21" s="1812"/>
      <c r="Y21" s="3189"/>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28"/>
      <c r="Q22" s="1809"/>
      <c r="R22" s="774"/>
      <c r="S22" s="775"/>
      <c r="T22" s="774"/>
      <c r="U22" s="775"/>
      <c r="V22" s="774"/>
      <c r="W22" s="775"/>
      <c r="X22" s="1812"/>
      <c r="Y22" s="3189"/>
      <c r="Z22" s="1813"/>
      <c r="AA22" s="1810">
        <v>1</v>
      </c>
      <c r="AB22" s="1810">
        <v>1</v>
      </c>
      <c r="AC22" s="1810">
        <v>1</v>
      </c>
    </row>
    <row r="23" spans="1:29" ht="57">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09" t="str">
        <f>B23</f>
        <v>自然及人文环境</v>
      </c>
      <c r="R23" s="774" t="s">
        <v>17</v>
      </c>
      <c r="S23" s="775">
        <f>F23</f>
        <v>100</v>
      </c>
      <c r="T23" s="774" t="s">
        <v>17</v>
      </c>
      <c r="U23" s="775">
        <f>H23</f>
        <v>100</v>
      </c>
      <c r="V23" s="774" t="s">
        <v>17</v>
      </c>
      <c r="W23" s="775">
        <f>J23</f>
        <v>100</v>
      </c>
      <c r="X23" s="1812"/>
      <c r="Y23" s="3189"/>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28"/>
      <c r="Q24" s="1809"/>
      <c r="R24" s="774"/>
      <c r="S24" s="775"/>
      <c r="T24" s="774"/>
      <c r="U24" s="775"/>
      <c r="V24" s="774"/>
      <c r="W24" s="775"/>
      <c r="X24" s="1812"/>
      <c r="Y24" s="3189"/>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09" t="str">
        <f t="shared" ref="Q25:Q46" si="11">B25</f>
        <v>临街状况</v>
      </c>
      <c r="R25" s="774" t="s">
        <v>17</v>
      </c>
      <c r="S25" s="775">
        <f>F25</f>
        <v>100</v>
      </c>
      <c r="T25" s="774" t="s">
        <v>17</v>
      </c>
      <c r="U25" s="775">
        <f>H25</f>
        <v>100</v>
      </c>
      <c r="V25" s="774" t="s">
        <v>17</v>
      </c>
      <c r="W25" s="775">
        <f>J25</f>
        <v>100</v>
      </c>
      <c r="X25" s="1812"/>
      <c r="Y25" s="3189"/>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09" t="str">
        <f t="shared" si="11"/>
        <v>平面位置/可视性</v>
      </c>
      <c r="R26" s="774" t="s">
        <v>17</v>
      </c>
      <c r="S26" s="775">
        <f>F26</f>
        <v>100</v>
      </c>
      <c r="T26" s="774" t="s">
        <v>17</v>
      </c>
      <c r="U26" s="775">
        <f>H26</f>
        <v>100</v>
      </c>
      <c r="V26" s="774" t="s">
        <v>17</v>
      </c>
      <c r="W26" s="775">
        <f>J26</f>
        <v>100</v>
      </c>
      <c r="X26" s="1812"/>
      <c r="Y26" s="3189"/>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8"/>
      <c r="Q27" s="1794" t="str">
        <f t="shared" si="11"/>
        <v>人流量</v>
      </c>
      <c r="R27" s="770" t="s">
        <v>17</v>
      </c>
      <c r="S27" s="771">
        <f>F27</f>
        <v>100</v>
      </c>
      <c r="T27" s="770" t="s">
        <v>17</v>
      </c>
      <c r="U27" s="771">
        <f>H27</f>
        <v>100</v>
      </c>
      <c r="V27" s="770" t="s">
        <v>17</v>
      </c>
      <c r="W27" s="771">
        <f>J27</f>
        <v>100</v>
      </c>
      <c r="X27" s="772"/>
      <c r="Y27" s="3189"/>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9"/>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09">
        <f t="shared" si="11"/>
        <v>111</v>
      </c>
      <c r="R29" s="774" t="s">
        <v>17</v>
      </c>
      <c r="S29" s="775">
        <f t="shared" si="12"/>
        <v>100</v>
      </c>
      <c r="T29" s="774" t="s">
        <v>17</v>
      </c>
      <c r="U29" s="775">
        <f t="shared" si="13"/>
        <v>100</v>
      </c>
      <c r="V29" s="774" t="s">
        <v>17</v>
      </c>
      <c r="W29" s="775">
        <f t="shared" si="14"/>
        <v>100</v>
      </c>
      <c r="X29" s="1812"/>
      <c r="Y29" s="3189"/>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09">
        <f t="shared" si="11"/>
        <v>111</v>
      </c>
      <c r="R30" s="774" t="s">
        <v>17</v>
      </c>
      <c r="S30" s="775">
        <f t="shared" si="12"/>
        <v>100</v>
      </c>
      <c r="T30" s="774" t="s">
        <v>17</v>
      </c>
      <c r="U30" s="775">
        <f t="shared" si="13"/>
        <v>100</v>
      </c>
      <c r="V30" s="774" t="s">
        <v>17</v>
      </c>
      <c r="W30" s="775">
        <f t="shared" si="14"/>
        <v>100</v>
      </c>
      <c r="X30" s="1812"/>
      <c r="Y30" s="3189"/>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09">
        <f t="shared" si="11"/>
        <v>111</v>
      </c>
      <c r="R31" s="774" t="s">
        <v>17</v>
      </c>
      <c r="S31" s="775">
        <f t="shared" si="12"/>
        <v>100</v>
      </c>
      <c r="T31" s="774" t="s">
        <v>17</v>
      </c>
      <c r="U31" s="775">
        <f t="shared" si="13"/>
        <v>100</v>
      </c>
      <c r="V31" s="774" t="s">
        <v>17</v>
      </c>
      <c r="W31" s="775">
        <f t="shared" si="14"/>
        <v>100</v>
      </c>
      <c r="X31" s="1812"/>
      <c r="Y31" s="3189"/>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9" t="s">
        <v>2513</v>
      </c>
      <c r="Q32" s="1809" t="str">
        <f t="shared" si="11"/>
        <v>商业类型</v>
      </c>
      <c r="R32" s="774" t="s">
        <v>17</v>
      </c>
      <c r="S32" s="775">
        <f t="shared" si="12"/>
        <v>100</v>
      </c>
      <c r="T32" s="774" t="s">
        <v>17</v>
      </c>
      <c r="U32" s="775">
        <f t="shared" si="13"/>
        <v>100</v>
      </c>
      <c r="V32" s="774" t="s">
        <v>17</v>
      </c>
      <c r="W32" s="775">
        <f t="shared" si="14"/>
        <v>100</v>
      </c>
      <c r="X32" s="1812"/>
      <c r="Y32" s="3191"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0"/>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0"/>
      <c r="Q34" s="1809" t="str">
        <f t="shared" si="11"/>
        <v>建筑结构</v>
      </c>
      <c r="R34" s="774" t="s">
        <v>17</v>
      </c>
      <c r="S34" s="775">
        <f t="shared" si="12"/>
        <v>100</v>
      </c>
      <c r="T34" s="774" t="s">
        <v>17</v>
      </c>
      <c r="U34" s="775">
        <f t="shared" si="13"/>
        <v>100</v>
      </c>
      <c r="V34" s="774" t="s">
        <v>17</v>
      </c>
      <c r="W34" s="775">
        <f t="shared" si="14"/>
        <v>100</v>
      </c>
      <c r="X34" s="1812"/>
      <c r="Y34" s="3191"/>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0"/>
      <c r="Q35" s="1809" t="str">
        <f t="shared" si="11"/>
        <v>公共部分装修</v>
      </c>
      <c r="R35" s="774" t="s">
        <v>17</v>
      </c>
      <c r="S35" s="775">
        <f t="shared" si="12"/>
        <v>100</v>
      </c>
      <c r="T35" s="774" t="s">
        <v>17</v>
      </c>
      <c r="U35" s="775">
        <f t="shared" si="13"/>
        <v>100</v>
      </c>
      <c r="V35" s="774" t="s">
        <v>17</v>
      </c>
      <c r="W35" s="775">
        <f t="shared" si="14"/>
        <v>100</v>
      </c>
      <c r="X35" s="1812"/>
      <c r="Y35" s="3191"/>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0"/>
      <c r="Q36" s="1809" t="str">
        <f t="shared" si="11"/>
        <v>成新度</v>
      </c>
      <c r="R36" s="774" t="s">
        <v>17</v>
      </c>
      <c r="S36" s="775" t="e">
        <f t="shared" si="12"/>
        <v>#N/A</v>
      </c>
      <c r="T36" s="774" t="s">
        <v>17</v>
      </c>
      <c r="U36" s="775" t="e">
        <f t="shared" si="13"/>
        <v>#N/A</v>
      </c>
      <c r="V36" s="774" t="s">
        <v>17</v>
      </c>
      <c r="W36" s="775" t="e">
        <f t="shared" si="14"/>
        <v>#N/A</v>
      </c>
      <c r="X36" s="1812"/>
      <c r="Y36" s="3191"/>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0"/>
      <c r="Q37" s="1794"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0" t="s">
        <v>2513</v>
      </c>
      <c r="Q38" s="1809" t="str">
        <f t="shared" si="11"/>
        <v>业态</v>
      </c>
      <c r="R38" s="774" t="s">
        <v>17</v>
      </c>
      <c r="S38" s="775">
        <f t="shared" si="12"/>
        <v>100</v>
      </c>
      <c r="T38" s="774" t="s">
        <v>17</v>
      </c>
      <c r="U38" s="775">
        <f t="shared" si="13"/>
        <v>100</v>
      </c>
      <c r="V38" s="774" t="s">
        <v>17</v>
      </c>
      <c r="W38" s="775">
        <f t="shared" si="14"/>
        <v>100</v>
      </c>
      <c r="X38" s="1812"/>
      <c r="Y38" s="3191"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0"/>
      <c r="Q39" s="1809" t="str">
        <f t="shared" si="11"/>
        <v>层高</v>
      </c>
      <c r="R39" s="774" t="s">
        <v>17</v>
      </c>
      <c r="S39" s="775">
        <f t="shared" si="12"/>
        <v>100</v>
      </c>
      <c r="T39" s="774" t="s">
        <v>17</v>
      </c>
      <c r="U39" s="775">
        <f t="shared" si="13"/>
        <v>100</v>
      </c>
      <c r="V39" s="774" t="s">
        <v>17</v>
      </c>
      <c r="W39" s="775">
        <f t="shared" si="14"/>
        <v>100</v>
      </c>
      <c r="X39" s="1812"/>
      <c r="Y39" s="3191"/>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0"/>
      <c r="Q40" s="1809" t="str">
        <f t="shared" si="11"/>
        <v>单套建筑面积</v>
      </c>
      <c r="R40" s="774" t="s">
        <v>17</v>
      </c>
      <c r="S40" s="775">
        <f t="shared" si="12"/>
        <v>100</v>
      </c>
      <c r="T40" s="774" t="s">
        <v>17</v>
      </c>
      <c r="U40" s="775">
        <f t="shared" si="13"/>
        <v>100</v>
      </c>
      <c r="V40" s="774" t="s">
        <v>17</v>
      </c>
      <c r="W40" s="775">
        <f t="shared" si="14"/>
        <v>100</v>
      </c>
      <c r="X40" s="1812"/>
      <c r="Y40" s="3191"/>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0"/>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0"/>
      <c r="Q42" s="1809" t="str">
        <f t="shared" si="11"/>
        <v>内部装修</v>
      </c>
      <c r="R42" s="774" t="s">
        <v>17</v>
      </c>
      <c r="S42" s="775">
        <f t="shared" si="12"/>
        <v>100</v>
      </c>
      <c r="T42" s="774" t="s">
        <v>17</v>
      </c>
      <c r="U42" s="775">
        <f t="shared" si="13"/>
        <v>100</v>
      </c>
      <c r="V42" s="774" t="s">
        <v>17</v>
      </c>
      <c r="W42" s="775">
        <f t="shared" si="14"/>
        <v>100</v>
      </c>
      <c r="X42" s="1812"/>
      <c r="Y42" s="3191"/>
      <c r="Z42" s="1813" t="str">
        <f t="shared" si="15"/>
        <v>内部装修</v>
      </c>
      <c r="AA42" s="1810">
        <f t="shared" si="3"/>
        <v>1</v>
      </c>
      <c r="AB42" s="1810">
        <f t="shared" si="4"/>
        <v>1</v>
      </c>
      <c r="AC42" s="1810">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0"/>
      <c r="Q43" s="1809" t="str">
        <f t="shared" si="11"/>
        <v>内部装修维护情况</v>
      </c>
      <c r="R43" s="774" t="s">
        <v>17</v>
      </c>
      <c r="S43" s="775">
        <f t="shared" si="12"/>
        <v>100</v>
      </c>
      <c r="T43" s="774" t="s">
        <v>17</v>
      </c>
      <c r="U43" s="775">
        <f t="shared" si="13"/>
        <v>100</v>
      </c>
      <c r="V43" s="774" t="s">
        <v>17</v>
      </c>
      <c r="W43" s="775">
        <f t="shared" si="14"/>
        <v>100</v>
      </c>
      <c r="X43" s="1812"/>
      <c r="Y43" s="319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0"/>
      <c r="Q44" s="1794">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0"/>
      <c r="Q45" s="1809">
        <f t="shared" si="11"/>
        <v>111</v>
      </c>
      <c r="R45" s="774" t="s">
        <v>17</v>
      </c>
      <c r="S45" s="775">
        <f t="shared" si="12"/>
        <v>100</v>
      </c>
      <c r="T45" s="774" t="s">
        <v>17</v>
      </c>
      <c r="U45" s="775">
        <f t="shared" si="13"/>
        <v>100</v>
      </c>
      <c r="V45" s="774" t="s">
        <v>17</v>
      </c>
      <c r="W45" s="775">
        <f t="shared" si="14"/>
        <v>100</v>
      </c>
      <c r="X45" s="1812"/>
      <c r="Y45" s="3191"/>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232"/>
      <c r="Z46" s="1813">
        <f t="shared" si="15"/>
        <v>111</v>
      </c>
      <c r="AA46" s="1810">
        <f t="shared" si="3"/>
        <v>1</v>
      </c>
      <c r="AB46" s="1810">
        <f t="shared" si="4"/>
        <v>1</v>
      </c>
      <c r="AC46" s="1810">
        <f t="shared" si="5"/>
        <v>1</v>
      </c>
    </row>
    <row r="47" spans="1:29" ht="15">
      <c r="A47" s="479" t="s">
        <v>2525</v>
      </c>
      <c r="B47" s="480"/>
      <c r="C47" s="1407" t="s">
        <v>1</v>
      </c>
      <c r="D47" s="1408"/>
      <c r="E47" s="1409"/>
      <c r="F47" s="1410"/>
      <c r="G47" s="1411"/>
      <c r="H47" s="1412"/>
      <c r="I47" s="1409"/>
      <c r="J47" s="1412"/>
      <c r="K47" s="783"/>
      <c r="L47" s="1143"/>
      <c r="M47" s="1144"/>
      <c r="N47" s="1131"/>
      <c r="O47" s="1144"/>
      <c r="P47" s="3186" t="str">
        <f>A47</f>
        <v>成交单价（元/平方米）</v>
      </c>
      <c r="Q47" s="3186"/>
      <c r="R47" s="3192">
        <f>E47</f>
        <v>0</v>
      </c>
      <c r="S47" s="3192"/>
      <c r="T47" s="3192">
        <f>G47</f>
        <v>0</v>
      </c>
      <c r="U47" s="3192"/>
      <c r="V47" s="3192">
        <f>I47</f>
        <v>0</v>
      </c>
      <c r="W47" s="3192"/>
      <c r="X47" s="759"/>
      <c r="Y47" s="781"/>
      <c r="Z47" s="759"/>
      <c r="AA47" s="759"/>
      <c r="AB47" s="759"/>
      <c r="AC47" s="759"/>
    </row>
    <row r="48" spans="1:29" ht="15.7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86" t="str">
        <f>A48</f>
        <v>比较价值（元/平方米）</v>
      </c>
      <c r="Q48" s="3186"/>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2618</v>
      </c>
      <c r="B49" s="493"/>
      <c r="C49" s="1417" t="e">
        <f>R49</f>
        <v>#DIV/0!</v>
      </c>
      <c r="D49" s="1417"/>
      <c r="E49" s="1417"/>
      <c r="F49" s="1417"/>
      <c r="G49" s="1417"/>
      <c r="H49" s="1417"/>
      <c r="I49" s="1417"/>
      <c r="J49" s="1417"/>
      <c r="K49" s="785"/>
      <c r="L49" s="1143"/>
      <c r="M49" s="1144"/>
      <c r="N49" s="1131"/>
      <c r="O49" s="1144"/>
      <c r="P49" s="3180" t="str">
        <f>A49</f>
        <v>估价对象XX用房的比较价值（楼面单价，元/平方米）</v>
      </c>
      <c r="Q49" s="3181"/>
      <c r="R49" s="3275" t="e">
        <f>IF(F1="售价",ROUND(AVERAGE(R48:V48),0),ROUND(AVERAGE(R48:V48),1))</f>
        <v>#DIV/0!</v>
      </c>
      <c r="S49" s="3275"/>
      <c r="T49" s="3275"/>
      <c r="U49" s="3275"/>
      <c r="V49" s="3275"/>
      <c r="W49" s="32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2628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2511</v>
      </c>
      <c r="B100" s="528" t="s">
        <v>2629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4" t="s">
        <v>2596</v>
      </c>
      <c r="AC4" s="3193" t="s">
        <v>2597</v>
      </c>
    </row>
    <row r="5" spans="1:29" ht="15">
      <c r="A5" s="404"/>
      <c r="B5" s="405"/>
      <c r="C5" s="3213" t="s">
        <v>2490</v>
      </c>
      <c r="D5" s="3214"/>
      <c r="E5" s="3221" t="s">
        <v>2491</v>
      </c>
      <c r="F5" s="3222"/>
      <c r="G5" s="3213" t="s">
        <v>2492</v>
      </c>
      <c r="H5" s="3214"/>
      <c r="I5" s="3213" t="s">
        <v>2493</v>
      </c>
      <c r="J5" s="3214"/>
      <c r="K5" s="610"/>
      <c r="L5" s="1130"/>
      <c r="M5" s="1131"/>
      <c r="N5" s="1131"/>
      <c r="O5" s="1131"/>
      <c r="P5" s="3201"/>
      <c r="Q5" s="3202"/>
      <c r="R5" s="3207"/>
      <c r="S5" s="3208"/>
      <c r="T5" s="3207"/>
      <c r="U5" s="3208"/>
      <c r="V5" s="3192"/>
      <c r="W5" s="3192"/>
      <c r="X5" s="1812"/>
      <c r="Y5" s="3207"/>
      <c r="Z5" s="3208"/>
      <c r="AA5" s="3194"/>
      <c r="AB5" s="3194"/>
      <c r="AC5" s="3194"/>
    </row>
    <row r="6" spans="1:29" ht="15.75" thickBot="1">
      <c r="A6" s="406"/>
      <c r="B6" s="407"/>
      <c r="C6" s="3211" t="s">
        <v>2494</v>
      </c>
      <c r="D6" s="3212"/>
      <c r="E6" s="3219" t="s">
        <v>2494</v>
      </c>
      <c r="F6" s="3220"/>
      <c r="G6" s="3211" t="s">
        <v>2494</v>
      </c>
      <c r="H6" s="3212"/>
      <c r="I6" s="3211" t="s">
        <v>2494</v>
      </c>
      <c r="J6" s="3212"/>
      <c r="K6" s="610" t="s">
        <v>2495</v>
      </c>
      <c r="L6" s="1130"/>
      <c r="M6" s="1131"/>
      <c r="N6" s="1131"/>
      <c r="O6" s="1131"/>
      <c r="P6" s="3203"/>
      <c r="Q6" s="3204"/>
      <c r="R6" s="3207"/>
      <c r="S6" s="3208"/>
      <c r="T6" s="3209"/>
      <c r="U6" s="3210"/>
      <c r="V6" s="3192"/>
      <c r="W6" s="3192"/>
      <c r="X6" s="1812"/>
      <c r="Y6" s="3209"/>
      <c r="Z6" s="3210"/>
      <c r="AA6" s="3195"/>
      <c r="AB6" s="3195"/>
      <c r="AC6" s="3195"/>
    </row>
    <row r="7" spans="1:29" s="117" customFormat="1" ht="15.7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2497</v>
      </c>
      <c r="Q7" s="3217"/>
      <c r="R7" s="770" t="s">
        <v>17</v>
      </c>
      <c r="S7" s="771">
        <f t="shared" ref="S7:S15" si="0">F7</f>
        <v>0</v>
      </c>
      <c r="T7" s="770" t="s">
        <v>17</v>
      </c>
      <c r="U7" s="771">
        <f t="shared" ref="U7:U15" si="1">H7</f>
        <v>0</v>
      </c>
      <c r="V7" s="770" t="s">
        <v>17</v>
      </c>
      <c r="W7" s="771">
        <f t="shared" ref="W7:W15" si="2">J7</f>
        <v>0</v>
      </c>
      <c r="X7" s="772"/>
      <c r="Y7" s="3215" t="s">
        <v>2497</v>
      </c>
      <c r="Z7" s="3216"/>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2500</v>
      </c>
      <c r="Q8" s="3216"/>
      <c r="R8" s="770" t="s">
        <v>17</v>
      </c>
      <c r="S8" s="771">
        <f t="shared" si="0"/>
        <v>0</v>
      </c>
      <c r="T8" s="770" t="s">
        <v>17</v>
      </c>
      <c r="U8" s="771">
        <f t="shared" si="1"/>
        <v>0</v>
      </c>
      <c r="V8" s="770" t="s">
        <v>17</v>
      </c>
      <c r="W8" s="771">
        <f t="shared" si="2"/>
        <v>0</v>
      </c>
      <c r="X8" s="772"/>
      <c r="Y8" s="3215" t="s">
        <v>2500</v>
      </c>
      <c r="Z8" s="3216"/>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2503</v>
      </c>
      <c r="Q9" s="1794" t="str">
        <f t="shared" ref="Q9:Q15" si="6">B9</f>
        <v>用途</v>
      </c>
      <c r="R9" s="770" t="s">
        <v>17</v>
      </c>
      <c r="S9" s="771">
        <f t="shared" si="0"/>
        <v>100</v>
      </c>
      <c r="T9" s="770" t="s">
        <v>17</v>
      </c>
      <c r="U9" s="771">
        <f t="shared" si="1"/>
        <v>100</v>
      </c>
      <c r="V9" s="770" t="s">
        <v>17</v>
      </c>
      <c r="W9" s="771">
        <f t="shared" si="2"/>
        <v>100</v>
      </c>
      <c r="X9" s="772"/>
      <c r="Y9" s="3018"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86"/>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86"/>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6"/>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8" t="s">
        <v>2508</v>
      </c>
      <c r="Q15" s="1809" t="str">
        <f t="shared" si="6"/>
        <v>产业集聚程度</v>
      </c>
      <c r="R15" s="774" t="s">
        <v>17</v>
      </c>
      <c r="S15" s="775">
        <f t="shared" si="0"/>
        <v>100</v>
      </c>
      <c r="T15" s="774" t="s">
        <v>17</v>
      </c>
      <c r="U15" s="775">
        <f t="shared" si="1"/>
        <v>100</v>
      </c>
      <c r="V15" s="774" t="s">
        <v>17</v>
      </c>
      <c r="W15" s="775">
        <f t="shared" si="2"/>
        <v>100</v>
      </c>
      <c r="X15" s="1812"/>
      <c r="Y15" s="3188"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9"/>
      <c r="Q16" s="1809"/>
      <c r="R16" s="774"/>
      <c r="S16" s="775"/>
      <c r="T16" s="774"/>
      <c r="U16" s="775"/>
      <c r="V16" s="774"/>
      <c r="W16" s="775"/>
      <c r="X16" s="1812"/>
      <c r="Y16" s="3189"/>
      <c r="Z16" s="1813"/>
      <c r="AA16" s="1810">
        <v>1</v>
      </c>
      <c r="AB16" s="1810">
        <v>1</v>
      </c>
      <c r="AC16" s="1810">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9"/>
      <c r="Q17" s="1809" t="str">
        <f>B17</f>
        <v>交通便捷度</v>
      </c>
      <c r="R17" s="774" t="s">
        <v>17</v>
      </c>
      <c r="S17" s="775">
        <f>F17</f>
        <v>100</v>
      </c>
      <c r="T17" s="774" t="s">
        <v>17</v>
      </c>
      <c r="U17" s="775">
        <f>H17</f>
        <v>100</v>
      </c>
      <c r="V17" s="774" t="s">
        <v>17</v>
      </c>
      <c r="W17" s="775">
        <f>J17</f>
        <v>100</v>
      </c>
      <c r="X17" s="1812"/>
      <c r="Y17" s="3189"/>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89"/>
      <c r="Q18" s="1809"/>
      <c r="R18" s="774"/>
      <c r="S18" s="775"/>
      <c r="T18" s="774"/>
      <c r="U18" s="775"/>
      <c r="V18" s="774"/>
      <c r="W18" s="775"/>
      <c r="X18" s="1812"/>
      <c r="Y18" s="3189"/>
      <c r="Z18" s="1813"/>
      <c r="AA18" s="1810">
        <v>1</v>
      </c>
      <c r="AB18" s="1810">
        <v>1</v>
      </c>
      <c r="AC18" s="1810">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9"/>
      <c r="Q19" s="1809" t="str">
        <f>B19</f>
        <v>公共配套设施</v>
      </c>
      <c r="R19" s="774" t="s">
        <v>17</v>
      </c>
      <c r="S19" s="775">
        <f>F19</f>
        <v>100</v>
      </c>
      <c r="T19" s="774" t="s">
        <v>17</v>
      </c>
      <c r="U19" s="775">
        <f>H19</f>
        <v>100</v>
      </c>
      <c r="V19" s="774" t="s">
        <v>17</v>
      </c>
      <c r="W19" s="775">
        <f>J19</f>
        <v>100</v>
      </c>
      <c r="X19" s="1812"/>
      <c r="Y19" s="3189"/>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89"/>
      <c r="Q20" s="1809"/>
      <c r="R20" s="774"/>
      <c r="S20" s="775"/>
      <c r="T20" s="774"/>
      <c r="U20" s="775"/>
      <c r="V20" s="774"/>
      <c r="W20" s="775"/>
      <c r="X20" s="1812"/>
      <c r="Y20" s="3189"/>
      <c r="Z20" s="1813"/>
      <c r="AA20" s="1810">
        <v>1</v>
      </c>
      <c r="AB20" s="1810">
        <v>1</v>
      </c>
      <c r="AC20" s="1810">
        <v>1</v>
      </c>
    </row>
    <row r="21" spans="1:29" ht="1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9"/>
      <c r="Q21" s="1809" t="str">
        <f>B21</f>
        <v>基础设施水平</v>
      </c>
      <c r="R21" s="774" t="s">
        <v>17</v>
      </c>
      <c r="S21" s="775">
        <f>F21</f>
        <v>100</v>
      </c>
      <c r="T21" s="774" t="s">
        <v>17</v>
      </c>
      <c r="U21" s="775">
        <f>H21</f>
        <v>100</v>
      </c>
      <c r="V21" s="774" t="s">
        <v>17</v>
      </c>
      <c r="W21" s="775">
        <f>J21</f>
        <v>100</v>
      </c>
      <c r="X21" s="1812"/>
      <c r="Y21" s="3189"/>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89"/>
      <c r="Q22" s="1809"/>
      <c r="R22" s="774"/>
      <c r="S22" s="775"/>
      <c r="T22" s="774"/>
      <c r="U22" s="775"/>
      <c r="V22" s="774"/>
      <c r="W22" s="775"/>
      <c r="X22" s="1812"/>
      <c r="Y22" s="3189"/>
      <c r="Z22" s="1813"/>
      <c r="AA22" s="1810">
        <v>1</v>
      </c>
      <c r="AB22" s="1810">
        <v>1</v>
      </c>
      <c r="AC22" s="1810">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9"/>
      <c r="Q23" s="1809" t="str">
        <f>B23</f>
        <v>环境质量</v>
      </c>
      <c r="R23" s="774" t="s">
        <v>17</v>
      </c>
      <c r="S23" s="775">
        <f>F23</f>
        <v>100</v>
      </c>
      <c r="T23" s="774" t="s">
        <v>17</v>
      </c>
      <c r="U23" s="775">
        <f>H23</f>
        <v>100</v>
      </c>
      <c r="V23" s="774" t="s">
        <v>17</v>
      </c>
      <c r="W23" s="775">
        <f>J23</f>
        <v>100</v>
      </c>
      <c r="X23" s="1812"/>
      <c r="Y23" s="3189"/>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89"/>
      <c r="Q24" s="1809"/>
      <c r="R24" s="774"/>
      <c r="S24" s="775"/>
      <c r="T24" s="774"/>
      <c r="U24" s="775"/>
      <c r="V24" s="774"/>
      <c r="W24" s="775"/>
      <c r="X24" s="1812"/>
      <c r="Y24" s="3189"/>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09">
        <f>B25</f>
        <v>111</v>
      </c>
      <c r="R25" s="774" t="s">
        <v>17</v>
      </c>
      <c r="S25" s="775">
        <f>F25</f>
        <v>100</v>
      </c>
      <c r="T25" s="774" t="s">
        <v>17</v>
      </c>
      <c r="U25" s="775">
        <f>H25</f>
        <v>100</v>
      </c>
      <c r="V25" s="774" t="s">
        <v>17</v>
      </c>
      <c r="W25" s="775">
        <f>J25</f>
        <v>100</v>
      </c>
      <c r="X25" s="1812"/>
      <c r="Y25" s="3189"/>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09">
        <f t="shared" ref="Q26:Q40" si="11">B26</f>
        <v>111</v>
      </c>
      <c r="R26" s="774" t="s">
        <v>17</v>
      </c>
      <c r="S26" s="775">
        <f>F26</f>
        <v>100</v>
      </c>
      <c r="T26" s="774" t="s">
        <v>17</v>
      </c>
      <c r="U26" s="775">
        <f>H26</f>
        <v>100</v>
      </c>
      <c r="V26" s="774" t="s">
        <v>17</v>
      </c>
      <c r="W26" s="775">
        <f>J26</f>
        <v>100</v>
      </c>
      <c r="X26" s="1812"/>
      <c r="Y26" s="3189"/>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94">
        <f t="shared" si="11"/>
        <v>111</v>
      </c>
      <c r="R27" s="770" t="s">
        <v>17</v>
      </c>
      <c r="S27" s="771">
        <f>F27</f>
        <v>100</v>
      </c>
      <c r="T27" s="770" t="s">
        <v>17</v>
      </c>
      <c r="U27" s="771">
        <f>H27</f>
        <v>100</v>
      </c>
      <c r="V27" s="770" t="s">
        <v>17</v>
      </c>
      <c r="W27" s="771">
        <f>J27</f>
        <v>100</v>
      </c>
      <c r="X27" s="772"/>
      <c r="Y27" s="3189"/>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09">
        <f t="shared" si="11"/>
        <v>111</v>
      </c>
      <c r="R28" s="774" t="s">
        <v>17</v>
      </c>
      <c r="S28" s="775">
        <f t="shared" ref="S28:S40" si="12">F28</f>
        <v>100</v>
      </c>
      <c r="T28" s="774" t="s">
        <v>17</v>
      </c>
      <c r="U28" s="775">
        <f t="shared" ref="U28:U40" si="13">H28</f>
        <v>100</v>
      </c>
      <c r="V28" s="774" t="s">
        <v>17</v>
      </c>
      <c r="W28" s="775">
        <f t="shared" ref="W28:W40" si="14">J28</f>
        <v>100</v>
      </c>
      <c r="X28" s="1812"/>
      <c r="Y28" s="3189"/>
      <c r="Z28" s="1813">
        <f t="shared" ref="Z28:Z40" si="15">Q28</f>
        <v>111</v>
      </c>
      <c r="AA28" s="1810">
        <f t="shared" si="3"/>
        <v>1</v>
      </c>
      <c r="AB28" s="1810">
        <f t="shared" si="4"/>
        <v>1</v>
      </c>
      <c r="AC28" s="1810">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90" t="s">
        <v>2513</v>
      </c>
      <c r="Q29" s="1809" t="str">
        <f t="shared" si="11"/>
        <v>建筑类型</v>
      </c>
      <c r="R29" s="774" t="s">
        <v>17</v>
      </c>
      <c r="S29" s="775">
        <f t="shared" si="12"/>
        <v>100</v>
      </c>
      <c r="T29" s="774" t="s">
        <v>17</v>
      </c>
      <c r="U29" s="775">
        <f t="shared" si="13"/>
        <v>100</v>
      </c>
      <c r="V29" s="774" t="s">
        <v>17</v>
      </c>
      <c r="W29" s="775">
        <f t="shared" si="14"/>
        <v>100</v>
      </c>
      <c r="X29" s="1812"/>
      <c r="Y29" s="3191"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09" t="str">
        <f t="shared" si="11"/>
        <v>建筑结构</v>
      </c>
      <c r="R31" s="774" t="s">
        <v>17</v>
      </c>
      <c r="S31" s="775">
        <f t="shared" si="12"/>
        <v>100</v>
      </c>
      <c r="T31" s="774" t="s">
        <v>17</v>
      </c>
      <c r="U31" s="775">
        <f t="shared" si="13"/>
        <v>100</v>
      </c>
      <c r="V31" s="774" t="s">
        <v>17</v>
      </c>
      <c r="W31" s="775">
        <f t="shared" si="14"/>
        <v>100</v>
      </c>
      <c r="X31" s="1812"/>
      <c r="Y31" s="3191"/>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09" t="str">
        <f t="shared" si="11"/>
        <v>公共部分装修</v>
      </c>
      <c r="R32" s="774" t="s">
        <v>17</v>
      </c>
      <c r="S32" s="775">
        <f t="shared" si="12"/>
        <v>100</v>
      </c>
      <c r="T32" s="774" t="s">
        <v>17</v>
      </c>
      <c r="U32" s="775">
        <f t="shared" si="13"/>
        <v>100</v>
      </c>
      <c r="V32" s="774" t="s">
        <v>17</v>
      </c>
      <c r="W32" s="775">
        <f t="shared" si="14"/>
        <v>100</v>
      </c>
      <c r="X32" s="1812"/>
      <c r="Y32" s="3191"/>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09" t="str">
        <f t="shared" si="11"/>
        <v>成新度</v>
      </c>
      <c r="R33" s="774" t="s">
        <v>17</v>
      </c>
      <c r="S33" s="775" t="e">
        <f t="shared" si="12"/>
        <v>#N/A</v>
      </c>
      <c r="T33" s="774" t="s">
        <v>17</v>
      </c>
      <c r="U33" s="775" t="e">
        <f t="shared" si="13"/>
        <v>#N/A</v>
      </c>
      <c r="V33" s="774" t="s">
        <v>17</v>
      </c>
      <c r="W33" s="775" t="e">
        <f t="shared" si="14"/>
        <v>#N/A</v>
      </c>
      <c r="X33" s="1812"/>
      <c r="Y33" s="3191"/>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94"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2513</v>
      </c>
      <c r="Q35" s="1809" t="str">
        <f t="shared" si="11"/>
        <v>市政基础设施</v>
      </c>
      <c r="R35" s="774" t="s">
        <v>17</v>
      </c>
      <c r="S35" s="775">
        <f t="shared" si="12"/>
        <v>100</v>
      </c>
      <c r="T35" s="774" t="s">
        <v>17</v>
      </c>
      <c r="U35" s="775">
        <f t="shared" si="13"/>
        <v>100</v>
      </c>
      <c r="V35" s="774" t="s">
        <v>17</v>
      </c>
      <c r="W35" s="775">
        <f t="shared" si="14"/>
        <v>100</v>
      </c>
      <c r="X35" s="1812"/>
      <c r="Y35" s="3191"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09" t="str">
        <f t="shared" si="11"/>
        <v>内部装修</v>
      </c>
      <c r="R36" s="774" t="s">
        <v>17</v>
      </c>
      <c r="S36" s="775">
        <f t="shared" si="12"/>
        <v>100</v>
      </c>
      <c r="T36" s="774" t="s">
        <v>17</v>
      </c>
      <c r="U36" s="775">
        <f t="shared" si="13"/>
        <v>100</v>
      </c>
      <c r="V36" s="774" t="s">
        <v>17</v>
      </c>
      <c r="W36" s="775">
        <f t="shared" si="14"/>
        <v>100</v>
      </c>
      <c r="X36" s="1812"/>
      <c r="Y36" s="3191"/>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09" t="str">
        <f t="shared" si="11"/>
        <v>内部装修状况</v>
      </c>
      <c r="R37" s="774" t="s">
        <v>17</v>
      </c>
      <c r="S37" s="775">
        <f t="shared" si="12"/>
        <v>100</v>
      </c>
      <c r="T37" s="774" t="s">
        <v>17</v>
      </c>
      <c r="U37" s="775">
        <f t="shared" si="13"/>
        <v>100</v>
      </c>
      <c r="V37" s="774" t="s">
        <v>17</v>
      </c>
      <c r="W37" s="775">
        <f t="shared" si="14"/>
        <v>100</v>
      </c>
      <c r="X37" s="1812"/>
      <c r="Y37" s="319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09">
        <f t="shared" si="11"/>
        <v>111</v>
      </c>
      <c r="R39" s="774" t="s">
        <v>17</v>
      </c>
      <c r="S39" s="775">
        <f t="shared" si="12"/>
        <v>100</v>
      </c>
      <c r="T39" s="774" t="s">
        <v>17</v>
      </c>
      <c r="U39" s="775">
        <f t="shared" si="13"/>
        <v>100</v>
      </c>
      <c r="V39" s="774" t="s">
        <v>17</v>
      </c>
      <c r="W39" s="775">
        <f t="shared" si="14"/>
        <v>100</v>
      </c>
      <c r="X39" s="1812"/>
      <c r="Y39" s="3191"/>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09">
        <f t="shared" si="11"/>
        <v>111</v>
      </c>
      <c r="R40" s="774" t="s">
        <v>17</v>
      </c>
      <c r="S40" s="775">
        <f t="shared" si="12"/>
        <v>100</v>
      </c>
      <c r="T40" s="774" t="s">
        <v>17</v>
      </c>
      <c r="U40" s="775">
        <f t="shared" si="13"/>
        <v>100</v>
      </c>
      <c r="V40" s="774" t="s">
        <v>17</v>
      </c>
      <c r="W40" s="775">
        <f t="shared" si="14"/>
        <v>100</v>
      </c>
      <c r="X40" s="1812"/>
      <c r="Y40" s="3232"/>
      <c r="Z40" s="1813">
        <f t="shared" si="15"/>
        <v>111</v>
      </c>
      <c r="AA40" s="1810">
        <f t="shared" si="3"/>
        <v>1</v>
      </c>
      <c r="AB40" s="1810">
        <f t="shared" si="4"/>
        <v>1</v>
      </c>
      <c r="AC40" s="1810">
        <f t="shared" si="5"/>
        <v>1</v>
      </c>
    </row>
    <row r="41" spans="1:29" ht="15">
      <c r="A41" s="479" t="s">
        <v>2525</v>
      </c>
      <c r="B41" s="480"/>
      <c r="C41" s="1407" t="s">
        <v>1</v>
      </c>
      <c r="D41" s="1408"/>
      <c r="E41" s="1409"/>
      <c r="F41" s="1410"/>
      <c r="G41" s="1411"/>
      <c r="H41" s="1412"/>
      <c r="I41" s="1409"/>
      <c r="J41" s="1412"/>
      <c r="K41" s="783"/>
      <c r="L41" s="1143"/>
      <c r="M41" s="1144"/>
      <c r="N41" s="1131"/>
      <c r="O41" s="1144"/>
      <c r="P41" s="3186" t="str">
        <f>A41</f>
        <v>成交单价（元/平方米）</v>
      </c>
      <c r="Q41" s="3186"/>
      <c r="R41" s="3223">
        <f>E41</f>
        <v>0</v>
      </c>
      <c r="S41" s="3223"/>
      <c r="T41" s="3223">
        <f>G41</f>
        <v>0</v>
      </c>
      <c r="U41" s="3223"/>
      <c r="V41" s="3223">
        <f>I41</f>
        <v>0</v>
      </c>
      <c r="W41" s="3223"/>
      <c r="X41" s="759"/>
      <c r="Y41" s="781"/>
      <c r="Z41" s="759"/>
      <c r="AA41" s="759"/>
      <c r="AB41" s="759"/>
      <c r="AC41" s="759"/>
    </row>
    <row r="42" spans="1:29" ht="15.7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86" t="str">
        <f>A42</f>
        <v>比较价值（元/平方米）</v>
      </c>
      <c r="Q42" s="3186"/>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2618</v>
      </c>
      <c r="B43" s="493"/>
      <c r="C43" s="1417" t="e">
        <f>R43</f>
        <v>#DIV/0!</v>
      </c>
      <c r="D43" s="1417"/>
      <c r="E43" s="1417"/>
      <c r="F43" s="1417"/>
      <c r="G43" s="1417"/>
      <c r="H43" s="1417"/>
      <c r="I43" s="1417"/>
      <c r="J43" s="1417"/>
      <c r="K43" s="785"/>
      <c r="L43" s="1143"/>
      <c r="M43" s="1144"/>
      <c r="N43" s="1144"/>
      <c r="O43" s="1144"/>
      <c r="P43" s="3180" t="str">
        <f>A43</f>
        <v>估价对象XX用房的比较价值（楼面单价，元/平方米）</v>
      </c>
      <c r="Q43" s="3181"/>
      <c r="R43" s="3275" t="e">
        <f>IF(F1="售价",ROUND(AVERAGE(R42:V42),0),ROUND(AVERAGE(R42:V42),1))</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2622</v>
      </c>
      <c r="B51" s="759"/>
      <c r="C51" s="764"/>
      <c r="D51" s="764"/>
      <c r="E51" s="764"/>
      <c r="F51" s="765"/>
      <c r="G51" s="765"/>
      <c r="H51" s="764"/>
      <c r="I51" s="764"/>
      <c r="J51" s="764"/>
      <c r="K51" s="1160"/>
      <c r="L51" s="1161"/>
      <c r="M51" s="1159"/>
      <c r="N51" s="1159"/>
      <c r="O51" s="1159"/>
      <c r="P51" s="503"/>
      <c r="Q51" s="504"/>
    </row>
    <row r="52" spans="1:17" s="508" customFormat="1" ht="15">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2536</v>
      </c>
      <c r="B57" s="528" t="s">
        <v>2502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2511</v>
      </c>
      <c r="B88" s="528" t="s">
        <v>2560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4" t="s">
        <v>2596</v>
      </c>
      <c r="AC4" s="3193" t="s">
        <v>2597</v>
      </c>
    </row>
    <row r="5" spans="1:29" ht="15">
      <c r="A5" s="404"/>
      <c r="B5" s="405"/>
      <c r="C5" s="3213" t="s">
        <v>2490</v>
      </c>
      <c r="D5" s="3214"/>
      <c r="E5" s="3221" t="s">
        <v>2491</v>
      </c>
      <c r="F5" s="3222"/>
      <c r="G5" s="3213" t="s">
        <v>2492</v>
      </c>
      <c r="H5" s="3214"/>
      <c r="I5" s="3213" t="s">
        <v>2493</v>
      </c>
      <c r="J5" s="3214"/>
      <c r="K5" s="610"/>
      <c r="L5" s="1130"/>
      <c r="M5" s="1131"/>
      <c r="N5" s="1131"/>
      <c r="O5" s="1131"/>
      <c r="P5" s="3201"/>
      <c r="Q5" s="3202"/>
      <c r="R5" s="3207"/>
      <c r="S5" s="3208"/>
      <c r="T5" s="3207"/>
      <c r="U5" s="3208"/>
      <c r="V5" s="3192"/>
      <c r="W5" s="3192"/>
      <c r="X5" s="1812"/>
      <c r="Y5" s="3207"/>
      <c r="Z5" s="3208"/>
      <c r="AA5" s="3194"/>
      <c r="AB5" s="3194"/>
      <c r="AC5" s="3194"/>
    </row>
    <row r="6" spans="1:29" ht="15.75" thickBot="1">
      <c r="A6" s="406"/>
      <c r="B6" s="407"/>
      <c r="C6" s="3211" t="s">
        <v>2494</v>
      </c>
      <c r="D6" s="3212"/>
      <c r="E6" s="3219" t="s">
        <v>2494</v>
      </c>
      <c r="F6" s="3220"/>
      <c r="G6" s="3211" t="s">
        <v>2494</v>
      </c>
      <c r="H6" s="3212"/>
      <c r="I6" s="3211" t="s">
        <v>2494</v>
      </c>
      <c r="J6" s="3212"/>
      <c r="K6" s="610" t="s">
        <v>2495</v>
      </c>
      <c r="L6" s="1130"/>
      <c r="M6" s="1131"/>
      <c r="N6" s="1131"/>
      <c r="O6" s="1131"/>
      <c r="P6" s="3203"/>
      <c r="Q6" s="3204"/>
      <c r="R6" s="3207"/>
      <c r="S6" s="3208"/>
      <c r="T6" s="3209"/>
      <c r="U6" s="3210"/>
      <c r="V6" s="3192"/>
      <c r="W6" s="3192"/>
      <c r="X6" s="1812"/>
      <c r="Y6" s="3209"/>
      <c r="Z6" s="3210"/>
      <c r="AA6" s="3195"/>
      <c r="AB6" s="3195"/>
      <c r="AC6" s="3195"/>
    </row>
    <row r="7" spans="1:29" s="117" customFormat="1" ht="15.7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2497</v>
      </c>
      <c r="Q7" s="3217"/>
      <c r="R7" s="770" t="s">
        <v>17</v>
      </c>
      <c r="S7" s="771">
        <f t="shared" ref="S7:S14" si="0">F7</f>
        <v>0</v>
      </c>
      <c r="T7" s="770" t="s">
        <v>17</v>
      </c>
      <c r="U7" s="771">
        <f t="shared" ref="U7:U14" si="1">H7</f>
        <v>0</v>
      </c>
      <c r="V7" s="770" t="s">
        <v>17</v>
      </c>
      <c r="W7" s="771">
        <f t="shared" ref="W7:W14" si="2">J7</f>
        <v>0</v>
      </c>
      <c r="X7" s="772"/>
      <c r="Y7" s="3215" t="s">
        <v>2497</v>
      </c>
      <c r="Z7" s="3216"/>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2500</v>
      </c>
      <c r="Q8" s="3216"/>
      <c r="R8" s="770" t="s">
        <v>17</v>
      </c>
      <c r="S8" s="771">
        <f t="shared" si="0"/>
        <v>0</v>
      </c>
      <c r="T8" s="770" t="s">
        <v>17</v>
      </c>
      <c r="U8" s="771">
        <f t="shared" si="1"/>
        <v>0</v>
      </c>
      <c r="V8" s="770" t="s">
        <v>17</v>
      </c>
      <c r="W8" s="771">
        <f t="shared" si="2"/>
        <v>0</v>
      </c>
      <c r="X8" s="772"/>
      <c r="Y8" s="3215" t="s">
        <v>2500</v>
      </c>
      <c r="Z8" s="3216"/>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2503</v>
      </c>
      <c r="Q9" s="1794" t="str">
        <f t="shared" ref="Q9:Q14" si="6">B9</f>
        <v>用途</v>
      </c>
      <c r="R9" s="770" t="s">
        <v>17</v>
      </c>
      <c r="S9" s="771">
        <f t="shared" si="0"/>
        <v>100</v>
      </c>
      <c r="T9" s="770" t="s">
        <v>17</v>
      </c>
      <c r="U9" s="771">
        <f t="shared" si="1"/>
        <v>100</v>
      </c>
      <c r="V9" s="770" t="s">
        <v>17</v>
      </c>
      <c r="W9" s="771">
        <f t="shared" si="2"/>
        <v>100</v>
      </c>
      <c r="X9" s="772"/>
      <c r="Y9" s="3018"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4">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28.25">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2508</v>
      </c>
      <c r="Q14" s="1809" t="str">
        <f t="shared" si="6"/>
        <v>交通便捷度</v>
      </c>
      <c r="R14" s="774" t="s">
        <v>17</v>
      </c>
      <c r="S14" s="775">
        <f t="shared" si="0"/>
        <v>100</v>
      </c>
      <c r="T14" s="774" t="s">
        <v>17</v>
      </c>
      <c r="U14" s="775">
        <f t="shared" si="1"/>
        <v>100</v>
      </c>
      <c r="V14" s="774" t="s">
        <v>17</v>
      </c>
      <c r="W14" s="775">
        <f t="shared" si="2"/>
        <v>100</v>
      </c>
      <c r="X14" s="1812"/>
      <c r="Y14" s="3188"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9"/>
      <c r="Q15" s="1809"/>
      <c r="R15" s="774"/>
      <c r="S15" s="775"/>
      <c r="T15" s="774"/>
      <c r="U15" s="775"/>
      <c r="V15" s="774"/>
      <c r="W15" s="775"/>
      <c r="X15" s="1812"/>
      <c r="Y15" s="3189"/>
      <c r="Z15" s="1813"/>
      <c r="AA15" s="1810">
        <v>1</v>
      </c>
      <c r="AB15" s="1810">
        <v>1</v>
      </c>
      <c r="AC15" s="1810">
        <v>1</v>
      </c>
    </row>
    <row r="16" spans="1:29" ht="42.75">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09" t="str">
        <f>B16</f>
        <v>公共配套设施</v>
      </c>
      <c r="R16" s="774" t="s">
        <v>17</v>
      </c>
      <c r="S16" s="775">
        <f>F16</f>
        <v>100</v>
      </c>
      <c r="T16" s="774" t="s">
        <v>17</v>
      </c>
      <c r="U16" s="775">
        <f>H16</f>
        <v>100</v>
      </c>
      <c r="V16" s="774" t="s">
        <v>17</v>
      </c>
      <c r="W16" s="775">
        <f>J16</f>
        <v>100</v>
      </c>
      <c r="X16" s="1812"/>
      <c r="Y16" s="3189"/>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89"/>
      <c r="Q17" s="1809"/>
      <c r="R17" s="774"/>
      <c r="S17" s="775"/>
      <c r="T17" s="774"/>
      <c r="U17" s="775"/>
      <c r="V17" s="774"/>
      <c r="W17" s="775"/>
      <c r="X17" s="1812"/>
      <c r="Y17" s="3189"/>
      <c r="Z17" s="1813"/>
      <c r="AA17" s="1810">
        <v>1</v>
      </c>
      <c r="AB17" s="1810">
        <v>1</v>
      </c>
      <c r="AC17" s="1810">
        <v>1</v>
      </c>
    </row>
    <row r="18" spans="1:29" ht="42.75">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09" t="str">
        <f>B18</f>
        <v>基础设施水平</v>
      </c>
      <c r="R18" s="774" t="s">
        <v>17</v>
      </c>
      <c r="S18" s="775">
        <f>F18</f>
        <v>100</v>
      </c>
      <c r="T18" s="774" t="s">
        <v>17</v>
      </c>
      <c r="U18" s="775">
        <f>H18</f>
        <v>100</v>
      </c>
      <c r="V18" s="774" t="s">
        <v>17</v>
      </c>
      <c r="W18" s="775">
        <f>J18</f>
        <v>100</v>
      </c>
      <c r="X18" s="1812"/>
      <c r="Y18" s="3189"/>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89"/>
      <c r="Q19" s="1809"/>
      <c r="R19" s="774"/>
      <c r="S19" s="775"/>
      <c r="T19" s="774"/>
      <c r="U19" s="775"/>
      <c r="V19" s="774"/>
      <c r="W19" s="775"/>
      <c r="X19" s="1812"/>
      <c r="Y19" s="3189"/>
      <c r="Z19" s="1813"/>
      <c r="AA19" s="1810">
        <v>1</v>
      </c>
      <c r="AB19" s="1810">
        <v>1</v>
      </c>
      <c r="AC19" s="1810">
        <v>1</v>
      </c>
    </row>
    <row r="20" spans="1:29" ht="57">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09" t="str">
        <f>B20</f>
        <v>自然及人文环境</v>
      </c>
      <c r="R20" s="774" t="s">
        <v>17</v>
      </c>
      <c r="S20" s="775">
        <f>F20</f>
        <v>100</v>
      </c>
      <c r="T20" s="774" t="s">
        <v>17</v>
      </c>
      <c r="U20" s="775">
        <f>H20</f>
        <v>100</v>
      </c>
      <c r="V20" s="774" t="s">
        <v>17</v>
      </c>
      <c r="W20" s="775">
        <f>J20</f>
        <v>100</v>
      </c>
      <c r="X20" s="1812"/>
      <c r="Y20" s="318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9"/>
      <c r="Q21" s="1809"/>
      <c r="R21" s="774"/>
      <c r="S21" s="775"/>
      <c r="T21" s="774"/>
      <c r="U21" s="775"/>
      <c r="V21" s="774"/>
      <c r="W21" s="775"/>
      <c r="X21" s="1812"/>
      <c r="Y21" s="3189"/>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09" t="str">
        <f>B22</f>
        <v>楼层</v>
      </c>
      <c r="R22" s="774" t="s">
        <v>17</v>
      </c>
      <c r="S22" s="775">
        <f>F22</f>
        <v>100</v>
      </c>
      <c r="T22" s="774" t="s">
        <v>17</v>
      </c>
      <c r="U22" s="775">
        <f>H22</f>
        <v>100</v>
      </c>
      <c r="V22" s="774" t="s">
        <v>17</v>
      </c>
      <c r="W22" s="775">
        <f>J22</f>
        <v>100</v>
      </c>
      <c r="X22" s="1812"/>
      <c r="Y22" s="318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09">
        <f>B23</f>
        <v>111</v>
      </c>
      <c r="R23" s="774" t="s">
        <v>17</v>
      </c>
      <c r="S23" s="775">
        <f>F23</f>
        <v>100</v>
      </c>
      <c r="T23" s="774" t="s">
        <v>17</v>
      </c>
      <c r="U23" s="775">
        <f>H23</f>
        <v>100</v>
      </c>
      <c r="V23" s="774" t="s">
        <v>17</v>
      </c>
      <c r="W23" s="775">
        <f>J23</f>
        <v>100</v>
      </c>
      <c r="X23" s="1812"/>
      <c r="Y23" s="318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09">
        <f t="shared" ref="Q24:Q36" si="11">B24</f>
        <v>111</v>
      </c>
      <c r="R24" s="774" t="s">
        <v>17</v>
      </c>
      <c r="S24" s="775">
        <f>F24</f>
        <v>100</v>
      </c>
      <c r="T24" s="774" t="s">
        <v>17</v>
      </c>
      <c r="U24" s="775">
        <f>H24</f>
        <v>100</v>
      </c>
      <c r="V24" s="774" t="s">
        <v>17</v>
      </c>
      <c r="W24" s="775">
        <f>J24</f>
        <v>100</v>
      </c>
      <c r="X24" s="1812"/>
      <c r="Y24" s="318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94">
        <f t="shared" si="11"/>
        <v>111</v>
      </c>
      <c r="R25" s="770" t="s">
        <v>17</v>
      </c>
      <c r="S25" s="771">
        <f>F25</f>
        <v>100</v>
      </c>
      <c r="T25" s="770" t="s">
        <v>17</v>
      </c>
      <c r="U25" s="771">
        <f>H25</f>
        <v>100</v>
      </c>
      <c r="V25" s="770" t="s">
        <v>17</v>
      </c>
      <c r="W25" s="771">
        <f>J25</f>
        <v>100</v>
      </c>
      <c r="X25" s="772"/>
      <c r="Y25" s="3189"/>
      <c r="Z25" s="55">
        <f>Q25</f>
        <v>111</v>
      </c>
      <c r="AA25" s="1810">
        <f>D25/F25</f>
        <v>1</v>
      </c>
      <c r="AB25" s="1810">
        <f>D25/H25</f>
        <v>1</v>
      </c>
      <c r="AC25" s="1810">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0"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1"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09" t="str">
        <f t="shared" si="11"/>
        <v>公共部分装修</v>
      </c>
      <c r="R28" s="774" t="s">
        <v>17</v>
      </c>
      <c r="S28" s="775">
        <f t="shared" si="12"/>
        <v>100</v>
      </c>
      <c r="T28" s="774" t="s">
        <v>17</v>
      </c>
      <c r="U28" s="775">
        <f t="shared" si="13"/>
        <v>100</v>
      </c>
      <c r="V28" s="774" t="s">
        <v>17</v>
      </c>
      <c r="W28" s="775">
        <f t="shared" si="14"/>
        <v>100</v>
      </c>
      <c r="X28" s="1812"/>
      <c r="Y28" s="3191"/>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09" t="str">
        <f t="shared" si="11"/>
        <v>成新率</v>
      </c>
      <c r="R29" s="774" t="s">
        <v>17</v>
      </c>
      <c r="S29" s="775" t="e">
        <f t="shared" si="12"/>
        <v>#N/A</v>
      </c>
      <c r="T29" s="774" t="s">
        <v>17</v>
      </c>
      <c r="U29" s="775" t="e">
        <f t="shared" si="13"/>
        <v>#N/A</v>
      </c>
      <c r="V29" s="774" t="s">
        <v>17</v>
      </c>
      <c r="W29" s="775" t="e">
        <f t="shared" si="14"/>
        <v>#N/A</v>
      </c>
      <c r="X29" s="1812"/>
      <c r="Y29" s="3191"/>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09" t="str">
        <f t="shared" si="11"/>
        <v>物业等级</v>
      </c>
      <c r="R30" s="774" t="s">
        <v>17</v>
      </c>
      <c r="S30" s="775">
        <f t="shared" si="12"/>
        <v>100</v>
      </c>
      <c r="T30" s="774" t="s">
        <v>17</v>
      </c>
      <c r="U30" s="775">
        <f t="shared" si="13"/>
        <v>100</v>
      </c>
      <c r="V30" s="774" t="s">
        <v>17</v>
      </c>
      <c r="W30" s="775">
        <f t="shared" si="14"/>
        <v>100</v>
      </c>
      <c r="X30" s="1812"/>
      <c r="Y30" s="3191"/>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94"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2513</v>
      </c>
      <c r="Q32" s="1809" t="str">
        <f t="shared" si="11"/>
        <v>车位类型</v>
      </c>
      <c r="R32" s="774" t="s">
        <v>17</v>
      </c>
      <c r="S32" s="775">
        <f t="shared" si="12"/>
        <v>100</v>
      </c>
      <c r="T32" s="774" t="s">
        <v>17</v>
      </c>
      <c r="U32" s="775">
        <f t="shared" si="13"/>
        <v>100</v>
      </c>
      <c r="V32" s="774" t="s">
        <v>17</v>
      </c>
      <c r="W32" s="775">
        <f t="shared" si="14"/>
        <v>100</v>
      </c>
      <c r="X32" s="1812"/>
      <c r="Y32" s="3191"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09" t="str">
        <f t="shared" si="11"/>
        <v>是否直接入户</v>
      </c>
      <c r="R33" s="774" t="s">
        <v>17</v>
      </c>
      <c r="S33" s="775">
        <f t="shared" si="12"/>
        <v>100</v>
      </c>
      <c r="T33" s="774" t="s">
        <v>17</v>
      </c>
      <c r="U33" s="775">
        <f t="shared" si="13"/>
        <v>100</v>
      </c>
      <c r="V33" s="774" t="s">
        <v>17</v>
      </c>
      <c r="W33" s="775">
        <f t="shared" si="14"/>
        <v>100</v>
      </c>
      <c r="X33" s="1812"/>
      <c r="Y33" s="319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09">
        <f t="shared" si="11"/>
        <v>111</v>
      </c>
      <c r="R34" s="774" t="s">
        <v>17</v>
      </c>
      <c r="S34" s="775">
        <f t="shared" si="12"/>
        <v>100</v>
      </c>
      <c r="T34" s="774" t="s">
        <v>17</v>
      </c>
      <c r="U34" s="775">
        <f t="shared" si="13"/>
        <v>100</v>
      </c>
      <c r="V34" s="774" t="s">
        <v>17</v>
      </c>
      <c r="W34" s="775">
        <f t="shared" si="14"/>
        <v>100</v>
      </c>
      <c r="X34" s="1812"/>
      <c r="Y34" s="319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09">
        <f t="shared" si="11"/>
        <v>111</v>
      </c>
      <c r="R36" s="774" t="s">
        <v>17</v>
      </c>
      <c r="S36" s="775">
        <f t="shared" si="12"/>
        <v>100</v>
      </c>
      <c r="T36" s="774" t="s">
        <v>17</v>
      </c>
      <c r="U36" s="775">
        <f t="shared" si="13"/>
        <v>100</v>
      </c>
      <c r="V36" s="774" t="s">
        <v>17</v>
      </c>
      <c r="W36" s="775">
        <f t="shared" si="14"/>
        <v>100</v>
      </c>
      <c r="X36" s="1812"/>
      <c r="Y36" s="3191"/>
      <c r="Z36" s="1813">
        <f t="shared" si="15"/>
        <v>111</v>
      </c>
      <c r="AA36" s="1810">
        <f t="shared" si="3"/>
        <v>1</v>
      </c>
      <c r="AB36" s="1810">
        <f t="shared" si="4"/>
        <v>1</v>
      </c>
      <c r="AC36" s="1810">
        <f t="shared" si="5"/>
        <v>1</v>
      </c>
    </row>
    <row r="37" spans="1:29" ht="15">
      <c r="A37" s="479" t="s">
        <v>2668</v>
      </c>
      <c r="B37" s="2697" t="s">
        <v>2669</v>
      </c>
      <c r="C37" s="1407" t="s">
        <v>1</v>
      </c>
      <c r="D37" s="1408"/>
      <c r="E37" s="1409"/>
      <c r="F37" s="1410"/>
      <c r="G37" s="1411"/>
      <c r="H37" s="1412"/>
      <c r="I37" s="1409"/>
      <c r="J37" s="1412"/>
      <c r="K37" s="619"/>
      <c r="L37" s="1143"/>
      <c r="M37" s="1144"/>
      <c r="N37" s="1131"/>
      <c r="O37" s="1144"/>
      <c r="P37" s="3186" t="str">
        <f>A37</f>
        <v>成交单价</v>
      </c>
      <c r="Q37" s="3186"/>
      <c r="R37" s="3223">
        <f>E37</f>
        <v>0</v>
      </c>
      <c r="S37" s="3223"/>
      <c r="T37" s="3223">
        <f>G37</f>
        <v>0</v>
      </c>
      <c r="U37" s="3223"/>
      <c r="V37" s="3223">
        <f>I37</f>
        <v>0</v>
      </c>
      <c r="W37" s="3223"/>
      <c r="X37" s="759"/>
      <c r="Y37" s="781"/>
      <c r="Z37" s="759"/>
      <c r="AA37" s="759"/>
      <c r="AB37" s="759"/>
      <c r="AC37" s="759"/>
    </row>
    <row r="38" spans="1:29" ht="15.7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2671</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275" t="e">
        <f>IF(F1="售价",ROUND(AVERAGE(R38:V38),0),ROUND(AVERAGE(R38:V38),1))</f>
        <v>#DIV/0!</v>
      </c>
      <c r="S39" s="3275"/>
      <c r="T39" s="3275"/>
      <c r="U39" s="3275"/>
      <c r="V39" s="3275"/>
      <c r="W39" s="32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4" t="s">
        <v>2596</v>
      </c>
      <c r="AC4" s="3193" t="s">
        <v>2597</v>
      </c>
    </row>
    <row r="5" spans="1:29" ht="15">
      <c r="A5" s="404"/>
      <c r="B5" s="405"/>
      <c r="C5" s="3213" t="s">
        <v>2490</v>
      </c>
      <c r="D5" s="3214"/>
      <c r="E5" s="3221" t="s">
        <v>2491</v>
      </c>
      <c r="F5" s="3222"/>
      <c r="G5" s="3213" t="s">
        <v>2492</v>
      </c>
      <c r="H5" s="3214"/>
      <c r="I5" s="3213" t="s">
        <v>2493</v>
      </c>
      <c r="J5" s="3214"/>
      <c r="K5" s="610"/>
      <c r="L5" s="1130"/>
      <c r="M5" s="1131"/>
      <c r="N5" s="1131"/>
      <c r="O5" s="1131"/>
      <c r="P5" s="3201"/>
      <c r="Q5" s="3202"/>
      <c r="R5" s="3207"/>
      <c r="S5" s="3208"/>
      <c r="T5" s="3207"/>
      <c r="U5" s="3208"/>
      <c r="V5" s="3192"/>
      <c r="W5" s="3192"/>
      <c r="X5" s="1812"/>
      <c r="Y5" s="3207"/>
      <c r="Z5" s="3208"/>
      <c r="AA5" s="3194"/>
      <c r="AB5" s="3194"/>
      <c r="AC5" s="3194"/>
    </row>
    <row r="6" spans="1:29" ht="15.75" thickBot="1">
      <c r="A6" s="406"/>
      <c r="B6" s="407"/>
      <c r="C6" s="3211" t="s">
        <v>2494</v>
      </c>
      <c r="D6" s="3212"/>
      <c r="E6" s="3219" t="s">
        <v>2494</v>
      </c>
      <c r="F6" s="3220"/>
      <c r="G6" s="3211" t="s">
        <v>2494</v>
      </c>
      <c r="H6" s="3212"/>
      <c r="I6" s="3211" t="s">
        <v>2494</v>
      </c>
      <c r="J6" s="3212"/>
      <c r="K6" s="610" t="s">
        <v>2495</v>
      </c>
      <c r="L6" s="1130"/>
      <c r="M6" s="1131"/>
      <c r="N6" s="1131"/>
      <c r="O6" s="1131"/>
      <c r="P6" s="3203"/>
      <c r="Q6" s="3204"/>
      <c r="R6" s="3207"/>
      <c r="S6" s="3208"/>
      <c r="T6" s="3209"/>
      <c r="U6" s="3210"/>
      <c r="V6" s="3192"/>
      <c r="W6" s="3192"/>
      <c r="X6" s="1812"/>
      <c r="Y6" s="3209"/>
      <c r="Z6" s="3210"/>
      <c r="AA6" s="3195"/>
      <c r="AB6" s="3195"/>
      <c r="AC6" s="3195"/>
    </row>
    <row r="7" spans="1:29" s="117" customFormat="1" ht="15.7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15" t="s">
        <v>2497</v>
      </c>
      <c r="Q7" s="3217"/>
      <c r="R7" s="770" t="s">
        <v>17</v>
      </c>
      <c r="S7" s="771">
        <f t="shared" ref="S7:S14" si="0">F7</f>
        <v>0</v>
      </c>
      <c r="T7" s="770" t="s">
        <v>17</v>
      </c>
      <c r="U7" s="771">
        <f t="shared" ref="U7:U14" si="1">H7</f>
        <v>0</v>
      </c>
      <c r="V7" s="770" t="s">
        <v>17</v>
      </c>
      <c r="W7" s="771">
        <f t="shared" ref="W7:W14" si="2">J7</f>
        <v>0</v>
      </c>
      <c r="X7" s="772"/>
      <c r="Y7" s="3215" t="s">
        <v>2497</v>
      </c>
      <c r="Z7" s="3216"/>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2500</v>
      </c>
      <c r="Q8" s="3216"/>
      <c r="R8" s="770" t="s">
        <v>17</v>
      </c>
      <c r="S8" s="771">
        <f t="shared" si="0"/>
        <v>0</v>
      </c>
      <c r="T8" s="770" t="s">
        <v>17</v>
      </c>
      <c r="U8" s="771">
        <f t="shared" si="1"/>
        <v>0</v>
      </c>
      <c r="V8" s="770" t="s">
        <v>17</v>
      </c>
      <c r="W8" s="771">
        <f t="shared" si="2"/>
        <v>0</v>
      </c>
      <c r="X8" s="772"/>
      <c r="Y8" s="3215" t="s">
        <v>2500</v>
      </c>
      <c r="Z8" s="3216"/>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2503</v>
      </c>
      <c r="Q9" s="1794" t="str">
        <f t="shared" ref="Q9:Q14" si="6">B9</f>
        <v>用途</v>
      </c>
      <c r="R9" s="770" t="s">
        <v>17</v>
      </c>
      <c r="S9" s="771">
        <f t="shared" si="0"/>
        <v>100</v>
      </c>
      <c r="T9" s="770" t="s">
        <v>17</v>
      </c>
      <c r="U9" s="771">
        <f t="shared" si="1"/>
        <v>100</v>
      </c>
      <c r="V9" s="770" t="s">
        <v>17</v>
      </c>
      <c r="W9" s="771">
        <f t="shared" si="2"/>
        <v>100</v>
      </c>
      <c r="X9" s="772"/>
      <c r="Y9" s="3018"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4"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4">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6"/>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28.25">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2508</v>
      </c>
      <c r="Q14" s="1809" t="str">
        <f t="shared" si="6"/>
        <v>交通便捷度</v>
      </c>
      <c r="R14" s="774" t="s">
        <v>17</v>
      </c>
      <c r="S14" s="775">
        <f t="shared" si="0"/>
        <v>100</v>
      </c>
      <c r="T14" s="774" t="s">
        <v>17</v>
      </c>
      <c r="U14" s="775">
        <f t="shared" si="1"/>
        <v>100</v>
      </c>
      <c r="V14" s="774" t="s">
        <v>17</v>
      </c>
      <c r="W14" s="775">
        <f t="shared" si="2"/>
        <v>100</v>
      </c>
      <c r="X14" s="1812"/>
      <c r="Y14" s="3188"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9"/>
      <c r="Q15" s="1809"/>
      <c r="R15" s="774"/>
      <c r="S15" s="775"/>
      <c r="T15" s="774"/>
      <c r="U15" s="775"/>
      <c r="V15" s="774"/>
      <c r="W15" s="775"/>
      <c r="X15" s="1812"/>
      <c r="Y15" s="3189"/>
      <c r="Z15" s="1813"/>
      <c r="AA15" s="1810">
        <v>1</v>
      </c>
      <c r="AB15" s="1810">
        <v>1</v>
      </c>
      <c r="AC15" s="1810">
        <v>1</v>
      </c>
    </row>
    <row r="16" spans="1:29" ht="42.75">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09" t="str">
        <f>B16</f>
        <v>公共配套设施</v>
      </c>
      <c r="R16" s="774" t="s">
        <v>17</v>
      </c>
      <c r="S16" s="775">
        <f>F16</f>
        <v>100</v>
      </c>
      <c r="T16" s="774" t="s">
        <v>17</v>
      </c>
      <c r="U16" s="775">
        <f>H16</f>
        <v>100</v>
      </c>
      <c r="V16" s="774" t="s">
        <v>17</v>
      </c>
      <c r="W16" s="775">
        <f>J16</f>
        <v>100</v>
      </c>
      <c r="X16" s="1812"/>
      <c r="Y16" s="3189"/>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89"/>
      <c r="Q17" s="1809"/>
      <c r="R17" s="774"/>
      <c r="S17" s="775"/>
      <c r="T17" s="774"/>
      <c r="U17" s="775"/>
      <c r="V17" s="774"/>
      <c r="W17" s="775"/>
      <c r="X17" s="1812"/>
      <c r="Y17" s="3189"/>
      <c r="Z17" s="1813"/>
      <c r="AA17" s="1810">
        <v>1</v>
      </c>
      <c r="AB17" s="1810">
        <v>1</v>
      </c>
      <c r="AC17" s="1810">
        <v>1</v>
      </c>
    </row>
    <row r="18" spans="1:29" ht="42.75">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09" t="str">
        <f>B18</f>
        <v>基础设施水平</v>
      </c>
      <c r="R18" s="774" t="s">
        <v>17</v>
      </c>
      <c r="S18" s="775">
        <f>F18</f>
        <v>100</v>
      </c>
      <c r="T18" s="774" t="s">
        <v>17</v>
      </c>
      <c r="U18" s="775">
        <f>H18</f>
        <v>100</v>
      </c>
      <c r="V18" s="774" t="s">
        <v>17</v>
      </c>
      <c r="W18" s="775">
        <f>J18</f>
        <v>100</v>
      </c>
      <c r="X18" s="1812"/>
      <c r="Y18" s="3189"/>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89"/>
      <c r="Q19" s="1809"/>
      <c r="R19" s="774"/>
      <c r="S19" s="775"/>
      <c r="T19" s="774"/>
      <c r="U19" s="775"/>
      <c r="V19" s="774"/>
      <c r="W19" s="775"/>
      <c r="X19" s="1812"/>
      <c r="Y19" s="3189"/>
      <c r="Z19" s="1813"/>
      <c r="AA19" s="1810">
        <v>1</v>
      </c>
      <c r="AB19" s="1810">
        <v>1</v>
      </c>
      <c r="AC19" s="1810">
        <v>1</v>
      </c>
    </row>
    <row r="20" spans="1:29" ht="57">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09" t="str">
        <f>B20</f>
        <v>自然及人文环境</v>
      </c>
      <c r="R20" s="774" t="s">
        <v>17</v>
      </c>
      <c r="S20" s="775">
        <f>F20</f>
        <v>100</v>
      </c>
      <c r="T20" s="774" t="s">
        <v>17</v>
      </c>
      <c r="U20" s="775">
        <f>H20</f>
        <v>100</v>
      </c>
      <c r="V20" s="774" t="s">
        <v>17</v>
      </c>
      <c r="W20" s="775">
        <f>J20</f>
        <v>100</v>
      </c>
      <c r="X20" s="1812"/>
      <c r="Y20" s="318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9"/>
      <c r="Q21" s="1809"/>
      <c r="R21" s="774"/>
      <c r="S21" s="775"/>
      <c r="T21" s="774"/>
      <c r="U21" s="775"/>
      <c r="V21" s="774"/>
      <c r="W21" s="775"/>
      <c r="X21" s="1812"/>
      <c r="Y21" s="3189"/>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09" t="str">
        <f>B22</f>
        <v>楼层</v>
      </c>
      <c r="R22" s="774" t="s">
        <v>17</v>
      </c>
      <c r="S22" s="775">
        <f>F22</f>
        <v>100</v>
      </c>
      <c r="T22" s="774" t="s">
        <v>17</v>
      </c>
      <c r="U22" s="775">
        <f>H22</f>
        <v>100</v>
      </c>
      <c r="V22" s="774" t="s">
        <v>17</v>
      </c>
      <c r="W22" s="775">
        <f>J22</f>
        <v>100</v>
      </c>
      <c r="X22" s="1812"/>
      <c r="Y22" s="3189"/>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09">
        <f>B23</f>
        <v>111</v>
      </c>
      <c r="R23" s="774" t="s">
        <v>17</v>
      </c>
      <c r="S23" s="775">
        <f>F23</f>
        <v>100</v>
      </c>
      <c r="T23" s="774" t="s">
        <v>17</v>
      </c>
      <c r="U23" s="775">
        <f>H23</f>
        <v>100</v>
      </c>
      <c r="V23" s="774" t="s">
        <v>17</v>
      </c>
      <c r="W23" s="775">
        <f>J23</f>
        <v>100</v>
      </c>
      <c r="X23" s="1812"/>
      <c r="Y23" s="3189"/>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09">
        <f t="shared" ref="Q24:Q34" si="11">B24</f>
        <v>111</v>
      </c>
      <c r="R24" s="774" t="s">
        <v>17</v>
      </c>
      <c r="S24" s="775">
        <f>F24</f>
        <v>100</v>
      </c>
      <c r="T24" s="774" t="s">
        <v>17</v>
      </c>
      <c r="U24" s="775">
        <f>H24</f>
        <v>100</v>
      </c>
      <c r="V24" s="774" t="s">
        <v>17</v>
      </c>
      <c r="W24" s="775">
        <f>J24</f>
        <v>100</v>
      </c>
      <c r="X24" s="1812"/>
      <c r="Y24" s="3189"/>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89"/>
      <c r="Q25" s="1794">
        <f t="shared" si="11"/>
        <v>111</v>
      </c>
      <c r="R25" s="770" t="s">
        <v>17</v>
      </c>
      <c r="S25" s="771">
        <f>F25</f>
        <v>100</v>
      </c>
      <c r="T25" s="770" t="s">
        <v>17</v>
      </c>
      <c r="U25" s="771">
        <f>H25</f>
        <v>100</v>
      </c>
      <c r="V25" s="770" t="s">
        <v>17</v>
      </c>
      <c r="W25" s="771">
        <f>J25</f>
        <v>100</v>
      </c>
      <c r="X25" s="772"/>
      <c r="Y25" s="3189"/>
      <c r="Z25" s="55">
        <f>Q25</f>
        <v>111</v>
      </c>
      <c r="AA25" s="1810">
        <f>D25/F25</f>
        <v>1</v>
      </c>
      <c r="AB25" s="1810">
        <f>D25/H25</f>
        <v>1</v>
      </c>
      <c r="AC25" s="1810">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90"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1"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09" t="str">
        <f t="shared" si="11"/>
        <v>物业等级</v>
      </c>
      <c r="R28" s="774" t="s">
        <v>17</v>
      </c>
      <c r="S28" s="775">
        <f t="shared" si="12"/>
        <v>100</v>
      </c>
      <c r="T28" s="774" t="s">
        <v>17</v>
      </c>
      <c r="U28" s="775">
        <f t="shared" si="13"/>
        <v>100</v>
      </c>
      <c r="V28" s="774" t="s">
        <v>17</v>
      </c>
      <c r="W28" s="775">
        <f t="shared" si="14"/>
        <v>100</v>
      </c>
      <c r="X28" s="1812"/>
      <c r="Y28" s="3191"/>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09" t="str">
        <f t="shared" si="11"/>
        <v>有无电梯</v>
      </c>
      <c r="R29" s="774" t="s">
        <v>17</v>
      </c>
      <c r="S29" s="775">
        <f t="shared" si="12"/>
        <v>100</v>
      </c>
      <c r="T29" s="774" t="s">
        <v>17</v>
      </c>
      <c r="U29" s="775">
        <f t="shared" si="13"/>
        <v>100</v>
      </c>
      <c r="V29" s="774" t="s">
        <v>17</v>
      </c>
      <c r="W29" s="775">
        <f t="shared" si="14"/>
        <v>100</v>
      </c>
      <c r="X29" s="1812"/>
      <c r="Y29" s="3191"/>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09" t="str">
        <f t="shared" si="11"/>
        <v>建筑面积</v>
      </c>
      <c r="R30" s="774" t="s">
        <v>17</v>
      </c>
      <c r="S30" s="775" t="e">
        <f t="shared" si="12"/>
        <v>#N/A</v>
      </c>
      <c r="T30" s="774" t="s">
        <v>17</v>
      </c>
      <c r="U30" s="775" t="e">
        <f t="shared" si="13"/>
        <v>#N/A</v>
      </c>
      <c r="V30" s="774" t="s">
        <v>17</v>
      </c>
      <c r="W30" s="775" t="e">
        <f t="shared" si="14"/>
        <v>#N/A</v>
      </c>
      <c r="X30" s="1812"/>
      <c r="Y30" s="3191"/>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94"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2513</v>
      </c>
      <c r="Q32" s="1809">
        <f t="shared" si="11"/>
        <v>111</v>
      </c>
      <c r="R32" s="774" t="s">
        <v>17</v>
      </c>
      <c r="S32" s="775">
        <f t="shared" si="12"/>
        <v>100</v>
      </c>
      <c r="T32" s="774" t="s">
        <v>17</v>
      </c>
      <c r="U32" s="775">
        <f t="shared" si="13"/>
        <v>100</v>
      </c>
      <c r="V32" s="774" t="s">
        <v>17</v>
      </c>
      <c r="W32" s="775">
        <f t="shared" si="14"/>
        <v>100</v>
      </c>
      <c r="X32" s="1812"/>
      <c r="Y32" s="3191"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09">
        <f t="shared" si="11"/>
        <v>111</v>
      </c>
      <c r="R33" s="774" t="s">
        <v>17</v>
      </c>
      <c r="S33" s="775">
        <f t="shared" si="12"/>
        <v>100</v>
      </c>
      <c r="T33" s="774" t="s">
        <v>17</v>
      </c>
      <c r="U33" s="775">
        <f t="shared" si="13"/>
        <v>100</v>
      </c>
      <c r="V33" s="774" t="s">
        <v>17</v>
      </c>
      <c r="W33" s="775">
        <f t="shared" si="14"/>
        <v>100</v>
      </c>
      <c r="X33" s="1812"/>
      <c r="Y33" s="3191"/>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91"/>
      <c r="Q34" s="1809">
        <f t="shared" si="11"/>
        <v>111</v>
      </c>
      <c r="R34" s="774" t="s">
        <v>17</v>
      </c>
      <c r="S34" s="775">
        <f t="shared" si="12"/>
        <v>100</v>
      </c>
      <c r="T34" s="774" t="s">
        <v>17</v>
      </c>
      <c r="U34" s="775">
        <f t="shared" si="13"/>
        <v>100</v>
      </c>
      <c r="V34" s="774" t="s">
        <v>17</v>
      </c>
      <c r="W34" s="775">
        <f t="shared" si="14"/>
        <v>100</v>
      </c>
      <c r="X34" s="1812"/>
      <c r="Y34" s="3191"/>
      <c r="Z34" s="1813">
        <f t="shared" si="15"/>
        <v>111</v>
      </c>
      <c r="AA34" s="1810">
        <f t="shared" si="3"/>
        <v>1</v>
      </c>
      <c r="AB34" s="1810">
        <f t="shared" si="4"/>
        <v>1</v>
      </c>
      <c r="AC34" s="1810">
        <f t="shared" si="5"/>
        <v>1</v>
      </c>
    </row>
    <row r="35" spans="1:29" ht="15">
      <c r="A35" s="479" t="s">
        <v>2525</v>
      </c>
      <c r="B35" s="480"/>
      <c r="C35" s="1407" t="s">
        <v>1</v>
      </c>
      <c r="D35" s="1408"/>
      <c r="E35" s="1409"/>
      <c r="F35" s="1410"/>
      <c r="G35" s="1411"/>
      <c r="H35" s="1412"/>
      <c r="I35" s="1409"/>
      <c r="J35" s="1412"/>
      <c r="K35" s="783"/>
      <c r="L35" s="1143"/>
      <c r="M35" s="1144"/>
      <c r="N35" s="1131"/>
      <c r="O35" s="1144"/>
      <c r="P35" s="3186" t="str">
        <f>A35</f>
        <v>成交单价（元/平方米）</v>
      </c>
      <c r="Q35" s="3186"/>
      <c r="R35" s="3223">
        <f>E35</f>
        <v>0</v>
      </c>
      <c r="S35" s="3223"/>
      <c r="T35" s="3223">
        <f>G35</f>
        <v>0</v>
      </c>
      <c r="U35" s="3223"/>
      <c r="V35" s="3223">
        <f>I35</f>
        <v>0</v>
      </c>
      <c r="W35" s="3223"/>
      <c r="X35" s="759"/>
      <c r="Y35" s="781"/>
      <c r="Z35" s="759"/>
      <c r="AA35" s="759"/>
      <c r="AB35" s="759"/>
      <c r="AC35" s="759"/>
    </row>
    <row r="36" spans="1:29" ht="15.7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2618</v>
      </c>
      <c r="B37" s="493"/>
      <c r="C37" s="1417" t="e">
        <f>R37</f>
        <v>#DIV/0!</v>
      </c>
      <c r="D37" s="1417"/>
      <c r="E37" s="1417"/>
      <c r="F37" s="1417"/>
      <c r="G37" s="1417"/>
      <c r="H37" s="1417"/>
      <c r="I37" s="1417"/>
      <c r="J37" s="1417"/>
      <c r="K37" s="785"/>
      <c r="L37" s="1143"/>
      <c r="M37" s="1144"/>
      <c r="N37" s="1144"/>
      <c r="O37" s="1144"/>
      <c r="P37" s="3180" t="str">
        <f>A37</f>
        <v>估价对象XX用房的比较价值（楼面单价，元/平方米）</v>
      </c>
      <c r="Q37" s="3181"/>
      <c r="R37" s="3275" t="e">
        <f>IF(F1="售价",ROUND(AVERAGE(R36:V36),0),ROUND(AVERAGE(R36:V36),1))</f>
        <v>#DIV/0!</v>
      </c>
      <c r="S37" s="3275"/>
      <c r="T37" s="3275"/>
      <c r="U37" s="3275"/>
      <c r="V37" s="3275"/>
      <c r="W37" s="32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2536</v>
      </c>
      <c r="B51" s="528" t="s">
        <v>2502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3" t="s">
        <v>2594</v>
      </c>
      <c r="D4" s="3196"/>
      <c r="E4" s="3197" t="s">
        <v>2595</v>
      </c>
      <c r="F4" s="3198"/>
      <c r="G4" s="3183" t="s">
        <v>2596</v>
      </c>
      <c r="H4" s="3196"/>
      <c r="I4" s="3183" t="s">
        <v>2597</v>
      </c>
      <c r="J4" s="3196"/>
      <c r="K4" s="610" t="s">
        <v>2598</v>
      </c>
      <c r="L4" s="1130"/>
      <c r="M4" s="1131"/>
      <c r="N4" s="1131"/>
      <c r="O4" s="1131"/>
      <c r="P4" s="3199" t="s">
        <v>2599</v>
      </c>
      <c r="Q4" s="3200"/>
      <c r="R4" s="3205" t="s">
        <v>2595</v>
      </c>
      <c r="S4" s="3206"/>
      <c r="T4" s="3205" t="s">
        <v>2596</v>
      </c>
      <c r="U4" s="3206"/>
      <c r="V4" s="3192" t="s">
        <v>2597</v>
      </c>
      <c r="W4" s="3192"/>
      <c r="X4" s="1812"/>
      <c r="Y4" s="3205" t="s">
        <v>2599</v>
      </c>
      <c r="Z4" s="3206"/>
      <c r="AA4" s="3193" t="s">
        <v>2595</v>
      </c>
      <c r="AB4" s="3194" t="s">
        <v>2596</v>
      </c>
      <c r="AC4" s="3193" t="s">
        <v>2597</v>
      </c>
    </row>
    <row r="5" spans="1:29" ht="15">
      <c r="A5" s="404"/>
      <c r="B5" s="405"/>
      <c r="C5" s="3213" t="s">
        <v>2490</v>
      </c>
      <c r="D5" s="3214"/>
      <c r="E5" s="3221" t="s">
        <v>2491</v>
      </c>
      <c r="F5" s="3222"/>
      <c r="G5" s="3213" t="s">
        <v>2492</v>
      </c>
      <c r="H5" s="3214"/>
      <c r="I5" s="3213" t="s">
        <v>2493</v>
      </c>
      <c r="J5" s="3214"/>
      <c r="K5" s="610"/>
      <c r="L5" s="1130"/>
      <c r="M5" s="1131"/>
      <c r="N5" s="1131"/>
      <c r="O5" s="1131"/>
      <c r="P5" s="3201"/>
      <c r="Q5" s="3202"/>
      <c r="R5" s="3207"/>
      <c r="S5" s="3208"/>
      <c r="T5" s="3207"/>
      <c r="U5" s="3208"/>
      <c r="V5" s="3192"/>
      <c r="W5" s="3192"/>
      <c r="X5" s="1812"/>
      <c r="Y5" s="3207"/>
      <c r="Z5" s="3208"/>
      <c r="AA5" s="3194"/>
      <c r="AB5" s="3194"/>
      <c r="AC5" s="3194"/>
    </row>
    <row r="6" spans="1:29" ht="15.75" thickBot="1">
      <c r="A6" s="406"/>
      <c r="B6" s="407"/>
      <c r="C6" s="3276" t="s">
        <v>2743</v>
      </c>
      <c r="D6" s="3277"/>
      <c r="E6" s="3278" t="s">
        <v>2743</v>
      </c>
      <c r="F6" s="3279"/>
      <c r="G6" s="3276" t="s">
        <v>2743</v>
      </c>
      <c r="H6" s="3277"/>
      <c r="I6" s="3276" t="s">
        <v>2743</v>
      </c>
      <c r="J6" s="3277"/>
      <c r="K6" s="610" t="s">
        <v>2495</v>
      </c>
      <c r="L6" s="1130"/>
      <c r="M6" s="1131"/>
      <c r="N6" s="1131"/>
      <c r="O6" s="1131"/>
      <c r="P6" s="3203"/>
      <c r="Q6" s="3204"/>
      <c r="R6" s="3207"/>
      <c r="S6" s="3208"/>
      <c r="T6" s="3209"/>
      <c r="U6" s="3210"/>
      <c r="V6" s="3192"/>
      <c r="W6" s="3192"/>
      <c r="X6" s="1812"/>
      <c r="Y6" s="3209"/>
      <c r="Z6" s="3210"/>
      <c r="AA6" s="3195"/>
      <c r="AB6" s="3195"/>
      <c r="AC6" s="3195"/>
    </row>
    <row r="7" spans="1:29" s="117" customFormat="1" ht="15.7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15" t="s">
        <v>2497</v>
      </c>
      <c r="Q7" s="3217"/>
      <c r="R7" s="770" t="s">
        <v>17</v>
      </c>
      <c r="S7" s="771">
        <f t="shared" ref="S7:S15" si="0">F7</f>
        <v>0</v>
      </c>
      <c r="T7" s="770" t="s">
        <v>17</v>
      </c>
      <c r="U7" s="771">
        <f t="shared" ref="U7:U15" si="1">H7</f>
        <v>0</v>
      </c>
      <c r="V7" s="770" t="s">
        <v>17</v>
      </c>
      <c r="W7" s="771">
        <f t="shared" ref="W7:W15" si="2">J7</f>
        <v>0</v>
      </c>
      <c r="X7" s="772"/>
      <c r="Y7" s="3215" t="s">
        <v>2497</v>
      </c>
      <c r="Z7" s="3216"/>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2500</v>
      </c>
      <c r="Q8" s="3216"/>
      <c r="R8" s="770" t="s">
        <v>17</v>
      </c>
      <c r="S8" s="771">
        <f t="shared" si="0"/>
        <v>0</v>
      </c>
      <c r="T8" s="770" t="s">
        <v>17</v>
      </c>
      <c r="U8" s="771">
        <f t="shared" si="1"/>
        <v>0</v>
      </c>
      <c r="V8" s="770" t="s">
        <v>17</v>
      </c>
      <c r="W8" s="771">
        <f t="shared" si="2"/>
        <v>0</v>
      </c>
      <c r="X8" s="772"/>
      <c r="Y8" s="3215" t="s">
        <v>2500</v>
      </c>
      <c r="Z8" s="3216"/>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86" t="s">
        <v>2503</v>
      </c>
      <c r="Q9" s="1794" t="str">
        <f t="shared" ref="Q9:Q15" si="6">B9</f>
        <v>用途</v>
      </c>
      <c r="R9" s="770" t="s">
        <v>17</v>
      </c>
      <c r="S9" s="771">
        <f t="shared" si="0"/>
        <v>100</v>
      </c>
      <c r="T9" s="770" t="s">
        <v>17</v>
      </c>
      <c r="U9" s="771">
        <f t="shared" si="1"/>
        <v>100</v>
      </c>
      <c r="V9" s="770" t="s">
        <v>17</v>
      </c>
      <c r="W9" s="771">
        <f t="shared" si="2"/>
        <v>100</v>
      </c>
      <c r="X9" s="772"/>
      <c r="Y9" s="3018"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86"/>
      <c r="Q10" s="1794" t="str">
        <f t="shared" si="6"/>
        <v>土地使用年限（年）</v>
      </c>
      <c r="R10" s="770" t="s">
        <v>17</v>
      </c>
      <c r="S10" s="771">
        <f t="shared" si="0"/>
        <v>103</v>
      </c>
      <c r="T10" s="770" t="s">
        <v>17</v>
      </c>
      <c r="U10" s="771">
        <f t="shared" si="1"/>
        <v>103</v>
      </c>
      <c r="V10" s="770" t="s">
        <v>17</v>
      </c>
      <c r="W10" s="771">
        <f t="shared" si="2"/>
        <v>103</v>
      </c>
      <c r="X10" s="772"/>
      <c r="Y10" s="3018"/>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4"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4">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4">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4">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2508</v>
      </c>
      <c r="Q15" s="1809" t="str">
        <f t="shared" si="6"/>
        <v>产业集聚程度</v>
      </c>
      <c r="R15" s="774" t="s">
        <v>17</v>
      </c>
      <c r="S15" s="775">
        <f t="shared" si="0"/>
        <v>100</v>
      </c>
      <c r="T15" s="774" t="s">
        <v>17</v>
      </c>
      <c r="U15" s="775">
        <f t="shared" si="1"/>
        <v>100</v>
      </c>
      <c r="V15" s="774" t="s">
        <v>17</v>
      </c>
      <c r="W15" s="775">
        <f t="shared" si="2"/>
        <v>100</v>
      </c>
      <c r="X15" s="1812"/>
      <c r="Y15" s="3188"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89"/>
      <c r="Q16" s="1809"/>
      <c r="R16" s="774"/>
      <c r="S16" s="775"/>
      <c r="T16" s="774"/>
      <c r="U16" s="775"/>
      <c r="V16" s="774"/>
      <c r="W16" s="775"/>
      <c r="X16" s="1812"/>
      <c r="Y16" s="3189"/>
      <c r="Z16" s="1813"/>
      <c r="AA16" s="1810">
        <v>1</v>
      </c>
      <c r="AB16" s="1810">
        <v>1</v>
      </c>
      <c r="AC16" s="1810">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09" t="str">
        <f>B17</f>
        <v>交通便捷度</v>
      </c>
      <c r="R17" s="774" t="s">
        <v>17</v>
      </c>
      <c r="S17" s="775">
        <f>F17</f>
        <v>100</v>
      </c>
      <c r="T17" s="774" t="s">
        <v>17</v>
      </c>
      <c r="U17" s="775">
        <f>H17</f>
        <v>100</v>
      </c>
      <c r="V17" s="774" t="s">
        <v>17</v>
      </c>
      <c r="W17" s="775">
        <f>J17</f>
        <v>100</v>
      </c>
      <c r="X17" s="1812"/>
      <c r="Y17" s="3189"/>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89"/>
      <c r="Q18" s="1809"/>
      <c r="R18" s="774"/>
      <c r="S18" s="775"/>
      <c r="T18" s="774"/>
      <c r="U18" s="775"/>
      <c r="V18" s="774"/>
      <c r="W18" s="775"/>
      <c r="X18" s="1812"/>
      <c r="Y18" s="3189"/>
      <c r="Z18" s="1813"/>
      <c r="AA18" s="1810">
        <v>1</v>
      </c>
      <c r="AB18" s="1810">
        <v>1</v>
      </c>
      <c r="AC18" s="1810">
        <v>1</v>
      </c>
    </row>
    <row r="19" spans="1:29" ht="15">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09" t="str">
        <f t="shared" ref="Q19:Q33" si="8">B19</f>
        <v>区域土地利用方向</v>
      </c>
      <c r="R19" s="774" t="s">
        <v>17</v>
      </c>
      <c r="S19" s="775">
        <f>F19</f>
        <v>100</v>
      </c>
      <c r="T19" s="774" t="s">
        <v>17</v>
      </c>
      <c r="U19" s="775">
        <f>H19</f>
        <v>100</v>
      </c>
      <c r="V19" s="774" t="s">
        <v>17</v>
      </c>
      <c r="W19" s="775">
        <f>J19</f>
        <v>100</v>
      </c>
      <c r="X19" s="1812"/>
      <c r="Y19" s="3189"/>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89"/>
      <c r="Q20" s="1809"/>
      <c r="R20" s="774"/>
      <c r="S20" s="775"/>
      <c r="T20" s="774"/>
      <c r="U20" s="775"/>
      <c r="V20" s="774"/>
      <c r="W20" s="775"/>
      <c r="X20" s="1812"/>
      <c r="Y20" s="3189"/>
      <c r="Z20" s="1813"/>
      <c r="AA20" s="1810"/>
      <c r="AB20" s="1810"/>
      <c r="AC20" s="1810"/>
    </row>
    <row r="21" spans="1:29" ht="1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09" t="str">
        <f t="shared" si="8"/>
        <v>环境状况</v>
      </c>
      <c r="R21" s="774" t="s">
        <v>17</v>
      </c>
      <c r="S21" s="775">
        <f>F21</f>
        <v>100</v>
      </c>
      <c r="T21" s="774" t="s">
        <v>17</v>
      </c>
      <c r="U21" s="775">
        <f>H21</f>
        <v>100</v>
      </c>
      <c r="V21" s="774" t="s">
        <v>17</v>
      </c>
      <c r="W21" s="775">
        <f>J21</f>
        <v>100</v>
      </c>
      <c r="X21" s="1812"/>
      <c r="Y21" s="3189"/>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89"/>
      <c r="Q22" s="1809"/>
      <c r="R22" s="774"/>
      <c r="S22" s="775"/>
      <c r="T22" s="774"/>
      <c r="U22" s="775"/>
      <c r="V22" s="774"/>
      <c r="W22" s="775"/>
      <c r="X22" s="1812"/>
      <c r="Y22" s="3189"/>
      <c r="Z22" s="1813"/>
      <c r="AA22" s="1810">
        <v>1</v>
      </c>
      <c r="AB22" s="1810">
        <v>1</v>
      </c>
      <c r="AC22" s="1810">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94" t="str">
        <f t="shared" si="8"/>
        <v>公共配套设施</v>
      </c>
      <c r="R23" s="770" t="s">
        <v>17</v>
      </c>
      <c r="S23" s="771">
        <f>F23</f>
        <v>100</v>
      </c>
      <c r="T23" s="770" t="s">
        <v>17</v>
      </c>
      <c r="U23" s="771">
        <f>H23</f>
        <v>100</v>
      </c>
      <c r="V23" s="770" t="s">
        <v>17</v>
      </c>
      <c r="W23" s="771">
        <f>J23</f>
        <v>100</v>
      </c>
      <c r="X23" s="772"/>
      <c r="Y23" s="3189"/>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89"/>
      <c r="Q24" s="1794"/>
      <c r="R24" s="770"/>
      <c r="S24" s="771"/>
      <c r="T24" s="770"/>
      <c r="U24" s="771"/>
      <c r="V24" s="770"/>
      <c r="W24" s="771"/>
      <c r="X24" s="772"/>
      <c r="Y24" s="3189"/>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94"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89"/>
      <c r="Q26" s="1794"/>
      <c r="R26" s="770"/>
      <c r="S26" s="771"/>
      <c r="T26" s="770"/>
      <c r="U26" s="771"/>
      <c r="V26" s="770"/>
      <c r="W26" s="771"/>
      <c r="X26" s="772"/>
      <c r="Y26" s="3189"/>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9"/>
      <c r="Z27" s="1813" t="str">
        <f t="shared" ref="Z27:Z40" si="13">Q27</f>
        <v>临街状况</v>
      </c>
      <c r="AA27" s="1810">
        <f t="shared" si="3"/>
        <v>1</v>
      </c>
      <c r="AB27" s="1810">
        <f t="shared" si="4"/>
        <v>1</v>
      </c>
      <c r="AC27" s="1810">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09" t="str">
        <f t="shared" si="8"/>
        <v>毗邻道路的类型与等级</v>
      </c>
      <c r="R28" s="774" t="s">
        <v>17</v>
      </c>
      <c r="S28" s="775">
        <f t="shared" si="10"/>
        <v>100</v>
      </c>
      <c r="T28" s="774" t="s">
        <v>17</v>
      </c>
      <c r="U28" s="775">
        <f t="shared" si="11"/>
        <v>100</v>
      </c>
      <c r="V28" s="774" t="s">
        <v>17</v>
      </c>
      <c r="W28" s="775">
        <f t="shared" si="12"/>
        <v>100</v>
      </c>
      <c r="X28" s="1812"/>
      <c r="Y28" s="3189"/>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89"/>
      <c r="Q29" s="1809"/>
      <c r="R29" s="774"/>
      <c r="S29" s="775"/>
      <c r="T29" s="774"/>
      <c r="U29" s="775"/>
      <c r="V29" s="774"/>
      <c r="W29" s="775"/>
      <c r="X29" s="1812"/>
      <c r="Y29" s="3189"/>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09" t="str">
        <f t="shared" si="8"/>
        <v>土地级别</v>
      </c>
      <c r="R30" s="774" t="s">
        <v>17</v>
      </c>
      <c r="S30" s="775">
        <f t="shared" si="10"/>
        <v>100</v>
      </c>
      <c r="T30" s="774" t="s">
        <v>17</v>
      </c>
      <c r="U30" s="775">
        <f t="shared" si="11"/>
        <v>100</v>
      </c>
      <c r="V30" s="774" t="s">
        <v>17</v>
      </c>
      <c r="W30" s="775">
        <f t="shared" si="12"/>
        <v>100</v>
      </c>
      <c r="X30" s="1812"/>
      <c r="Y30" s="3189"/>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09">
        <f t="shared" si="8"/>
        <v>111</v>
      </c>
      <c r="R31" s="774" t="s">
        <v>17</v>
      </c>
      <c r="S31" s="775">
        <f t="shared" si="10"/>
        <v>100</v>
      </c>
      <c r="T31" s="774" t="s">
        <v>17</v>
      </c>
      <c r="U31" s="775">
        <f t="shared" si="11"/>
        <v>100</v>
      </c>
      <c r="V31" s="774" t="s">
        <v>17</v>
      </c>
      <c r="W31" s="775">
        <f t="shared" si="12"/>
        <v>100</v>
      </c>
      <c r="X31" s="1812"/>
      <c r="Y31" s="3189"/>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0" t="s">
        <v>2513</v>
      </c>
      <c r="Q32" s="1809">
        <f t="shared" si="8"/>
        <v>111</v>
      </c>
      <c r="R32" s="774" t="s">
        <v>17</v>
      </c>
      <c r="S32" s="775">
        <f t="shared" si="10"/>
        <v>100</v>
      </c>
      <c r="T32" s="774" t="s">
        <v>17</v>
      </c>
      <c r="U32" s="775">
        <f t="shared" si="11"/>
        <v>100</v>
      </c>
      <c r="V32" s="774" t="s">
        <v>17</v>
      </c>
      <c r="W32" s="775">
        <f t="shared" si="12"/>
        <v>100</v>
      </c>
      <c r="X32" s="1812"/>
      <c r="Y32" s="3191" t="s">
        <v>2513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09">
        <f t="shared" si="8"/>
        <v>111</v>
      </c>
      <c r="R33" s="777" t="s">
        <v>17</v>
      </c>
      <c r="S33" s="778">
        <f t="shared" si="10"/>
        <v>100</v>
      </c>
      <c r="T33" s="777" t="s">
        <v>17</v>
      </c>
      <c r="U33" s="778">
        <f t="shared" si="11"/>
        <v>100</v>
      </c>
      <c r="V33" s="777" t="s">
        <v>17</v>
      </c>
      <c r="W33" s="778">
        <f t="shared" si="12"/>
        <v>100</v>
      </c>
      <c r="X33" s="779"/>
      <c r="Y33" s="3191"/>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09" t="str">
        <f>B34</f>
        <v>宗地面积</v>
      </c>
      <c r="R34" s="774" t="s">
        <v>17</v>
      </c>
      <c r="S34" s="775" t="e">
        <f t="shared" si="10"/>
        <v>#N/A</v>
      </c>
      <c r="T34" s="774" t="s">
        <v>17</v>
      </c>
      <c r="U34" s="775" t="e">
        <f t="shared" si="11"/>
        <v>#N/A</v>
      </c>
      <c r="V34" s="774" t="s">
        <v>17</v>
      </c>
      <c r="W34" s="775" t="e">
        <f t="shared" si="12"/>
        <v>#N/A</v>
      </c>
      <c r="X34" s="1812"/>
      <c r="Y34" s="3191"/>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91"/>
      <c r="Q35" s="1809" t="str">
        <f t="shared" ref="Q35:Q40" si="14">B35</f>
        <v>宗地形状</v>
      </c>
      <c r="R35" s="774" t="s">
        <v>17</v>
      </c>
      <c r="S35" s="775">
        <f t="shared" si="10"/>
        <v>100</v>
      </c>
      <c r="T35" s="774" t="s">
        <v>17</v>
      </c>
      <c r="U35" s="775">
        <f t="shared" si="11"/>
        <v>100</v>
      </c>
      <c r="V35" s="774" t="s">
        <v>17</v>
      </c>
      <c r="W35" s="775">
        <f t="shared" si="12"/>
        <v>100</v>
      </c>
      <c r="X35" s="1812"/>
      <c r="Y35" s="3191"/>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91"/>
      <c r="Q36" s="1809"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91" t="s">
        <v>2513</v>
      </c>
      <c r="Q37" s="1809" t="str">
        <f t="shared" si="14"/>
        <v>工程地质条件</v>
      </c>
      <c r="R37" s="774" t="s">
        <v>17</v>
      </c>
      <c r="S37" s="775">
        <f t="shared" si="10"/>
        <v>100</v>
      </c>
      <c r="T37" s="774" t="s">
        <v>17</v>
      </c>
      <c r="U37" s="775">
        <f t="shared" si="11"/>
        <v>100</v>
      </c>
      <c r="V37" s="774" t="s">
        <v>17</v>
      </c>
      <c r="W37" s="775">
        <f t="shared" si="12"/>
        <v>100</v>
      </c>
      <c r="X37" s="1812"/>
      <c r="Y37" s="3191"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09">
        <f t="shared" si="14"/>
        <v>111</v>
      </c>
      <c r="R38" s="774" t="s">
        <v>17</v>
      </c>
      <c r="S38" s="775">
        <f t="shared" si="10"/>
        <v>100</v>
      </c>
      <c r="T38" s="774" t="s">
        <v>17</v>
      </c>
      <c r="U38" s="775">
        <f t="shared" si="11"/>
        <v>100</v>
      </c>
      <c r="V38" s="774" t="s">
        <v>17</v>
      </c>
      <c r="W38" s="775">
        <f t="shared" si="12"/>
        <v>100</v>
      </c>
      <c r="X38" s="1812"/>
      <c r="Y38" s="319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09">
        <f t="shared" si="14"/>
        <v>111</v>
      </c>
      <c r="R39" s="774" t="s">
        <v>17</v>
      </c>
      <c r="S39" s="775">
        <f t="shared" si="10"/>
        <v>100</v>
      </c>
      <c r="T39" s="774" t="s">
        <v>17</v>
      </c>
      <c r="U39" s="775">
        <f t="shared" si="11"/>
        <v>100</v>
      </c>
      <c r="V39" s="774" t="s">
        <v>17</v>
      </c>
      <c r="W39" s="775">
        <f t="shared" si="12"/>
        <v>100</v>
      </c>
      <c r="X39" s="1812"/>
      <c r="Y39" s="3191"/>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09">
        <f t="shared" si="14"/>
        <v>111</v>
      </c>
      <c r="R40" s="777" t="s">
        <v>17</v>
      </c>
      <c r="S40" s="778">
        <f t="shared" si="10"/>
        <v>100</v>
      </c>
      <c r="T40" s="777" t="s">
        <v>17</v>
      </c>
      <c r="U40" s="778">
        <f t="shared" si="11"/>
        <v>100</v>
      </c>
      <c r="V40" s="777" t="s">
        <v>17</v>
      </c>
      <c r="W40" s="778">
        <f t="shared" si="12"/>
        <v>100</v>
      </c>
      <c r="X40" s="779"/>
      <c r="Y40" s="3191"/>
      <c r="Z40" s="780">
        <f t="shared" si="13"/>
        <v>111</v>
      </c>
      <c r="AA40" s="1810">
        <f t="shared" si="3"/>
        <v>1</v>
      </c>
      <c r="AB40" s="1810">
        <f t="shared" si="4"/>
        <v>1</v>
      </c>
      <c r="AC40" s="1810">
        <f t="shared" si="5"/>
        <v>1</v>
      </c>
    </row>
    <row r="41" spans="1:29" ht="15">
      <c r="A41" s="479" t="s">
        <v>2668</v>
      </c>
      <c r="B41" s="2706" t="s">
        <v>2746</v>
      </c>
      <c r="C41" s="682" t="s">
        <v>1</v>
      </c>
      <c r="D41" s="481"/>
      <c r="E41" s="482"/>
      <c r="F41" s="483"/>
      <c r="G41" s="484"/>
      <c r="H41" s="485"/>
      <c r="I41" s="482"/>
      <c r="J41" s="485"/>
      <c r="K41" s="783"/>
      <c r="L41" s="1143"/>
      <c r="M41" s="1131"/>
      <c r="N41" s="1131"/>
      <c r="O41" s="1144"/>
      <c r="P41" s="3186" t="str">
        <f>A41</f>
        <v>成交单价</v>
      </c>
      <c r="Q41" s="3186"/>
      <c r="R41" s="3192">
        <f>E41</f>
        <v>0</v>
      </c>
      <c r="S41" s="3192"/>
      <c r="T41" s="3192">
        <f>G41</f>
        <v>0</v>
      </c>
      <c r="U41" s="3192"/>
      <c r="V41" s="3192">
        <f>I41</f>
        <v>0</v>
      </c>
      <c r="W41" s="3192"/>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2704</v>
      </c>
      <c r="B50" s="685" t="s">
        <v>2705</v>
      </c>
      <c r="C50" s="2707" t="s">
        <v>2706</v>
      </c>
      <c r="D50" s="2708" t="s">
        <v>2707</v>
      </c>
      <c r="E50" s="686" t="s">
        <v>2708</v>
      </c>
      <c r="F50" s="687" t="s">
        <v>2709</v>
      </c>
      <c r="G50" s="3183" t="s">
        <v>2710</v>
      </c>
      <c r="H50" s="3184"/>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185"/>
      <c r="H51" s="3186"/>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187"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187"/>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187"/>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187"/>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5"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5"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59"/>
      <c r="P64" s="503"/>
      <c r="Q64" s="504"/>
    </row>
    <row r="65" spans="1:17" s="508" customFormat="1" ht="15">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2536</v>
      </c>
      <c r="B70" s="528" t="s">
        <v>2502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80" t="s">
        <v>183</v>
      </c>
      <c r="B18" s="879" t="s">
        <v>560</v>
      </c>
      <c r="C18" s="880" t="s">
        <v>561</v>
      </c>
      <c r="D18" s="881"/>
      <c r="E18" s="879">
        <v>1</v>
      </c>
      <c r="F18" s="882" t="s">
        <v>562</v>
      </c>
      <c r="G18" s="883"/>
      <c r="H18" s="875"/>
      <c r="I18" s="875"/>
    </row>
    <row r="19" spans="1:9" s="884" customFormat="1" ht="19.5" customHeight="1">
      <c r="A19" s="3280"/>
      <c r="B19" s="3280" t="s">
        <v>563</v>
      </c>
      <c r="C19" s="880" t="s">
        <v>564</v>
      </c>
      <c r="D19" s="881"/>
      <c r="E19" s="879">
        <v>0.9</v>
      </c>
      <c r="F19" s="882" t="s">
        <v>565</v>
      </c>
      <c r="G19" s="883"/>
      <c r="H19" s="875"/>
      <c r="I19" s="875"/>
    </row>
    <row r="20" spans="1:9" s="884" customFormat="1" ht="19.5" customHeight="1">
      <c r="A20" s="3280"/>
      <c r="B20" s="3280"/>
      <c r="C20" s="880" t="s">
        <v>566</v>
      </c>
      <c r="D20" s="881"/>
      <c r="E20" s="879">
        <v>1.1000000000000001</v>
      </c>
      <c r="F20" s="882" t="s">
        <v>567</v>
      </c>
      <c r="G20" s="883"/>
      <c r="H20" s="875"/>
      <c r="I20" s="875"/>
    </row>
    <row r="21" spans="1:9" s="884" customFormat="1" ht="19.5" customHeight="1">
      <c r="A21" s="3280"/>
      <c r="B21" s="3280"/>
      <c r="C21" s="880" t="s">
        <v>568</v>
      </c>
      <c r="D21" s="881"/>
      <c r="E21" s="879">
        <v>0.8</v>
      </c>
      <c r="F21" s="882" t="s">
        <v>569</v>
      </c>
      <c r="G21" s="883"/>
      <c r="H21" s="875"/>
      <c r="I21" s="875"/>
    </row>
    <row r="22" spans="1:9" s="884" customFormat="1" ht="19.5" customHeight="1">
      <c r="A22" s="3280"/>
      <c r="B22" s="3280"/>
      <c r="C22" s="880" t="s">
        <v>570</v>
      </c>
      <c r="D22" s="881"/>
      <c r="E22" s="879">
        <v>0.5</v>
      </c>
      <c r="F22" s="882"/>
      <c r="G22" s="883"/>
      <c r="H22" s="875"/>
      <c r="I22" s="875"/>
    </row>
    <row r="23" spans="1:9" s="884" customFormat="1" ht="19.5" customHeight="1">
      <c r="A23" s="3280" t="s">
        <v>184</v>
      </c>
      <c r="B23" s="879" t="s">
        <v>560</v>
      </c>
      <c r="C23" s="880" t="s">
        <v>571</v>
      </c>
      <c r="D23" s="881"/>
      <c r="E23" s="879">
        <v>1</v>
      </c>
      <c r="F23" s="882" t="s">
        <v>572</v>
      </c>
      <c r="G23" s="883"/>
      <c r="H23" s="875"/>
      <c r="I23" s="875"/>
    </row>
    <row r="24" spans="1:9" s="884" customFormat="1" ht="19.5" customHeight="1">
      <c r="A24" s="3280"/>
      <c r="B24" s="3280" t="s">
        <v>563</v>
      </c>
      <c r="C24" s="880" t="s">
        <v>573</v>
      </c>
      <c r="D24" s="881"/>
      <c r="E24" s="879">
        <v>0.5</v>
      </c>
      <c r="F24" s="882"/>
      <c r="G24" s="883"/>
      <c r="H24" s="875"/>
      <c r="I24" s="875"/>
    </row>
    <row r="25" spans="1:9" s="884" customFormat="1" ht="19.5" customHeight="1">
      <c r="A25" s="3280"/>
      <c r="B25" s="3280"/>
      <c r="C25" s="880" t="s">
        <v>574</v>
      </c>
      <c r="D25" s="881"/>
      <c r="E25" s="879">
        <v>1.1000000000000001</v>
      </c>
      <c r="F25" s="882"/>
      <c r="G25" s="883"/>
      <c r="H25" s="875"/>
      <c r="I25" s="875"/>
    </row>
    <row r="26" spans="1:9" s="884" customFormat="1" ht="19.5" customHeight="1">
      <c r="A26" s="3280"/>
      <c r="B26" s="3280"/>
      <c r="C26" s="880" t="s">
        <v>575</v>
      </c>
      <c r="D26" s="881"/>
      <c r="E26" s="879">
        <v>1.1000000000000001</v>
      </c>
      <c r="F26" s="882"/>
      <c r="G26" s="883"/>
      <c r="H26" s="875"/>
      <c r="I26" s="875"/>
    </row>
    <row r="27" spans="1:9" s="884" customFormat="1" ht="19.5" customHeight="1">
      <c r="A27" s="3280"/>
      <c r="B27" s="3280"/>
      <c r="C27" s="880" t="s">
        <v>576</v>
      </c>
      <c r="D27" s="881"/>
      <c r="E27" s="879">
        <v>0.9</v>
      </c>
      <c r="F27" s="882" t="s">
        <v>577</v>
      </c>
      <c r="G27" s="883"/>
      <c r="H27" s="875"/>
      <c r="I27" s="875"/>
    </row>
    <row r="28" spans="1:9" s="884" customFormat="1" ht="19.5" customHeight="1">
      <c r="A28" s="3280"/>
      <c r="B28" s="3280"/>
      <c r="C28" s="880" t="s">
        <v>578</v>
      </c>
      <c r="D28" s="881"/>
      <c r="E28" s="879">
        <v>0.9</v>
      </c>
      <c r="F28" s="882" t="s">
        <v>579</v>
      </c>
      <c r="G28" s="883"/>
      <c r="H28" s="875"/>
      <c r="I28" s="875"/>
    </row>
    <row r="29" spans="1:9" s="884" customFormat="1" ht="19.5" customHeight="1">
      <c r="A29" s="3280"/>
      <c r="B29" s="3280"/>
      <c r="C29" s="880" t="s">
        <v>580</v>
      </c>
      <c r="D29" s="881"/>
      <c r="E29" s="879">
        <v>0.9</v>
      </c>
      <c r="F29" s="882" t="s">
        <v>581</v>
      </c>
      <c r="G29" s="883"/>
      <c r="H29" s="875"/>
      <c r="I29" s="875"/>
    </row>
    <row r="30" spans="1:9" s="884" customFormat="1" ht="19.5" customHeight="1">
      <c r="A30" s="3280"/>
      <c r="B30" s="3280"/>
      <c r="C30" s="880" t="s">
        <v>582</v>
      </c>
      <c r="D30" s="881"/>
      <c r="E30" s="879">
        <v>0.9</v>
      </c>
      <c r="F30" s="882" t="s">
        <v>583</v>
      </c>
      <c r="G30" s="883"/>
      <c r="H30" s="875"/>
      <c r="I30" s="875"/>
    </row>
    <row r="31" spans="1:9" s="884" customFormat="1" ht="19.5" customHeight="1">
      <c r="A31" s="3280"/>
      <c r="B31" s="3280"/>
      <c r="C31" s="880" t="s">
        <v>584</v>
      </c>
      <c r="D31" s="881"/>
      <c r="E31" s="879">
        <v>0.8</v>
      </c>
      <c r="F31" s="882" t="s">
        <v>585</v>
      </c>
      <c r="G31" s="883"/>
      <c r="H31" s="875"/>
      <c r="I31" s="875"/>
    </row>
    <row r="32" spans="1:9" s="884" customFormat="1" ht="19.5" customHeight="1">
      <c r="A32" s="3280"/>
      <c r="B32" s="3280"/>
      <c r="C32" s="880" t="s">
        <v>586</v>
      </c>
      <c r="D32" s="881"/>
      <c r="E32" s="879">
        <v>0.8</v>
      </c>
      <c r="F32" s="882" t="s">
        <v>587</v>
      </c>
      <c r="G32" s="883"/>
      <c r="H32" s="875"/>
      <c r="I32" s="875"/>
    </row>
    <row r="33" spans="1:9" s="884" customFormat="1" ht="19.5" customHeight="1">
      <c r="A33" s="3280" t="s">
        <v>185</v>
      </c>
      <c r="B33" s="879" t="s">
        <v>560</v>
      </c>
      <c r="C33" s="880" t="s">
        <v>588</v>
      </c>
      <c r="D33" s="881"/>
      <c r="E33" s="879">
        <v>1</v>
      </c>
      <c r="F33" s="882" t="s">
        <v>589</v>
      </c>
      <c r="G33" s="883"/>
      <c r="H33" s="875"/>
      <c r="I33" s="875"/>
    </row>
    <row r="34" spans="1:9" s="884" customFormat="1" ht="19.5" customHeight="1">
      <c r="A34" s="3280"/>
      <c r="B34" s="879" t="s">
        <v>563</v>
      </c>
      <c r="C34" s="880" t="s">
        <v>590</v>
      </c>
      <c r="D34" s="881"/>
      <c r="E34" s="879">
        <v>1.5</v>
      </c>
      <c r="F34" s="882" t="s">
        <v>591</v>
      </c>
      <c r="G34" s="883"/>
      <c r="H34" s="875"/>
      <c r="I34" s="875"/>
    </row>
    <row r="35" spans="1:9" s="884" customFormat="1" ht="19.5" customHeight="1">
      <c r="A35" s="3280" t="s">
        <v>186</v>
      </c>
      <c r="B35" s="879" t="s">
        <v>560</v>
      </c>
      <c r="C35" s="880" t="s">
        <v>592</v>
      </c>
      <c r="D35" s="881"/>
      <c r="E35" s="879">
        <v>1</v>
      </c>
      <c r="F35" s="882" t="s">
        <v>593</v>
      </c>
      <c r="G35" s="883"/>
      <c r="H35" s="875"/>
      <c r="I35" s="875"/>
    </row>
    <row r="36" spans="1:9" s="884" customFormat="1" ht="19.5" customHeight="1">
      <c r="A36" s="3280"/>
      <c r="B36" s="3280" t="s">
        <v>563</v>
      </c>
      <c r="C36" s="880" t="s">
        <v>594</v>
      </c>
      <c r="D36" s="881"/>
      <c r="E36" s="879">
        <v>1</v>
      </c>
      <c r="F36" s="882" t="s">
        <v>595</v>
      </c>
      <c r="G36" s="883"/>
      <c r="H36" s="875"/>
      <c r="I36" s="875"/>
    </row>
    <row r="37" spans="1:9" s="884" customFormat="1" ht="19.5" customHeight="1">
      <c r="A37" s="3280"/>
      <c r="B37" s="3280"/>
      <c r="C37" s="880" t="s">
        <v>596</v>
      </c>
      <c r="D37" s="881"/>
      <c r="E37" s="879">
        <v>1.5</v>
      </c>
      <c r="F37" s="882" t="s">
        <v>597</v>
      </c>
      <c r="G37" s="883"/>
      <c r="H37" s="875"/>
      <c r="I37" s="875"/>
    </row>
    <row r="38" spans="1:9" s="884" customFormat="1" ht="19.5" customHeight="1">
      <c r="A38" s="3280"/>
      <c r="B38" s="3280"/>
      <c r="C38" s="880" t="s">
        <v>598</v>
      </c>
      <c r="D38" s="881"/>
      <c r="E38" s="879">
        <v>1</v>
      </c>
      <c r="F38" s="882" t="s">
        <v>599</v>
      </c>
      <c r="G38" s="883"/>
      <c r="H38" s="875"/>
      <c r="I38" s="875"/>
    </row>
    <row r="39" spans="1:9" s="884" customFormat="1" ht="19.5" customHeight="1">
      <c r="A39" s="3280"/>
      <c r="B39" s="328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0" t="s">
        <v>614</v>
      </c>
      <c r="C61" s="815" t="s">
        <v>615</v>
      </c>
      <c r="D61" s="815" t="s">
        <v>616</v>
      </c>
      <c r="E61" s="892">
        <v>0.5</v>
      </c>
      <c r="F61" s="879">
        <v>80</v>
      </c>
    </row>
    <row r="62" spans="1:8" s="875" customFormat="1" ht="24">
      <c r="A62" s="879">
        <v>2</v>
      </c>
      <c r="B62" s="3280"/>
      <c r="C62" s="815" t="s">
        <v>617</v>
      </c>
      <c r="D62" s="815" t="s">
        <v>618</v>
      </c>
      <c r="E62" s="892">
        <v>0.5</v>
      </c>
      <c r="F62" s="879">
        <v>80</v>
      </c>
    </row>
    <row r="63" spans="1:8" s="875" customFormat="1" ht="36">
      <c r="A63" s="879">
        <v>3</v>
      </c>
      <c r="B63" s="3280"/>
      <c r="C63" s="815" t="s">
        <v>619</v>
      </c>
      <c r="D63" s="815" t="s">
        <v>620</v>
      </c>
      <c r="E63" s="892">
        <v>0.5</v>
      </c>
      <c r="F63" s="879">
        <v>80</v>
      </c>
    </row>
    <row r="64" spans="1:8" s="875" customFormat="1" ht="36">
      <c r="A64" s="879">
        <v>4</v>
      </c>
      <c r="B64" s="3280"/>
      <c r="C64" s="815" t="s">
        <v>621</v>
      </c>
      <c r="D64" s="815" t="s">
        <v>622</v>
      </c>
      <c r="E64" s="892">
        <v>0.4</v>
      </c>
      <c r="F64" s="879">
        <v>60</v>
      </c>
    </row>
    <row r="65" spans="1:6" s="875" customFormat="1" ht="36">
      <c r="A65" s="879">
        <v>5</v>
      </c>
      <c r="B65" s="3280"/>
      <c r="C65" s="815" t="s">
        <v>623</v>
      </c>
      <c r="D65" s="815" t="s">
        <v>624</v>
      </c>
      <c r="E65" s="892">
        <v>0.2</v>
      </c>
      <c r="F65" s="879">
        <v>30</v>
      </c>
    </row>
    <row r="66" spans="1:6" s="875" customFormat="1" ht="36">
      <c r="A66" s="879">
        <v>6</v>
      </c>
      <c r="B66" s="3280"/>
      <c r="C66" s="815" t="s">
        <v>625</v>
      </c>
      <c r="D66" s="815" t="s">
        <v>626</v>
      </c>
      <c r="E66" s="892">
        <v>0.3</v>
      </c>
      <c r="F66" s="879">
        <v>50</v>
      </c>
    </row>
    <row r="67" spans="1:6" s="875" customFormat="1" ht="36">
      <c r="A67" s="879">
        <v>7</v>
      </c>
      <c r="B67" s="3280"/>
      <c r="C67" s="815" t="s">
        <v>627</v>
      </c>
      <c r="D67" s="815" t="s">
        <v>628</v>
      </c>
      <c r="E67" s="892">
        <v>0.2</v>
      </c>
      <c r="F67" s="879">
        <v>30</v>
      </c>
    </row>
    <row r="68" spans="1:6" s="875" customFormat="1" ht="36">
      <c r="A68" s="879">
        <v>8</v>
      </c>
      <c r="B68" s="3280"/>
      <c r="C68" s="815" t="s">
        <v>629</v>
      </c>
      <c r="D68" s="815" t="s">
        <v>630</v>
      </c>
      <c r="E68" s="892">
        <v>0.2</v>
      </c>
      <c r="F68" s="879">
        <v>30</v>
      </c>
    </row>
    <row r="69" spans="1:6" s="875" customFormat="1" ht="36">
      <c r="A69" s="879">
        <v>9</v>
      </c>
      <c r="B69" s="3280"/>
      <c r="C69" s="815" t="s">
        <v>631</v>
      </c>
      <c r="D69" s="815" t="s">
        <v>632</v>
      </c>
      <c r="E69" s="892">
        <v>0.2</v>
      </c>
      <c r="F69" s="879">
        <v>30</v>
      </c>
    </row>
    <row r="70" spans="1:6" s="875" customFormat="1" ht="48">
      <c r="A70" s="879">
        <v>10</v>
      </c>
      <c r="B70" s="3280"/>
      <c r="C70" s="815" t="s">
        <v>633</v>
      </c>
      <c r="D70" s="815" t="s">
        <v>634</v>
      </c>
      <c r="E70" s="892">
        <v>0.2</v>
      </c>
      <c r="F70" s="879">
        <v>30</v>
      </c>
    </row>
    <row r="71" spans="1:6" s="875" customFormat="1" ht="48">
      <c r="A71" s="879">
        <v>11</v>
      </c>
      <c r="B71" s="3280"/>
      <c r="C71" s="815" t="s">
        <v>635</v>
      </c>
      <c r="D71" s="815" t="s">
        <v>636</v>
      </c>
      <c r="E71" s="892">
        <v>0.2</v>
      </c>
      <c r="F71" s="879">
        <v>30</v>
      </c>
    </row>
    <row r="72" spans="1:6" s="875" customFormat="1" ht="36">
      <c r="A72" s="879">
        <v>12</v>
      </c>
      <c r="B72" s="3280"/>
      <c r="C72" s="815" t="s">
        <v>637</v>
      </c>
      <c r="D72" s="815" t="s">
        <v>638</v>
      </c>
      <c r="E72" s="892">
        <v>0.5</v>
      </c>
      <c r="F72" s="879">
        <v>80</v>
      </c>
    </row>
    <row r="73" spans="1:6" s="875" customFormat="1" ht="24">
      <c r="A73" s="879">
        <v>13</v>
      </c>
      <c r="B73" s="3280"/>
      <c r="C73" s="815" t="s">
        <v>639</v>
      </c>
      <c r="D73" s="815" t="s">
        <v>640</v>
      </c>
      <c r="E73" s="892">
        <v>0.4</v>
      </c>
      <c r="F73" s="879">
        <v>60</v>
      </c>
    </row>
    <row r="74" spans="1:6" s="875" customFormat="1" ht="24">
      <c r="A74" s="879">
        <v>14</v>
      </c>
      <c r="B74" s="3280"/>
      <c r="C74" s="815" t="s">
        <v>641</v>
      </c>
      <c r="D74" s="815" t="s">
        <v>642</v>
      </c>
      <c r="E74" s="892">
        <v>0.2</v>
      </c>
      <c r="F74" s="879">
        <v>30</v>
      </c>
    </row>
    <row r="75" spans="1:6" s="875" customFormat="1" ht="24">
      <c r="A75" s="879">
        <v>15</v>
      </c>
      <c r="B75" s="3280"/>
      <c r="C75" s="815" t="s">
        <v>643</v>
      </c>
      <c r="D75" s="815" t="s">
        <v>644</v>
      </c>
      <c r="E75" s="892">
        <v>0.2</v>
      </c>
      <c r="F75" s="879">
        <v>30</v>
      </c>
    </row>
    <row r="76" spans="1:6" s="875" customFormat="1" ht="24">
      <c r="A76" s="879">
        <v>16</v>
      </c>
      <c r="B76" s="3280" t="s">
        <v>645</v>
      </c>
      <c r="C76" s="815" t="s">
        <v>646</v>
      </c>
      <c r="D76" s="815" t="s">
        <v>647</v>
      </c>
      <c r="E76" s="892">
        <v>0.5</v>
      </c>
      <c r="F76" s="879">
        <v>80</v>
      </c>
    </row>
    <row r="77" spans="1:6" s="875" customFormat="1" ht="24">
      <c r="A77" s="879">
        <v>17</v>
      </c>
      <c r="B77" s="3280"/>
      <c r="C77" s="815" t="s">
        <v>648</v>
      </c>
      <c r="D77" s="815" t="s">
        <v>649</v>
      </c>
      <c r="E77" s="892">
        <v>0.5</v>
      </c>
      <c r="F77" s="879">
        <v>80</v>
      </c>
    </row>
    <row r="78" spans="1:6" s="875" customFormat="1" ht="24">
      <c r="A78" s="879">
        <v>18</v>
      </c>
      <c r="B78" s="3280"/>
      <c r="C78" s="815" t="s">
        <v>650</v>
      </c>
      <c r="D78" s="815" t="s">
        <v>651</v>
      </c>
      <c r="E78" s="892">
        <v>0.2</v>
      </c>
      <c r="F78" s="879">
        <v>30</v>
      </c>
    </row>
    <row r="79" spans="1:6" s="875" customFormat="1" ht="24">
      <c r="A79" s="879">
        <v>19</v>
      </c>
      <c r="B79" s="3280"/>
      <c r="C79" s="815" t="s">
        <v>652</v>
      </c>
      <c r="D79" s="815" t="s">
        <v>653</v>
      </c>
      <c r="E79" s="892">
        <v>0.5</v>
      </c>
      <c r="F79" s="879">
        <v>80</v>
      </c>
    </row>
    <row r="80" spans="1:6" s="875" customFormat="1" ht="36">
      <c r="A80" s="879">
        <v>20</v>
      </c>
      <c r="B80" s="3280"/>
      <c r="C80" s="815" t="s">
        <v>654</v>
      </c>
      <c r="D80" s="815" t="s">
        <v>655</v>
      </c>
      <c r="E80" s="892">
        <v>0.2</v>
      </c>
      <c r="F80" s="879">
        <v>30</v>
      </c>
    </row>
    <row r="81" spans="1:6" s="875" customFormat="1" ht="36">
      <c r="A81" s="879">
        <v>21</v>
      </c>
      <c r="B81" s="3280"/>
      <c r="C81" s="815" t="s">
        <v>656</v>
      </c>
      <c r="D81" s="815" t="s">
        <v>657</v>
      </c>
      <c r="E81" s="892">
        <v>0.2</v>
      </c>
      <c r="F81" s="879">
        <v>30</v>
      </c>
    </row>
    <row r="82" spans="1:6" s="875" customFormat="1" ht="48">
      <c r="A82" s="879">
        <v>22</v>
      </c>
      <c r="B82" s="3280"/>
      <c r="C82" s="815" t="s">
        <v>658</v>
      </c>
      <c r="D82" s="815" t="s">
        <v>659</v>
      </c>
      <c r="E82" s="892">
        <v>0.2</v>
      </c>
      <c r="F82" s="879">
        <v>30</v>
      </c>
    </row>
    <row r="83" spans="1:6" s="875" customFormat="1" ht="48">
      <c r="A83" s="879">
        <v>23</v>
      </c>
      <c r="B83" s="3280"/>
      <c r="C83" s="815" t="s">
        <v>660</v>
      </c>
      <c r="D83" s="815" t="s">
        <v>661</v>
      </c>
      <c r="E83" s="892">
        <v>0.2</v>
      </c>
      <c r="F83" s="879">
        <v>30</v>
      </c>
    </row>
    <row r="84" spans="1:6" s="875" customFormat="1" ht="36">
      <c r="A84" s="879">
        <v>24</v>
      </c>
      <c r="B84" s="3280"/>
      <c r="C84" s="815" t="s">
        <v>662</v>
      </c>
      <c r="D84" s="815" t="s">
        <v>663</v>
      </c>
      <c r="E84" s="892">
        <v>0.2</v>
      </c>
      <c r="F84" s="879">
        <v>30</v>
      </c>
    </row>
    <row r="85" spans="1:6" s="875" customFormat="1" ht="36">
      <c r="A85" s="879">
        <v>25</v>
      </c>
      <c r="B85" s="3280"/>
      <c r="C85" s="815" t="s">
        <v>664</v>
      </c>
      <c r="D85" s="815" t="s">
        <v>665</v>
      </c>
      <c r="E85" s="892">
        <v>0.5</v>
      </c>
      <c r="F85" s="879">
        <v>80</v>
      </c>
    </row>
    <row r="86" spans="1:6" s="875" customFormat="1" ht="36">
      <c r="A86" s="879">
        <v>26</v>
      </c>
      <c r="B86" s="3280"/>
      <c r="C86" s="815" t="s">
        <v>666</v>
      </c>
      <c r="D86" s="815" t="s">
        <v>667</v>
      </c>
      <c r="E86" s="892">
        <v>0.2</v>
      </c>
      <c r="F86" s="879">
        <v>30</v>
      </c>
    </row>
    <row r="87" spans="1:6" s="875" customFormat="1" ht="36">
      <c r="A87" s="879">
        <v>27</v>
      </c>
      <c r="B87" s="3280"/>
      <c r="C87" s="815" t="s">
        <v>668</v>
      </c>
      <c r="D87" s="815" t="s">
        <v>669</v>
      </c>
      <c r="E87" s="892">
        <v>0.2</v>
      </c>
      <c r="F87" s="879">
        <v>30</v>
      </c>
    </row>
    <row r="88" spans="1:6" s="875" customFormat="1" ht="36">
      <c r="A88" s="879">
        <v>28</v>
      </c>
      <c r="B88" s="3280"/>
      <c r="C88" s="815" t="s">
        <v>670</v>
      </c>
      <c r="D88" s="815" t="s">
        <v>671</v>
      </c>
      <c r="E88" s="892">
        <v>0.2</v>
      </c>
      <c r="F88" s="879">
        <v>30</v>
      </c>
    </row>
    <row r="89" spans="1:6" s="875" customFormat="1" ht="24">
      <c r="A89" s="879">
        <v>29</v>
      </c>
      <c r="B89" s="3280"/>
      <c r="C89" s="815" t="s">
        <v>672</v>
      </c>
      <c r="D89" s="815" t="s">
        <v>673</v>
      </c>
      <c r="E89" s="892">
        <v>0.2</v>
      </c>
      <c r="F89" s="879">
        <v>30</v>
      </c>
    </row>
    <row r="90" spans="1:6" s="875" customFormat="1" ht="24">
      <c r="A90" s="879">
        <v>30</v>
      </c>
      <c r="B90" s="3280"/>
      <c r="C90" s="815" t="s">
        <v>674</v>
      </c>
      <c r="D90" s="815" t="s">
        <v>675</v>
      </c>
      <c r="E90" s="892">
        <v>0.2</v>
      </c>
      <c r="F90" s="879">
        <v>30</v>
      </c>
    </row>
    <row r="91" spans="1:6" s="875" customFormat="1" ht="36">
      <c r="A91" s="879">
        <v>31</v>
      </c>
      <c r="B91" s="3280"/>
      <c r="C91" s="815" t="s">
        <v>676</v>
      </c>
      <c r="D91" s="815" t="s">
        <v>677</v>
      </c>
      <c r="E91" s="892">
        <v>0.2</v>
      </c>
      <c r="F91" s="879">
        <v>30</v>
      </c>
    </row>
    <row r="92" spans="1:6" s="875" customFormat="1" ht="24">
      <c r="A92" s="879">
        <v>32</v>
      </c>
      <c r="B92" s="3280" t="s">
        <v>678</v>
      </c>
      <c r="C92" s="879" t="s">
        <v>679</v>
      </c>
      <c r="D92" s="815" t="s">
        <v>680</v>
      </c>
      <c r="E92" s="892">
        <v>0.2</v>
      </c>
      <c r="F92" s="879">
        <v>30</v>
      </c>
    </row>
    <row r="93" spans="1:6" s="875" customFormat="1" ht="36">
      <c r="A93" s="879">
        <v>33</v>
      </c>
      <c r="B93" s="3280"/>
      <c r="C93" s="879" t="s">
        <v>681</v>
      </c>
      <c r="D93" s="815" t="s">
        <v>682</v>
      </c>
      <c r="E93" s="892">
        <v>0.2</v>
      </c>
      <c r="F93" s="879">
        <v>30</v>
      </c>
    </row>
    <row r="94" spans="1:6" s="875" customFormat="1" ht="48">
      <c r="A94" s="879">
        <v>34</v>
      </c>
      <c r="B94" s="3280"/>
      <c r="C94" s="879" t="s">
        <v>683</v>
      </c>
      <c r="D94" s="815" t="s">
        <v>684</v>
      </c>
      <c r="E94" s="892">
        <v>0.2</v>
      </c>
      <c r="F94" s="879">
        <v>30</v>
      </c>
    </row>
    <row r="95" spans="1:6" s="875" customFormat="1" ht="36">
      <c r="A95" s="879">
        <v>35</v>
      </c>
      <c r="B95" s="3280"/>
      <c r="C95" s="879" t="s">
        <v>685</v>
      </c>
      <c r="D95" s="815" t="s">
        <v>686</v>
      </c>
      <c r="E95" s="892">
        <v>0.2</v>
      </c>
      <c r="F95" s="879">
        <v>30</v>
      </c>
    </row>
    <row r="96" spans="1:6" s="875" customFormat="1" ht="48">
      <c r="A96" s="879">
        <v>36</v>
      </c>
      <c r="B96" s="3280"/>
      <c r="C96" s="815" t="s">
        <v>687</v>
      </c>
      <c r="D96" s="815" t="s">
        <v>688</v>
      </c>
      <c r="E96" s="892">
        <v>0.2</v>
      </c>
      <c r="F96" s="879">
        <v>30</v>
      </c>
    </row>
    <row r="97" spans="1:6" s="875" customFormat="1" ht="36">
      <c r="A97" s="879">
        <v>37</v>
      </c>
      <c r="B97" s="3280"/>
      <c r="C97" s="879" t="s">
        <v>689</v>
      </c>
      <c r="D97" s="815" t="s">
        <v>690</v>
      </c>
      <c r="E97" s="892">
        <v>0.2</v>
      </c>
      <c r="F97" s="879">
        <v>30</v>
      </c>
    </row>
    <row r="98" spans="1:6" s="875" customFormat="1" ht="36">
      <c r="A98" s="879">
        <v>38</v>
      </c>
      <c r="B98" s="3280"/>
      <c r="C98" s="879" t="s">
        <v>691</v>
      </c>
      <c r="D98" s="815" t="s">
        <v>692</v>
      </c>
      <c r="E98" s="892">
        <v>0.2</v>
      </c>
      <c r="F98" s="879">
        <v>30</v>
      </c>
    </row>
    <row r="99" spans="1:6" s="875" customFormat="1" ht="36">
      <c r="A99" s="879">
        <v>39</v>
      </c>
      <c r="B99" s="3280" t="s">
        <v>693</v>
      </c>
      <c r="C99" s="879" t="s">
        <v>694</v>
      </c>
      <c r="D99" s="815" t="s">
        <v>695</v>
      </c>
      <c r="E99" s="892">
        <v>0.3</v>
      </c>
      <c r="F99" s="879">
        <v>50</v>
      </c>
    </row>
    <row r="100" spans="1:6" s="875" customFormat="1" ht="24">
      <c r="A100" s="879">
        <v>40</v>
      </c>
      <c r="B100" s="3280"/>
      <c r="C100" s="879" t="s">
        <v>696</v>
      </c>
      <c r="D100" s="815" t="s">
        <v>697</v>
      </c>
      <c r="E100" s="892">
        <v>0.2</v>
      </c>
      <c r="F100" s="879">
        <v>30</v>
      </c>
    </row>
    <row r="101" spans="1:6" s="875" customFormat="1" ht="36">
      <c r="A101" s="879">
        <v>41</v>
      </c>
      <c r="B101" s="328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0" t="s">
        <v>708</v>
      </c>
      <c r="C105" s="879" t="s">
        <v>709</v>
      </c>
      <c r="D105" s="815" t="s">
        <v>710</v>
      </c>
      <c r="E105" s="892">
        <v>0.2</v>
      </c>
      <c r="F105" s="879">
        <v>30</v>
      </c>
    </row>
    <row r="106" spans="1:6" s="875" customFormat="1" ht="36">
      <c r="A106" s="879">
        <v>46</v>
      </c>
      <c r="B106" s="3280"/>
      <c r="C106" s="879" t="s">
        <v>711</v>
      </c>
      <c r="D106" s="815" t="s">
        <v>712</v>
      </c>
      <c r="E106" s="892">
        <v>0.2</v>
      </c>
      <c r="F106" s="879">
        <v>30</v>
      </c>
    </row>
    <row r="107" spans="1:6" s="875" customFormat="1" ht="36">
      <c r="A107" s="879">
        <v>47</v>
      </c>
      <c r="B107" s="3280" t="s">
        <v>713</v>
      </c>
      <c r="C107" s="879" t="s">
        <v>714</v>
      </c>
      <c r="D107" s="815" t="s">
        <v>715</v>
      </c>
      <c r="E107" s="892">
        <v>0.3</v>
      </c>
      <c r="F107" s="879">
        <v>50</v>
      </c>
    </row>
    <row r="108" spans="1:6" s="875" customFormat="1" ht="36">
      <c r="A108" s="879">
        <v>48</v>
      </c>
      <c r="B108" s="328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0" t="s">
        <v>724</v>
      </c>
      <c r="C111" s="879" t="s">
        <v>725</v>
      </c>
      <c r="D111" s="815" t="s">
        <v>726</v>
      </c>
      <c r="E111" s="892">
        <v>0.2</v>
      </c>
      <c r="F111" s="879">
        <v>30</v>
      </c>
    </row>
    <row r="112" spans="1:6" s="875" customFormat="1" ht="24">
      <c r="A112" s="879">
        <v>52</v>
      </c>
      <c r="B112" s="3280"/>
      <c r="C112" s="879" t="s">
        <v>727</v>
      </c>
      <c r="D112" s="815" t="s">
        <v>728</v>
      </c>
      <c r="E112" s="892">
        <v>0.2</v>
      </c>
      <c r="F112" s="879">
        <v>30</v>
      </c>
    </row>
    <row r="113" spans="1:6" s="875" customFormat="1" ht="24">
      <c r="A113" s="879">
        <v>53</v>
      </c>
      <c r="B113" s="328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0" t="s">
        <v>737</v>
      </c>
      <c r="C116" s="879" t="s">
        <v>738</v>
      </c>
      <c r="D116" s="815" t="s">
        <v>739</v>
      </c>
      <c r="E116" s="892">
        <v>0.2</v>
      </c>
      <c r="F116" s="879">
        <v>30</v>
      </c>
    </row>
    <row r="117" spans="1:6" ht="36">
      <c r="A117" s="879">
        <v>57</v>
      </c>
      <c r="B117" s="328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1622</v>
      </c>
      <c r="C4" s="2978"/>
      <c r="D4" s="2978"/>
      <c r="E4" s="1960"/>
    </row>
    <row r="5" spans="1:5" ht="16.5" thickTop="1">
      <c r="A5" s="1958"/>
      <c r="B5" s="2976" t="s">
        <v>1614</v>
      </c>
      <c r="C5" s="1961" t="s">
        <v>1615</v>
      </c>
      <c r="D5" s="1040">
        <f ca="1">结果表!H101</f>
        <v>262554</v>
      </c>
      <c r="E5" s="1958"/>
    </row>
    <row r="6" spans="1:5" ht="15.75">
      <c r="A6" s="1958"/>
      <c r="B6" s="2976"/>
      <c r="C6" s="1961" t="s">
        <v>1616</v>
      </c>
      <c r="D6" s="1040" t="str">
        <f ca="1">NUMBERSTRING(INT(D5*10000),2)&amp;"元整"</f>
        <v>贰拾陆亿贰仟伍佰伍拾肆万元整</v>
      </c>
      <c r="E6" s="1958"/>
    </row>
    <row r="7" spans="1:5" ht="15.75">
      <c r="A7" s="1958"/>
      <c r="B7" s="2981"/>
      <c r="C7" s="1962" t="s">
        <v>1617</v>
      </c>
      <c r="D7" s="1041">
        <f ca="1">结果表!H102</f>
        <v>9632</v>
      </c>
      <c r="E7" s="1958"/>
    </row>
    <row r="8" spans="1:5" ht="15.75">
      <c r="A8" s="1958"/>
      <c r="B8" s="2982" t="str">
        <f>结果表!E103</f>
        <v>2.估价师知悉的法定优先受偿款</v>
      </c>
      <c r="C8" s="1963" t="s">
        <v>1618</v>
      </c>
      <c r="D8" s="1041">
        <f>结果表!H103</f>
        <v>1364</v>
      </c>
      <c r="E8" s="1958"/>
    </row>
    <row r="9" spans="1:5" ht="15.75">
      <c r="A9" s="1958"/>
      <c r="B9" s="2984"/>
      <c r="C9" s="1961" t="s">
        <v>1616</v>
      </c>
      <c r="D9" s="1040" t="str">
        <f>NUMBERSTRING(INT(D8*10000),2)&amp;"元整"</f>
        <v>壹仟叁佰陆拾肆万元整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1364</v>
      </c>
      <c r="E12" s="1958"/>
    </row>
    <row r="13" spans="1:5" ht="15.75">
      <c r="A13" s="1958"/>
      <c r="B13" s="2975" t="str">
        <f>结果表!E107</f>
        <v>3.房地产抵押价值</v>
      </c>
      <c r="C13" s="1966" t="s">
        <v>1615</v>
      </c>
      <c r="D13" s="1043">
        <f ca="1">结果表!H107</f>
        <v>261190</v>
      </c>
      <c r="E13" s="1958"/>
    </row>
    <row r="14" spans="1:5" ht="15.75">
      <c r="A14" s="1958"/>
      <c r="B14" s="2976"/>
      <c r="C14" s="1961" t="s">
        <v>1616</v>
      </c>
      <c r="D14" s="1040" t="str">
        <f ca="1">NUMBERSTRING(INT(D13*10000),2)&amp;"元整"</f>
        <v>贰拾陆亿壹仟壹佰玖拾万元整</v>
      </c>
      <c r="E14" s="1958"/>
    </row>
    <row r="15" spans="1:5" ht="15">
      <c r="A15" s="1958"/>
      <c r="B15" s="2981"/>
      <c r="C15" s="1962" t="s">
        <v>1626</v>
      </c>
      <c r="D15" s="1052">
        <f ca="1">结果表!H108</f>
        <v>9582</v>
      </c>
      <c r="E15" s="1958"/>
    </row>
    <row r="16" spans="1:5" ht="15">
      <c r="A16" s="1958"/>
      <c r="B16" s="2982" t="str">
        <f>结果表!E109</f>
        <v>4.抵押担保权已注销时的房地产抵押价值</v>
      </c>
      <c r="C16" s="1966" t="s">
        <v>1627</v>
      </c>
      <c r="D16" s="1967">
        <f ca="1">结果表!H109</f>
        <v>261190</v>
      </c>
      <c r="E16" s="1958"/>
    </row>
    <row r="17" spans="1:5" ht="15.75">
      <c r="A17" s="1958"/>
      <c r="B17" s="2983"/>
      <c r="C17" s="1961" t="s">
        <v>1628</v>
      </c>
      <c r="D17" s="1040" t="str">
        <f ca="1">NUMBERSTRING(INT(D16*10000),2)&amp;"元整"</f>
        <v>贰拾陆亿壹仟壹佰玖拾万元整</v>
      </c>
      <c r="E17" s="1958"/>
    </row>
    <row r="18" spans="1:5" ht="15">
      <c r="A18" s="1958"/>
      <c r="B18" s="2984"/>
      <c r="C18" s="1962" t="s">
        <v>1617</v>
      </c>
      <c r="D18" s="1052">
        <f ca="1">结果表!H110</f>
        <v>9582</v>
      </c>
      <c r="E18" s="1958"/>
    </row>
    <row r="19" spans="1:5" ht="15.75">
      <c r="A19" s="1958"/>
      <c r="B19" s="2975" t="str">
        <f>结果表!E111</f>
        <v>——</v>
      </c>
      <c r="C19" s="1966" t="s">
        <v>1615</v>
      </c>
      <c r="D19" s="1041" t="str">
        <f>结果表!H111</f>
        <v>——</v>
      </c>
      <c r="E19" s="1958"/>
    </row>
    <row r="20" spans="1:5" ht="15.75">
      <c r="A20" s="1958"/>
      <c r="B20" s="2976"/>
      <c r="C20" s="1961" t="s">
        <v>1628</v>
      </c>
      <c r="D20" s="1040" t="e">
        <f>NUMBERSTRING(INT(D19*10000),2)&amp;"元整"</f>
        <v>#VALUE!</v>
      </c>
      <c r="E20" s="1958"/>
    </row>
    <row r="21" spans="1:5" ht="15.75" thickBot="1">
      <c r="A21" s="1958"/>
      <c r="B21" s="2977"/>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2949</v>
      </c>
    </row>
    <row r="2" spans="1:5" ht="15.75">
      <c r="A2" s="2912" t="s">
        <v>2941</v>
      </c>
      <c r="B2" s="2913">
        <f ca="1">SUMIF(B6:B13,"&lt;&gt;#ref!",B6:B13)</f>
        <v>0</v>
      </c>
      <c r="C2" s="2912" t="s">
        <v>2942</v>
      </c>
      <c r="D2" s="2912" t="s">
        <v>2943</v>
      </c>
      <c r="E2" s="2913">
        <f ca="1">SUMIF(E6:E13,"&lt;&gt;#ref!",E6:E13)</f>
        <v>0</v>
      </c>
    </row>
    <row r="3" spans="1:5" ht="15.75">
      <c r="A3" s="2912" t="s">
        <v>2944</v>
      </c>
      <c r="B3" s="2913" t="e">
        <f ca="1">ROUND(B2*10000/E2,0)</f>
        <v>#DIV/0!</v>
      </c>
      <c r="C3" s="2912" t="s">
        <v>2950</v>
      </c>
      <c r="D3" s="2914"/>
      <c r="E3" s="2914"/>
    </row>
    <row r="4" spans="1:5" ht="15.75">
      <c r="A4" s="2915"/>
      <c r="B4" s="2914"/>
      <c r="C4" s="2914"/>
      <c r="D4" s="2914"/>
      <c r="E4" s="2914"/>
    </row>
    <row r="5" spans="1:5" ht="28.5">
      <c r="A5" s="2916" t="s">
        <v>2945</v>
      </c>
      <c r="B5" s="2912" t="s">
        <v>2946</v>
      </c>
      <c r="C5" s="2913"/>
      <c r="D5" s="2914"/>
      <c r="E5" s="2912" t="s">
        <v>2947</v>
      </c>
    </row>
    <row r="6" spans="1:5" ht="15.75">
      <c r="A6" s="2917" t="s">
        <v>2948</v>
      </c>
      <c r="B6" s="2913">
        <f ca="1">SUMIF(INDIRECT("'"&amp;A6&amp;"'"&amp;"!A:A"),"总价",INDIRECT("'"&amp;A6&amp;"'"&amp;"!B:B"))</f>
        <v>0</v>
      </c>
      <c r="C6" s="2912" t="s">
        <v>2942</v>
      </c>
      <c r="D6" s="2914"/>
      <c r="E6" s="2577">
        <f ca="1">SUMIF(INDIRECT("'"&amp;A6&amp;"'"&amp;"!C:C"),"建筑面积",INDIRECT("'"&amp;A6&amp;"'"&amp;"!D:D"))</f>
        <v>0</v>
      </c>
    </row>
    <row r="7" spans="1:5" ht="15.75">
      <c r="A7" s="2917"/>
      <c r="B7" s="2913" t="e">
        <f ca="1">SUMIF(INDIRECT("'"&amp;A7&amp;"'"&amp;"!A:A"),"总价",INDIRECT("'"&amp;A7&amp;"'"&amp;"!B:B"))</f>
        <v>#REF!</v>
      </c>
      <c r="C7" s="2912" t="s">
        <v>2942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2942</v>
      </c>
      <c r="D8" s="2914"/>
      <c r="E8" s="2577" t="e">
        <f t="shared" ca="1" si="0"/>
        <v>#REF!</v>
      </c>
    </row>
    <row r="9" spans="1:5" ht="15.75">
      <c r="A9" s="2917"/>
      <c r="B9" s="2913" t="e">
        <f t="shared" ca="1" si="1"/>
        <v>#REF!</v>
      </c>
      <c r="C9" s="2912" t="s">
        <v>2942</v>
      </c>
      <c r="D9" s="2914"/>
      <c r="E9" s="2577" t="e">
        <f t="shared" ca="1" si="0"/>
        <v>#REF!</v>
      </c>
    </row>
    <row r="10" spans="1:5" ht="15.75">
      <c r="A10" s="2917"/>
      <c r="B10" s="2913" t="e">
        <f t="shared" ca="1" si="1"/>
        <v>#REF!</v>
      </c>
      <c r="C10" s="2912" t="s">
        <v>2942</v>
      </c>
      <c r="D10" s="2914"/>
      <c r="E10" s="2577" t="e">
        <f t="shared" ca="1" si="0"/>
        <v>#REF!</v>
      </c>
    </row>
    <row r="11" spans="1:5" ht="15.75">
      <c r="A11" s="2917"/>
      <c r="B11" s="2913" t="e">
        <f t="shared" ca="1" si="1"/>
        <v>#REF!</v>
      </c>
      <c r="C11" s="2912" t="s">
        <v>2942</v>
      </c>
      <c r="D11" s="2914"/>
      <c r="E11" s="2577" t="e">
        <f t="shared" ca="1" si="0"/>
        <v>#REF!</v>
      </c>
    </row>
    <row r="12" spans="1:5" ht="15.75">
      <c r="A12" s="2917"/>
      <c r="B12" s="2913" t="e">
        <f t="shared" ca="1" si="1"/>
        <v>#REF!</v>
      </c>
      <c r="C12" s="2912" t="s">
        <v>2942</v>
      </c>
      <c r="D12" s="2914"/>
      <c r="E12" s="2577" t="e">
        <f t="shared" ca="1" si="0"/>
        <v>#REF!</v>
      </c>
    </row>
    <row r="13" spans="1:5" ht="15.75">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topLeftCell="F1" zoomScale="80" zoomScaleNormal="80" workbookViewId="0">
      <selection activeCell="I13" sqref="I1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6" t="s">
        <v>1142</v>
      </c>
      <c r="C1" s="3286"/>
      <c r="D1" s="3286"/>
      <c r="E1" s="3286"/>
      <c r="F1" s="3286"/>
      <c r="G1" s="3285" t="s">
        <v>1143</v>
      </c>
      <c r="H1" s="3285"/>
      <c r="I1" s="3285"/>
      <c r="J1" s="3285"/>
      <c r="K1" s="3285"/>
      <c r="L1" s="3285"/>
      <c r="N1" s="3285" t="s">
        <v>1144</v>
      </c>
      <c r="O1" s="3285"/>
      <c r="P1" s="3285"/>
      <c r="Q1" s="3285"/>
      <c r="R1" s="1446"/>
      <c r="S1" s="3285" t="s">
        <v>1145</v>
      </c>
      <c r="T1" s="3285"/>
      <c r="U1" s="3285"/>
      <c r="V1" s="3285"/>
      <c r="X1" s="3284" t="s">
        <v>1146</v>
      </c>
      <c r="Y1" s="3285"/>
      <c r="Z1" s="3285"/>
      <c r="AA1" s="3285"/>
      <c r="AB1" s="3285"/>
      <c r="AD1" s="3284" t="s">
        <v>1147</v>
      </c>
      <c r="AE1" s="3285"/>
      <c r="AF1" s="3285"/>
      <c r="AG1" s="3285"/>
      <c r="AH1" s="3285"/>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25">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2">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2"/>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2"/>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1"/>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87">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2"/>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82"/>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91"/>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87">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2"/>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2"/>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3"/>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81">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2"/>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2"/>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3"/>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81">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2"/>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2"/>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3"/>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288">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89"/>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89"/>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90"/>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81">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82"/>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82"/>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83"/>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81">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2">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82">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83">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81">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2">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82">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83">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81">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2">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82">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83">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81">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2">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82">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83">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81">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2">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82">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83">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81">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2">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82">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83">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81">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2">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82">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83">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81">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2">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82">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83">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81">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82">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82">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83">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81">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82">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82">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83">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93" t="s">
        <v>2952</v>
      </c>
      <c r="D1" s="3294"/>
      <c r="E1" s="3294"/>
      <c r="F1" s="3294"/>
      <c r="G1" s="3294"/>
      <c r="H1" s="3294"/>
      <c r="I1" s="3294"/>
      <c r="J1" s="3294"/>
      <c r="K1" s="3294"/>
      <c r="L1" s="3294"/>
      <c r="M1" s="3294"/>
      <c r="N1" s="3294"/>
      <c r="O1" s="3294"/>
      <c r="P1" s="3294"/>
      <c r="Q1" s="3294"/>
      <c r="R1" s="3294"/>
      <c r="S1" s="3295"/>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5"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154" t="s">
        <v>33</v>
      </c>
      <c r="D22" s="3155"/>
      <c r="E22" s="3155"/>
      <c r="F22" s="3155"/>
      <c r="G22" s="3155"/>
      <c r="H22" s="3155"/>
      <c r="I22" s="3155"/>
      <c r="J22" s="3155"/>
      <c r="K22" s="3155"/>
      <c r="L22" s="3155"/>
      <c r="M22" s="3155"/>
      <c r="N22" s="3155"/>
      <c r="O22" s="3155"/>
      <c r="P22" s="3155"/>
      <c r="Q22" s="3292"/>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71828</v>
      </c>
      <c r="C2" s="2" t="s">
        <v>133</v>
      </c>
      <c r="D2" s="243"/>
      <c r="E2" s="243"/>
      <c r="F2" s="243"/>
      <c r="G2" s="243"/>
    </row>
    <row r="3" spans="1:7" s="244" customFormat="1" ht="18" customHeight="1" thickBot="1">
      <c r="A3" s="247" t="s">
        <v>85</v>
      </c>
      <c r="B3" s="248">
        <f ca="1">ROUND(B2*10000/'数据-汇总表'!E3,0)</f>
        <v>2635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29666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26114</v>
      </c>
      <c r="D34" s="261"/>
      <c r="E34" s="264"/>
      <c r="F34" s="301">
        <f>IF('数据-取费表'!B24=0,1,'数据-取费表'!N16)</f>
        <v>0.34</v>
      </c>
      <c r="G34" s="263" t="s">
        <v>116</v>
      </c>
    </row>
    <row r="35" spans="1:7" ht="13.5" customHeight="1">
      <c r="A35" s="951" t="s">
        <v>795</v>
      </c>
      <c r="B35" s="259" t="s">
        <v>60</v>
      </c>
      <c r="C35" s="264">
        <f>ROUND(C34*F35,0)</f>
        <v>1306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1854</v>
      </c>
      <c r="D37" s="261">
        <f>'数据-汇总表'!E3</f>
        <v>272582</v>
      </c>
      <c r="E37" s="293">
        <f>'数据-取费表'!B35</f>
        <v>200</v>
      </c>
      <c r="F37" s="303"/>
      <c r="G37" s="305" t="s">
        <v>119</v>
      </c>
    </row>
    <row r="38" spans="1:7" ht="13.5" customHeight="1">
      <c r="A38" s="951" t="s">
        <v>798</v>
      </c>
      <c r="B38" s="259" t="s">
        <v>63</v>
      </c>
      <c r="C38" s="264">
        <f>ROUND(C34*F38,0)</f>
        <v>392</v>
      </c>
      <c r="D38" s="264"/>
      <c r="E38" s="264"/>
      <c r="F38" s="303">
        <f>'数据-取费表'!B36</f>
        <v>1.4999999999999999E-2</v>
      </c>
      <c r="G38" s="263" t="s">
        <v>117</v>
      </c>
    </row>
    <row r="39" spans="1:7" s="258" customFormat="1" ht="13.5" customHeight="1">
      <c r="A39" s="948" t="s">
        <v>782</v>
      </c>
      <c r="B39" s="254" t="s">
        <v>104</v>
      </c>
      <c r="C39" s="276">
        <f>ROUND(C33*F20,0)</f>
        <v>593</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1072</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1051</v>
      </c>
      <c r="D42" s="282"/>
      <c r="E42" s="282"/>
      <c r="F42" s="283"/>
      <c r="G42" s="3245" t="s">
        <v>121</v>
      </c>
    </row>
    <row r="43" spans="1:7" ht="13.5" customHeight="1">
      <c r="A43" s="951" t="s">
        <v>791</v>
      </c>
      <c r="B43" s="259" t="s">
        <v>1060</v>
      </c>
      <c r="C43" s="282">
        <f ca="1">ROUND(IF('数据-取费表'!B22&lt;=1,C39*F22*'数据-取费表'!B21/2,C39*(POWER((1+F22),'数据-取费表'!B21/2)-1)),0)</f>
        <v>21</v>
      </c>
      <c r="D43" s="282"/>
      <c r="E43" s="282"/>
      <c r="F43" s="283"/>
      <c r="G43" s="3246"/>
    </row>
    <row r="44" spans="1:7" ht="13.5" customHeight="1">
      <c r="A44" s="951" t="s">
        <v>792</v>
      </c>
      <c r="B44" s="259" t="s">
        <v>1062</v>
      </c>
      <c r="C44" s="282">
        <f ca="1">ROUND(IF('数据-取费表'!B22&lt;=1,C40*F22*'数据-取费表'!B21/2,C40*(POWER((1+F22),'数据-取费表'!B21/2)-1)),4)</f>
        <v>6.9999999999999999E-4</v>
      </c>
      <c r="D44" s="282"/>
      <c r="E44" s="282"/>
      <c r="F44" s="283"/>
      <c r="G44" s="3247"/>
    </row>
    <row r="45" spans="1:7" s="258" customFormat="1" ht="13.5" customHeight="1">
      <c r="A45" s="948" t="s">
        <v>785</v>
      </c>
      <c r="B45" s="288" t="s">
        <v>112</v>
      </c>
      <c r="C45" s="289">
        <f>C46</f>
        <v>4539</v>
      </c>
      <c r="D45" s="279">
        <f>C47</f>
        <v>3.0000000000000001E-3</v>
      </c>
      <c r="E45" s="280" t="s">
        <v>129</v>
      </c>
      <c r="F45" s="290"/>
      <c r="G45" s="291" t="s">
        <v>1068</v>
      </c>
    </row>
    <row r="46" spans="1:7" s="258" customFormat="1" ht="13.5" customHeight="1">
      <c r="A46" s="951" t="s">
        <v>793</v>
      </c>
      <c r="B46" s="292" t="s">
        <v>1061</v>
      </c>
      <c r="C46" s="293">
        <f>ROUND((C33+C39)*F27,0)</f>
        <v>4539</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38864</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38864</v>
      </c>
      <c r="D51" s="276"/>
      <c r="E51" s="276"/>
      <c r="F51" s="308"/>
      <c r="G51" s="278" t="s">
        <v>64</v>
      </c>
    </row>
    <row r="52" spans="1:7" s="252" customFormat="1" ht="16.5" thickBot="1">
      <c r="A52" s="309" t="s">
        <v>65</v>
      </c>
      <c r="B52" s="310"/>
      <c r="C52" s="311">
        <f ca="1">C31+C51</f>
        <v>71828</v>
      </c>
      <c r="D52" s="310"/>
      <c r="E52" s="310"/>
      <c r="F52" s="310"/>
      <c r="G52" s="312"/>
    </row>
    <row r="55" spans="1:7" ht="15">
      <c r="B55" s="314" t="s">
        <v>66</v>
      </c>
      <c r="C55" s="315"/>
    </row>
    <row r="56" spans="1:7">
      <c r="B56" s="317" t="s">
        <v>67</v>
      </c>
      <c r="C56" s="318">
        <f ca="1">ROUND(C51/C52,3)</f>
        <v>0.54100000000000004</v>
      </c>
    </row>
    <row r="57" spans="1:7">
      <c r="B57" s="317" t="s">
        <v>68</v>
      </c>
      <c r="C57" s="319">
        <f ca="1">1-C56</f>
        <v>0.45899999999999996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6" t="s">
        <v>156</v>
      </c>
      <c r="B1" s="3296"/>
      <c r="C1" s="3296"/>
      <c r="D1" s="3296"/>
      <c r="E1" s="3296"/>
      <c r="F1" s="329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7" t="s">
        <v>169</v>
      </c>
      <c r="B2" s="3297"/>
      <c r="C2" s="3297"/>
      <c r="D2" s="3297"/>
      <c r="E2" s="3297"/>
      <c r="F2" s="329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6" t="s">
        <v>867</v>
      </c>
      <c r="B1" s="329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H21" sqref="H21"/>
    </sheetView>
  </sheetViews>
  <sheetFormatPr defaultRowHeight="13.5"/>
  <cols>
    <col min="2" max="2" width="63.875" customWidth="1"/>
    <col min="4" max="4" width="15.875" customWidth="1"/>
    <col min="6" max="6" width="15.25" customWidth="1"/>
    <col min="8" max="8" width="14" customWidth="1"/>
    <col min="9" max="9" width="18.625" customWidth="1"/>
  </cols>
  <sheetData>
    <row r="3" spans="1:9">
      <c r="B3" s="1634" t="s">
        <v>3080</v>
      </c>
      <c r="C3" s="1634" t="s">
        <v>3081</v>
      </c>
      <c r="D3" s="1634" t="s">
        <v>3082</v>
      </c>
      <c r="E3" s="1634" t="s">
        <v>3083</v>
      </c>
      <c r="F3" s="1634" t="s">
        <v>3084</v>
      </c>
      <c r="G3" s="1634" t="s">
        <v>3085</v>
      </c>
      <c r="H3" s="1634" t="s">
        <v>3086</v>
      </c>
      <c r="I3" s="1634" t="s">
        <v>3087</v>
      </c>
    </row>
    <row r="4" spans="1:9" s="2958" customFormat="1">
      <c r="A4" s="2961" t="s">
        <v>3119</v>
      </c>
      <c r="B4" s="2962" t="s">
        <v>3088</v>
      </c>
      <c r="C4" s="2962" t="s">
        <v>3010</v>
      </c>
      <c r="D4" s="2962" t="s">
        <v>3089</v>
      </c>
      <c r="E4" s="2962" t="s">
        <v>3090</v>
      </c>
      <c r="F4" s="2962">
        <v>33071.620000000003</v>
      </c>
      <c r="G4" s="2962">
        <v>3.7</v>
      </c>
      <c r="H4" s="2962" t="s">
        <v>3091</v>
      </c>
      <c r="I4" s="2962">
        <v>14948.05</v>
      </c>
    </row>
    <row r="5" spans="1:9" s="2958" customFormat="1">
      <c r="A5" s="2961" t="s">
        <v>3120</v>
      </c>
      <c r="B5" s="2962" t="s">
        <v>3092</v>
      </c>
      <c r="C5" s="2962" t="s">
        <v>3010</v>
      </c>
      <c r="D5" s="2962" t="s">
        <v>3089</v>
      </c>
      <c r="E5" s="2962" t="s">
        <v>3090</v>
      </c>
      <c r="F5" s="2962">
        <v>66237.2</v>
      </c>
      <c r="G5" s="2962">
        <v>3.99</v>
      </c>
      <c r="H5" s="2962" t="s">
        <v>3093</v>
      </c>
      <c r="I5" s="2962">
        <v>14580.09</v>
      </c>
    </row>
    <row r="6" spans="1:9">
      <c r="B6" s="1634" t="s">
        <v>3094</v>
      </c>
      <c r="C6" s="1634" t="s">
        <v>3010</v>
      </c>
      <c r="D6" s="1634" t="s">
        <v>3089</v>
      </c>
      <c r="E6" s="1634" t="s">
        <v>3090</v>
      </c>
      <c r="F6" s="1634">
        <v>18303.330000000002</v>
      </c>
      <c r="G6" s="1634">
        <v>3.2</v>
      </c>
      <c r="H6" s="1634" t="s">
        <v>3095</v>
      </c>
      <c r="I6" s="1634">
        <v>22024.54</v>
      </c>
    </row>
    <row r="7" spans="1:9" s="2958" customFormat="1">
      <c r="A7" s="2961" t="s">
        <v>3121</v>
      </c>
      <c r="B7" s="2962" t="s">
        <v>3096</v>
      </c>
      <c r="C7" s="2962" t="s">
        <v>3010</v>
      </c>
      <c r="D7" s="2962" t="s">
        <v>3089</v>
      </c>
      <c r="E7" s="2962" t="s">
        <v>3090</v>
      </c>
      <c r="F7" s="2962">
        <v>29183.54</v>
      </c>
      <c r="G7" s="2962">
        <v>2.5</v>
      </c>
      <c r="H7" s="2962" t="s">
        <v>3097</v>
      </c>
      <c r="I7" s="2962">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9" sqref="L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1633</v>
      </c>
      <c r="B2" s="2995" t="s">
        <v>1634</v>
      </c>
      <c r="C2" s="2995" t="s">
        <v>1635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4" t="s">
        <v>1630</v>
      </c>
      <c r="E3" s="1044" t="s">
        <v>1636</v>
      </c>
      <c r="F3" s="1044" t="s">
        <v>1630</v>
      </c>
      <c r="G3" s="1044" t="s">
        <v>1631</v>
      </c>
      <c r="H3" s="1044" t="s">
        <v>1630</v>
      </c>
      <c r="I3" s="1044" t="s">
        <v>1631</v>
      </c>
    </row>
    <row r="4" spans="1:9" ht="45">
      <c r="A4" s="1972" t="str">
        <f>项目基本情况!S2</f>
        <v>北京市北京经济技术开发区东区A18街区出让国有建设用地使用权及在建建筑物房地产</v>
      </c>
      <c r="B4" s="1044">
        <f>项目基本情况!C17</f>
        <v>272582</v>
      </c>
      <c r="C4" s="1044">
        <f>项目基本情况!C18</f>
        <v>54579.4</v>
      </c>
      <c r="D4" s="1044">
        <f ca="1">结果表!D118</f>
        <v>233148</v>
      </c>
      <c r="E4" s="1044">
        <f ca="1">结果表!E118</f>
        <v>8553</v>
      </c>
      <c r="F4" s="1044">
        <f ca="1">结果表!F118</f>
        <v>29406</v>
      </c>
      <c r="G4" s="1044">
        <f ca="1">结果表!G118</f>
        <v>1079</v>
      </c>
      <c r="H4" s="1044">
        <f ca="1">结果表!H118</f>
        <v>262554</v>
      </c>
      <c r="I4" s="1044">
        <f ca="1">结果表!I118</f>
        <v>9632</v>
      </c>
    </row>
    <row r="5" spans="1:9" ht="30" customHeight="1">
      <c r="A5" s="2989" t="s">
        <v>1632</v>
      </c>
      <c r="B5" s="2989"/>
      <c r="C5" s="2989"/>
      <c r="D5" s="2990" t="str">
        <f ca="1">结果表!D119</f>
        <v>贰拾叁亿叁仟壹佰肆拾捌万元整</v>
      </c>
      <c r="E5" s="2990"/>
      <c r="F5" s="2990" t="str">
        <f ca="1">结果表!F119</f>
        <v>贰亿玖仟肆佰零陆万元整</v>
      </c>
      <c r="G5" s="2990"/>
      <c r="H5" s="2990" t="str">
        <f ca="1">结果表!H119</f>
        <v>贰拾陆亿贰仟伍佰伍拾肆万元整</v>
      </c>
      <c r="I5" s="2990"/>
    </row>
    <row r="6" spans="1:9" ht="15.75">
      <c r="A6" s="2988" t="str">
        <f>结果表!A120</f>
        <v>估价师知悉的法定优先受偿款</v>
      </c>
      <c r="B6" s="2988"/>
      <c r="C6" s="2988"/>
      <c r="D6" s="2988">
        <f>结果表!D120</f>
        <v>1364</v>
      </c>
      <c r="E6" s="2988"/>
      <c r="F6" s="2988"/>
      <c r="G6" s="2988"/>
      <c r="H6" s="2988"/>
      <c r="I6" s="2988"/>
    </row>
    <row r="7" spans="1:9" ht="15">
      <c r="A7" s="2989" t="s">
        <v>1632</v>
      </c>
      <c r="B7" s="2989"/>
      <c r="C7" s="2989"/>
      <c r="D7" s="2991" t="str">
        <f>结果表!D121</f>
        <v>壹仟叁佰陆拾肆万元整</v>
      </c>
      <c r="E7" s="2992"/>
      <c r="F7" s="2992"/>
      <c r="G7" s="2992"/>
      <c r="H7" s="2992"/>
      <c r="I7" s="2993"/>
    </row>
    <row r="8" spans="1:9" ht="15.75">
      <c r="A8" s="2988" t="str">
        <f>结果表!A122</f>
        <v>房地产抵押价值</v>
      </c>
      <c r="B8" s="2988"/>
      <c r="C8" s="2988"/>
      <c r="D8" s="2988">
        <f ca="1">结果表!D122</f>
        <v>261190</v>
      </c>
      <c r="E8" s="2988"/>
      <c r="F8" s="2988"/>
      <c r="G8" s="2988"/>
      <c r="H8" s="2988"/>
      <c r="I8" s="2988"/>
    </row>
    <row r="9" spans="1:9" ht="15">
      <c r="A9" s="2989" t="s">
        <v>1632</v>
      </c>
      <c r="B9" s="2989"/>
      <c r="C9" s="2989"/>
      <c r="D9" s="2990" t="str">
        <f ca="1">结果表!D123</f>
        <v>贰拾陆亿壹仟壹佰玖拾万元整</v>
      </c>
      <c r="E9" s="2990"/>
      <c r="F9" s="2990"/>
      <c r="G9" s="2990"/>
      <c r="H9" s="2990"/>
      <c r="I9" s="2990"/>
    </row>
    <row r="10" spans="1:9" ht="15.75">
      <c r="A10" s="2988" t="str">
        <f>结果表!A124</f>
        <v>抵押担保权已注销时的房地产抵押价值</v>
      </c>
      <c r="B10" s="2988"/>
      <c r="C10" s="2988"/>
      <c r="D10" s="2988">
        <f ca="1">结果表!D124</f>
        <v>261190</v>
      </c>
      <c r="E10" s="2988"/>
      <c r="F10" s="2988"/>
      <c r="G10" s="2988"/>
      <c r="H10" s="2988"/>
      <c r="I10" s="2988"/>
    </row>
    <row r="11" spans="1:9" ht="15">
      <c r="A11" s="2989" t="s">
        <v>1632</v>
      </c>
      <c r="B11" s="2989"/>
      <c r="C11" s="2989"/>
      <c r="D11" s="2990" t="str">
        <f ca="1">结果表!D125</f>
        <v>贰拾陆亿壹仟壹佰玖拾万元整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1632</v>
      </c>
      <c r="B13" s="2985"/>
      <c r="C13" s="2985"/>
      <c r="D13" s="2986" t="e">
        <f>结果表!D127</f>
        <v>#VALUE!</v>
      </c>
      <c r="E13" s="2986"/>
      <c r="F13" s="2986"/>
      <c r="G13" s="2986"/>
      <c r="H13" s="2986"/>
      <c r="I13" s="2986"/>
    </row>
    <row r="14" spans="1:9" ht="15" thickTop="1">
      <c r="A14" s="2987" t="s">
        <v>1637</v>
      </c>
      <c r="B14" s="2987"/>
      <c r="C14" s="2987"/>
      <c r="D14" s="2987"/>
      <c r="E14" s="2987"/>
      <c r="F14" s="2987"/>
      <c r="G14" s="2987"/>
      <c r="H14" s="2987"/>
      <c r="I14" s="2987"/>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D34" sqref="D3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4" sqref="I1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3.5"/>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topLeftCell="E1" workbookViewId="0">
      <selection activeCell="H27" sqref="H27"/>
    </sheetView>
  </sheetViews>
  <sheetFormatPr defaultRowHeight="13.5"/>
  <cols>
    <col min="5" max="5" width="21.125" customWidth="1"/>
    <col min="6" max="6" width="14.375" customWidth="1"/>
    <col min="7" max="7" width="15.875" customWidth="1"/>
    <col min="8" max="9" width="15.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2956"/>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2958" customFormat="1">
      <c r="E6" s="2958" t="s">
        <v>3055</v>
      </c>
      <c r="F6" s="2958" t="s">
        <v>3023</v>
      </c>
      <c r="G6" s="2958">
        <v>3770.94</v>
      </c>
      <c r="H6" s="2958">
        <v>18832.939999999999</v>
      </c>
      <c r="I6" s="2958">
        <v>18832.939999999999</v>
      </c>
      <c r="N6" s="2958">
        <v>18832.939999999999</v>
      </c>
      <c r="R6" s="2958">
        <v>0</v>
      </c>
    </row>
    <row r="7" spans="5:30" s="2958" customFormat="1">
      <c r="E7" s="2958" t="s">
        <v>3056</v>
      </c>
      <c r="F7" s="2958" t="s">
        <v>3023</v>
      </c>
      <c r="G7" s="2958">
        <v>2921.15</v>
      </c>
      <c r="H7" s="2958">
        <v>14588.9</v>
      </c>
      <c r="I7" s="2958">
        <v>14588.9</v>
      </c>
      <c r="J7" s="2958">
        <v>14588.9</v>
      </c>
      <c r="R7" s="2958">
        <v>0</v>
      </c>
    </row>
    <row r="8" spans="5:30" s="2958" customFormat="1">
      <c r="E8" s="2958" t="s">
        <v>3057</v>
      </c>
      <c r="F8" s="2958" t="s">
        <v>3023</v>
      </c>
      <c r="G8" s="2958">
        <v>4270.1899999999996</v>
      </c>
      <c r="H8" s="2958">
        <v>21326.32</v>
      </c>
      <c r="I8" s="2958">
        <v>21326.32</v>
      </c>
      <c r="J8" s="2958">
        <v>21326.32</v>
      </c>
      <c r="R8" s="2958">
        <v>0</v>
      </c>
    </row>
    <row r="9" spans="5:30" s="2958" customFormat="1">
      <c r="E9" s="2958" t="s">
        <v>3058</v>
      </c>
      <c r="F9" s="2958" t="s">
        <v>3023</v>
      </c>
      <c r="G9" s="2958">
        <v>3101.73</v>
      </c>
      <c r="H9" s="2958">
        <v>15490.76</v>
      </c>
      <c r="I9" s="2958">
        <v>15490.76</v>
      </c>
      <c r="J9" s="2958">
        <v>15490.76</v>
      </c>
      <c r="R9" s="2958">
        <v>0</v>
      </c>
    </row>
    <row r="10" spans="5:30" s="2958" customFormat="1">
      <c r="E10" s="2958" t="s">
        <v>3059</v>
      </c>
      <c r="F10" s="2958" t="s">
        <v>3023</v>
      </c>
      <c r="G10" s="2958">
        <v>705.33</v>
      </c>
      <c r="H10" s="2958">
        <v>3522.56</v>
      </c>
      <c r="I10" s="2958">
        <v>0</v>
      </c>
      <c r="R10" s="2958">
        <v>3522.56</v>
      </c>
      <c r="S10" s="2958">
        <v>3522.56</v>
      </c>
    </row>
    <row r="11" spans="5:30" s="2958" customFormat="1">
      <c r="E11" s="2958" t="s">
        <v>3060</v>
      </c>
      <c r="F11" s="2958" t="s">
        <v>3023</v>
      </c>
      <c r="G11" s="2958">
        <v>724.02</v>
      </c>
      <c r="H11" s="2958">
        <v>3615.92</v>
      </c>
      <c r="I11" s="2958">
        <v>3615.92</v>
      </c>
      <c r="L11" s="2958">
        <v>3615.92</v>
      </c>
      <c r="R11" s="2958">
        <v>0</v>
      </c>
    </row>
    <row r="12" spans="5:30" s="2958" customFormat="1">
      <c r="E12" s="2958" t="s">
        <v>3013</v>
      </c>
      <c r="F12" s="2958" t="s">
        <v>3023</v>
      </c>
      <c r="G12" s="2958">
        <v>6192.11</v>
      </c>
      <c r="H12" s="2958">
        <v>30924.799999999999</v>
      </c>
      <c r="I12" s="2958">
        <v>29404.7</v>
      </c>
      <c r="P12" s="2958">
        <v>29404.7</v>
      </c>
      <c r="R12" s="2958">
        <v>1520.1</v>
      </c>
      <c r="AC12" s="2958">
        <v>1520.1</v>
      </c>
    </row>
    <row r="13" spans="5:30">
      <c r="E13" t="s">
        <v>3061</v>
      </c>
      <c r="F13" t="s">
        <v>3023</v>
      </c>
      <c r="G13">
        <v>6880.2</v>
      </c>
      <c r="H13" s="2957">
        <v>34361.300000000003</v>
      </c>
      <c r="I13">
        <v>24357.9</v>
      </c>
      <c r="J13">
        <v>23258.7</v>
      </c>
      <c r="L13">
        <v>1099.2</v>
      </c>
      <c r="R13">
        <v>10003.4</v>
      </c>
      <c r="S13">
        <v>10003.4</v>
      </c>
    </row>
    <row r="14" spans="5:30">
      <c r="E14" t="s">
        <v>3062</v>
      </c>
      <c r="F14" t="s">
        <v>3023</v>
      </c>
      <c r="G14">
        <v>7006.73</v>
      </c>
      <c r="H14" s="2957">
        <v>34993.199999999997</v>
      </c>
      <c r="I14">
        <v>24996.799999999999</v>
      </c>
      <c r="J14">
        <v>23918.799999999999</v>
      </c>
      <c r="L14">
        <v>1078</v>
      </c>
      <c r="R14">
        <v>9996.4</v>
      </c>
      <c r="S14">
        <v>9996.4</v>
      </c>
    </row>
    <row r="15" spans="5:30">
      <c r="E15" t="s">
        <v>3063</v>
      </c>
      <c r="F15" t="s">
        <v>3023</v>
      </c>
      <c r="G15">
        <v>7766.02</v>
      </c>
      <c r="H15" s="2957">
        <v>38785.300000000003</v>
      </c>
      <c r="I15">
        <v>29024.7</v>
      </c>
      <c r="J15">
        <v>26978.9</v>
      </c>
      <c r="L15">
        <v>2045.8</v>
      </c>
      <c r="R15">
        <v>9760.6</v>
      </c>
      <c r="S15">
        <v>9760.6</v>
      </c>
    </row>
    <row r="16" spans="5:30">
      <c r="E16" t="s">
        <v>3064</v>
      </c>
      <c r="F16" t="s">
        <v>3023</v>
      </c>
      <c r="G16">
        <v>316.77</v>
      </c>
      <c r="H16" s="2957">
        <v>1582</v>
      </c>
      <c r="I16">
        <v>0</v>
      </c>
      <c r="R16">
        <v>1582</v>
      </c>
      <c r="S16">
        <v>1582</v>
      </c>
    </row>
    <row r="17" spans="5:29">
      <c r="E17" t="s">
        <v>3065</v>
      </c>
      <c r="F17" t="s">
        <v>3023</v>
      </c>
      <c r="G17">
        <v>708.32</v>
      </c>
      <c r="H17" s="2957">
        <v>3537.5</v>
      </c>
      <c r="I17">
        <v>3537.5</v>
      </c>
      <c r="L17">
        <v>3537.5</v>
      </c>
      <c r="R17">
        <v>0</v>
      </c>
    </row>
    <row r="18" spans="5:29">
      <c r="E18" t="s">
        <v>3066</v>
      </c>
      <c r="F18" t="s">
        <v>3023</v>
      </c>
      <c r="G18">
        <v>10215.89</v>
      </c>
      <c r="H18" s="2957">
        <v>51020.5</v>
      </c>
      <c r="I18">
        <v>40270.9</v>
      </c>
      <c r="P18">
        <v>40270.9</v>
      </c>
      <c r="R18">
        <v>10749.599999999999</v>
      </c>
      <c r="S18">
        <v>391.30000000000007</v>
      </c>
      <c r="U18">
        <v>6166.9</v>
      </c>
      <c r="AC18">
        <v>4191.3999999999996</v>
      </c>
    </row>
    <row r="20" spans="5:29">
      <c r="I20" s="2956" t="s">
        <v>3077</v>
      </c>
      <c r="J20" s="2957">
        <v>0.65</v>
      </c>
    </row>
    <row r="21" spans="5:29">
      <c r="G21" s="2956" t="s">
        <v>3067</v>
      </c>
      <c r="H21" s="2956" t="s">
        <v>3076</v>
      </c>
    </row>
    <row r="22" spans="5:29">
      <c r="F22" t="s">
        <v>2999</v>
      </c>
      <c r="G22">
        <v>125562.38</v>
      </c>
      <c r="H22" s="2959">
        <f>ROUND(((J7+J8+J9)*0+(J13+J14+J15)*J20)/G22,4)</f>
        <v>0.38390000000000002</v>
      </c>
    </row>
    <row r="23" spans="5:29">
      <c r="F23" t="s">
        <v>3001</v>
      </c>
      <c r="G23">
        <v>11376.42</v>
      </c>
      <c r="H23" s="2959">
        <f>ROUND((L11*0+(L13+L14+L15+L17)*J20)/G23,4)</f>
        <v>0.44340000000000002</v>
      </c>
    </row>
    <row r="24" spans="5:29">
      <c r="F24" t="s">
        <v>3003</v>
      </c>
      <c r="G24">
        <v>18832.939999999999</v>
      </c>
      <c r="H24" s="2957">
        <v>0</v>
      </c>
    </row>
    <row r="25" spans="5:29">
      <c r="F25" t="s">
        <v>3021</v>
      </c>
      <c r="G25">
        <v>69675.600000000006</v>
      </c>
      <c r="H25" s="2959">
        <f>ROUND((P12*0+P18*J20)/G25,4)</f>
        <v>0.37569999999999998</v>
      </c>
    </row>
    <row r="26" spans="5:29">
      <c r="F26" s="2956" t="s">
        <v>3068</v>
      </c>
      <c r="G26">
        <f>'数据-汇总表'!E28</f>
        <v>5711.5</v>
      </c>
      <c r="H26" s="2959">
        <f>ROUND((AC12*0+AC18*J20)/G26,4)</f>
        <v>0.47699999999999998</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2" t="s">
        <v>1654</v>
      </c>
      <c r="B1" s="3002"/>
      <c r="C1" s="3002"/>
      <c r="D1" s="3002"/>
    </row>
    <row r="2" spans="1:4" ht="18">
      <c r="A2" s="3003" t="s">
        <v>1638</v>
      </c>
      <c r="B2" s="3003"/>
      <c r="C2" s="3003"/>
      <c r="D2" s="3003"/>
    </row>
    <row r="3" spans="1:4" ht="18.75">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8">
      <c r="A6" s="3003" t="s">
        <v>1644</v>
      </c>
      <c r="B6" s="3003"/>
      <c r="C6" s="3003"/>
      <c r="D6" s="3003"/>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04" t="s">
        <v>1647</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1648</v>
      </c>
      <c r="B16" s="2998"/>
      <c r="C16" s="2998"/>
      <c r="D16" s="2998"/>
    </row>
    <row r="17" spans="1:4" ht="144" customHeight="1">
      <c r="A17" s="2998" t="s">
        <v>1649</v>
      </c>
      <c r="B17" s="2998"/>
      <c r="C17" s="2998"/>
      <c r="D17" s="2998"/>
    </row>
    <row r="18" spans="1:4" ht="15.75" customHeight="1">
      <c r="A18" s="2996" t="str">
        <f>IF(项目基本情况!B8="抵押",结果表!K120,"——")</f>
        <v>故，本次评估估价师知悉的法定优先受偿款为人民币1364万元整。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1650</v>
      </c>
      <c r="B22" s="3000"/>
      <c r="C22" s="3000"/>
      <c r="D22" s="3000"/>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10" t="s">
        <v>1661</v>
      </c>
      <c r="B15" s="3005" t="s">
        <v>136</v>
      </c>
      <c r="C15" s="3006"/>
    </row>
    <row r="16" spans="1:7" ht="13.5">
      <c r="A16" s="3011"/>
      <c r="B16" s="3005" t="s">
        <v>69</v>
      </c>
      <c r="C16" s="3006"/>
    </row>
    <row r="17" spans="1:3" ht="13.5">
      <c r="A17" s="3011"/>
      <c r="B17" s="3008" t="s">
        <v>1662</v>
      </c>
      <c r="C17" s="1999" t="s">
        <v>1661</v>
      </c>
    </row>
    <row r="18" spans="1:3" ht="13.5">
      <c r="A18" s="3011"/>
      <c r="B18" s="3008"/>
      <c r="C18" s="1999" t="s">
        <v>1663</v>
      </c>
    </row>
    <row r="19" spans="1:3" ht="13.5">
      <c r="A19" s="3011"/>
      <c r="B19" s="3008"/>
      <c r="C19" s="1999" t="s">
        <v>1664</v>
      </c>
    </row>
    <row r="20" spans="1:3" ht="13.5">
      <c r="A20" s="3012"/>
      <c r="B20" s="3007" t="s">
        <v>1665</v>
      </c>
      <c r="C20" s="3006"/>
    </row>
    <row r="21" spans="1:3" ht="13.5">
      <c r="A21" s="2000" t="s">
        <v>1666</v>
      </c>
      <c r="B21" s="2001"/>
      <c r="C21" s="2002"/>
    </row>
    <row r="22" spans="1:3" ht="13.5">
      <c r="A22" s="3009" t="s">
        <v>1667</v>
      </c>
      <c r="B22" s="3007" t="s">
        <v>1668</v>
      </c>
      <c r="C22" s="3006"/>
    </row>
    <row r="23" spans="1:3" ht="13.5">
      <c r="A23" s="3009"/>
      <c r="B23" s="3007" t="s">
        <v>1669</v>
      </c>
      <c r="C23" s="3006"/>
    </row>
    <row r="24" spans="1:3" ht="13.5">
      <c r="A24" s="3009"/>
      <c r="B24" s="3007" t="s">
        <v>1670</v>
      </c>
      <c r="C24" s="3006"/>
    </row>
    <row r="25" spans="1:3" ht="13.5">
      <c r="A25" s="3009"/>
      <c r="B25" s="3008" t="s">
        <v>1671</v>
      </c>
      <c r="C25" s="1999" t="s">
        <v>1672</v>
      </c>
    </row>
    <row r="26" spans="1:3" ht="13.5">
      <c r="A26" s="3009"/>
      <c r="B26" s="3008"/>
      <c r="C26" s="1999" t="s">
        <v>1673</v>
      </c>
    </row>
    <row r="27" spans="1:3" ht="13.5">
      <c r="A27" s="3009"/>
      <c r="B27" s="3008"/>
      <c r="C27" s="1999" t="s">
        <v>1674</v>
      </c>
    </row>
    <row r="28" spans="1:3" ht="13.5">
      <c r="A28" s="3009"/>
      <c r="B28" s="3008"/>
      <c r="C28" s="1999" t="s">
        <v>1675</v>
      </c>
    </row>
    <row r="29" spans="1:3" ht="13.5">
      <c r="A29" s="3009"/>
      <c r="B29" s="3008"/>
      <c r="C29" s="1999" t="s">
        <v>1676</v>
      </c>
    </row>
    <row r="30" spans="1:3" ht="13.5">
      <c r="A30" s="3009"/>
      <c r="B30" s="3008"/>
      <c r="C30" s="1999" t="s">
        <v>1677</v>
      </c>
    </row>
    <row r="31" spans="1:3" ht="13.5">
      <c r="A31" s="3009"/>
      <c r="B31" s="3008"/>
      <c r="C31" s="1999" t="s">
        <v>1678</v>
      </c>
    </row>
    <row r="32" spans="1:3" ht="13.5">
      <c r="A32" s="3009"/>
      <c r="B32" s="3008"/>
      <c r="C32" s="1999" t="s">
        <v>1679</v>
      </c>
    </row>
    <row r="33" spans="1:3" ht="13.5">
      <c r="A33" s="3009"/>
      <c r="B33" s="3008"/>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43550</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3013" t="s">
        <v>842</v>
      </c>
      <c r="B25" s="3013"/>
      <c r="C25" s="3013"/>
      <c r="D25" s="3013"/>
      <c r="E25" s="3013"/>
      <c r="F25" s="3013"/>
      <c r="G25" s="3013"/>
    </row>
    <row r="26" spans="1:7" s="1025" customFormat="1" ht="24" customHeight="1">
      <c r="A26" s="3014" t="s">
        <v>843</v>
      </c>
      <c r="B26" s="3014"/>
      <c r="C26" s="3015"/>
      <c r="D26" s="3016" t="s">
        <v>844</v>
      </c>
      <c r="E26" s="3014"/>
      <c r="F26" s="3014"/>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30" priority="88">
      <formula>AND($C28-TODAY()&lt;30,TODAY()&lt;$C28)</formula>
    </cfRule>
  </conditionalFormatting>
  <conditionalFormatting sqref="C28 F4">
    <cfRule type="cellIs" dxfId="229" priority="90" stopIfTrue="1" operator="lessThan">
      <formula>$B$2</formula>
    </cfRule>
  </conditionalFormatting>
  <conditionalFormatting sqref="C5">
    <cfRule type="expression" dxfId="228" priority="85">
      <formula>AND($C5-TODAY()&lt;30,TODAY()&lt;$C5)</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C4:C11 C13 C23 C17:C21">
    <cfRule type="expression" dxfId="225" priority="82">
      <formula>AND($C4-TODAY()&lt;30,TODAY()&lt;$C4)</formula>
    </cfRule>
  </conditionalFormatting>
  <conditionalFormatting sqref="F7 F9 F11 C4:C11 C13 C23 C17:C21">
    <cfRule type="cellIs" dxfId="224" priority="83" stopIfTrue="1" operator="lessThan">
      <formula>$B$2</formula>
    </cfRule>
  </conditionalFormatting>
  <conditionalFormatting sqref="C18">
    <cfRule type="expression" dxfId="223" priority="72">
      <formula>AND($C18-TODAY()&lt;30,TODAY()&lt;$C18)</formula>
    </cfRule>
  </conditionalFormatting>
  <conditionalFormatting sqref="C18">
    <cfRule type="cellIs" dxfId="222" priority="73" stopIfTrue="1" operator="lessThan">
      <formula>$B$2</formula>
    </cfRule>
  </conditionalFormatting>
  <conditionalFormatting sqref="C20">
    <cfRule type="expression" dxfId="221" priority="70">
      <formula>AND($C20-TODAY()&lt;30,TODAY()&lt;$C20)</formula>
    </cfRule>
  </conditionalFormatting>
  <conditionalFormatting sqref="C20">
    <cfRule type="cellIs" dxfId="220" priority="71" stopIfTrue="1" operator="lessThan">
      <formula>$B$2</formula>
    </cfRule>
  </conditionalFormatting>
  <conditionalFormatting sqref="C17">
    <cfRule type="expression" dxfId="219" priority="64">
      <formula>AND($C17-TODAY()&lt;30,TODAY()&lt;$C17)</formula>
    </cfRule>
  </conditionalFormatting>
  <conditionalFormatting sqref="C17">
    <cfRule type="cellIs" dxfId="218" priority="65" stopIfTrue="1" operator="lessThan">
      <formula>$B$2</formula>
    </cfRule>
  </conditionalFormatting>
  <conditionalFormatting sqref="C19">
    <cfRule type="expression" dxfId="217" priority="62">
      <formula>AND($C19-TODAY()&lt;30,TODAY()&lt;$C19)</formula>
    </cfRule>
  </conditionalFormatting>
  <conditionalFormatting sqref="C19">
    <cfRule type="cellIs" dxfId="216" priority="63" stopIfTrue="1" operator="lessThan">
      <formula>$B$2</formula>
    </cfRule>
  </conditionalFormatting>
  <conditionalFormatting sqref="C21">
    <cfRule type="expression" dxfId="215" priority="60">
      <formula>AND($C21-TODAY()&lt;30,TODAY()&lt;$C21)</formula>
    </cfRule>
  </conditionalFormatting>
  <conditionalFormatting sqref="C21">
    <cfRule type="cellIs" dxfId="214" priority="61" stopIfTrue="1" operator="lessThan">
      <formula>$B$2</formula>
    </cfRule>
  </conditionalFormatting>
  <conditionalFormatting sqref="C23">
    <cfRule type="expression" dxfId="213" priority="58">
      <formula>AND($C23-TODAY()&lt;30,TODAY()&lt;$C23)</formula>
    </cfRule>
  </conditionalFormatting>
  <conditionalFormatting sqref="C23">
    <cfRule type="cellIs" dxfId="212" priority="59" stopIfTrue="1" operator="lessThan">
      <formula>$B$2</formula>
    </cfRule>
  </conditionalFormatting>
  <conditionalFormatting sqref="F18">
    <cfRule type="cellIs" dxfId="211" priority="55" stopIfTrue="1" operator="lessThan">
      <formula>$B$2</formula>
    </cfRule>
  </conditionalFormatting>
  <conditionalFormatting sqref="F22">
    <cfRule type="cellIs" dxfId="210" priority="54" stopIfTrue="1" operator="lessThan">
      <formula>$B$2</formula>
    </cfRule>
  </conditionalFormatting>
  <conditionalFormatting sqref="F21">
    <cfRule type="cellIs" dxfId="209" priority="53" stopIfTrue="1" operator="lessThan">
      <formula>$B$2</formula>
    </cfRule>
  </conditionalFormatting>
  <conditionalFormatting sqref="B4:B11 E4:E11 B17:B23 E18:E23 B13 E13">
    <cfRule type="cellIs" dxfId="208" priority="51" stopIfTrue="1" operator="equal">
      <formula>"已过期"</formula>
    </cfRule>
  </conditionalFormatting>
  <conditionalFormatting sqref="A24:F24">
    <cfRule type="cellIs" dxfId="207" priority="47" stopIfTrue="1" operator="equal">
      <formula>"已过期"</formula>
    </cfRule>
  </conditionalFormatting>
  <conditionalFormatting sqref="F28">
    <cfRule type="expression" dxfId="206" priority="45">
      <formula>AND($E28-TODAY()&lt;30,TODAY()&lt;$E28)</formula>
    </cfRule>
  </conditionalFormatting>
  <conditionalFormatting sqref="F28">
    <cfRule type="cellIs" dxfId="205" priority="46" stopIfTrue="1" operator="lessThan">
      <formula>$B$2</formula>
    </cfRule>
  </conditionalFormatting>
  <conditionalFormatting sqref="F29">
    <cfRule type="expression" dxfId="204" priority="41" stopIfTrue="1">
      <formula>AND($E29-TODAY()&lt;30,TODAY()&lt;$E29)</formula>
    </cfRule>
  </conditionalFormatting>
  <conditionalFormatting sqref="F29">
    <cfRule type="cellIs" dxfId="203" priority="42" stopIfTrue="1" operator="lessThan">
      <formula>$B$2</formula>
    </cfRule>
  </conditionalFormatting>
  <conditionalFormatting sqref="F13">
    <cfRule type="cellIs" dxfId="202" priority="34" stopIfTrue="1" operator="lessThan">
      <formula>$B$2</formula>
    </cfRule>
  </conditionalFormatting>
  <conditionalFormatting sqref="C12">
    <cfRule type="expression" dxfId="201" priority="32">
      <formula>AND($C12-TODAY()&lt;30,TODAY()&lt;$C12)</formula>
    </cfRule>
  </conditionalFormatting>
  <conditionalFormatting sqref="C12">
    <cfRule type="cellIs" dxfId="200" priority="33" stopIfTrue="1" operator="lessThan">
      <formula>$B$2</formula>
    </cfRule>
  </conditionalFormatting>
  <conditionalFormatting sqref="C12">
    <cfRule type="expression" dxfId="199" priority="30">
      <formula>AND($C12-TODAY()&lt;30,TODAY()&lt;$C12)</formula>
    </cfRule>
  </conditionalFormatting>
  <conditionalFormatting sqref="C12">
    <cfRule type="cellIs" dxfId="198" priority="31" stopIfTrue="1" operator="lessThan">
      <formula>$B$2</formula>
    </cfRule>
  </conditionalFormatting>
  <conditionalFormatting sqref="B12">
    <cfRule type="cellIs" dxfId="197" priority="29" stopIfTrue="1" operator="equal">
      <formula>"已过期"</formula>
    </cfRule>
  </conditionalFormatting>
  <conditionalFormatting sqref="E12">
    <cfRule type="cellIs" dxfId="196" priority="28" stopIfTrue="1" operator="equal">
      <formula>"已过期"</formula>
    </cfRule>
  </conditionalFormatting>
  <conditionalFormatting sqref="F12">
    <cfRule type="cellIs" dxfId="195" priority="27" stopIfTrue="1" operator="lessThan">
      <formula>$B$2</formula>
    </cfRule>
  </conditionalFormatting>
  <conditionalFormatting sqref="C22">
    <cfRule type="expression" dxfId="194" priority="25">
      <formula>AND($C22-TODAY()&lt;30,TODAY()&lt;$C22)</formula>
    </cfRule>
  </conditionalFormatting>
  <conditionalFormatting sqref="C22">
    <cfRule type="cellIs" dxfId="193" priority="26" stopIfTrue="1" operator="lessThan">
      <formula>$B$2</formula>
    </cfRule>
  </conditionalFormatting>
  <conditionalFormatting sqref="C22">
    <cfRule type="expression" dxfId="192" priority="23">
      <formula>AND($C22-TODAY()&lt;30,TODAY()&lt;$C22)</formula>
    </cfRule>
  </conditionalFormatting>
  <conditionalFormatting sqref="C22">
    <cfRule type="cellIs" dxfId="191" priority="24" stopIfTrue="1" operator="lessThan">
      <formula>$B$2</formula>
    </cfRule>
  </conditionalFormatting>
  <conditionalFormatting sqref="C16">
    <cfRule type="expression" dxfId="190" priority="21">
      <formula>AND($C16-TODAY()&lt;30,TODAY()&lt;$C16)</formula>
    </cfRule>
  </conditionalFormatting>
  <conditionalFormatting sqref="C16">
    <cfRule type="cellIs" dxfId="189" priority="22" stopIfTrue="1" operator="lessThan">
      <formula>$B$2</formula>
    </cfRule>
  </conditionalFormatting>
  <conditionalFormatting sqref="C16">
    <cfRule type="expression" dxfId="188" priority="19">
      <formula>AND($C16-TODAY()&lt;30,TODAY()&lt;$C16)</formula>
    </cfRule>
  </conditionalFormatting>
  <conditionalFormatting sqref="C16">
    <cfRule type="cellIs" dxfId="187" priority="20" stopIfTrue="1" operator="lessThan">
      <formula>$B$2</formula>
    </cfRule>
  </conditionalFormatting>
  <conditionalFormatting sqref="B16">
    <cfRule type="cellIs" dxfId="186" priority="18" stopIfTrue="1" operator="equal">
      <formula>"已过期"</formula>
    </cfRule>
  </conditionalFormatting>
  <conditionalFormatting sqref="C14:C15">
    <cfRule type="expression" dxfId="185" priority="16">
      <formula>AND($C14-TODAY()&lt;30,TODAY()&lt;$C14)</formula>
    </cfRule>
  </conditionalFormatting>
  <conditionalFormatting sqref="C14:C15">
    <cfRule type="cellIs" dxfId="184" priority="17" stopIfTrue="1" operator="lessThan">
      <formula>$B$2</formula>
    </cfRule>
  </conditionalFormatting>
  <conditionalFormatting sqref="C14">
    <cfRule type="expression" dxfId="183" priority="14">
      <formula>AND($C14-TODAY()&lt;30,TODAY()&lt;$C14)</formula>
    </cfRule>
  </conditionalFormatting>
  <conditionalFormatting sqref="C14">
    <cfRule type="cellIs" dxfId="182" priority="15" stopIfTrue="1" operator="lessThan">
      <formula>$B$2</formula>
    </cfRule>
  </conditionalFormatting>
  <conditionalFormatting sqref="C15">
    <cfRule type="expression" dxfId="181" priority="12">
      <formula>AND($C15-TODAY()&lt;30,TODAY()&lt;$C15)</formula>
    </cfRule>
  </conditionalFormatting>
  <conditionalFormatting sqref="C15">
    <cfRule type="cellIs" dxfId="180" priority="13" stopIfTrue="1" operator="lessThan">
      <formula>$B$2</formula>
    </cfRule>
  </conditionalFormatting>
  <conditionalFormatting sqref="B14">
    <cfRule type="cellIs" dxfId="179" priority="11" stopIfTrue="1" operator="equal">
      <formula>"已过期"</formula>
    </cfRule>
  </conditionalFormatting>
  <conditionalFormatting sqref="B15">
    <cfRule type="cellIs" dxfId="178" priority="10" stopIfTrue="1" operator="equal">
      <formula>"已过期"</formula>
    </cfRule>
  </conditionalFormatting>
  <conditionalFormatting sqref="A15">
    <cfRule type="cellIs" dxfId="177" priority="9" stopIfTrue="1" operator="equal">
      <formula>"已过期"</formula>
    </cfRule>
  </conditionalFormatting>
  <conditionalFormatting sqref="C15">
    <cfRule type="expression" dxfId="176" priority="8">
      <formula>AND($C15-TODAY()&lt;30,TODAY()&lt;$C15)</formula>
    </cfRule>
  </conditionalFormatting>
  <conditionalFormatting sqref="F16">
    <cfRule type="cellIs" dxfId="175" priority="7" stopIfTrue="1" operator="lessThan">
      <formula>$B$2</formula>
    </cfRule>
  </conditionalFormatting>
  <conditionalFormatting sqref="E16 E14">
    <cfRule type="cellIs" dxfId="174" priority="6" stopIfTrue="1" operator="equal">
      <formula>"已过期"</formula>
    </cfRule>
  </conditionalFormatting>
  <conditionalFormatting sqref="E15">
    <cfRule type="cellIs" dxfId="173" priority="5" stopIfTrue="1" operator="equal">
      <formula>"已过期"</formula>
    </cfRule>
  </conditionalFormatting>
  <conditionalFormatting sqref="D15">
    <cfRule type="cellIs" dxfId="172" priority="4" stopIfTrue="1" operator="equal">
      <formula>"已过期"</formula>
    </cfRule>
  </conditionalFormatting>
  <conditionalFormatting sqref="F17">
    <cfRule type="cellIs" dxfId="171" priority="3" stopIfTrue="1" operator="lessThan">
      <formula>$B$2</formula>
    </cfRule>
  </conditionalFormatting>
  <conditionalFormatting sqref="E17">
    <cfRule type="cellIs" dxfId="170" priority="2" stopIfTrue="1" operator="equal">
      <formula>"已过期"</formula>
    </cfRule>
  </conditionalFormatting>
  <conditionalFormatting sqref="F14">
    <cfRule type="cellIs" dxfId="16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2019-03-26T08:56:31Z</dcterms:modified>
</cp:coreProperties>
</file>