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state="hidden" r:id="rId19"/>
    <sheet name="土地比较法-住宅、综合" sheetId="39" r:id="rId20"/>
    <sheet name="比较法-办公" sheetId="34" state="hidden" r:id="rId21"/>
    <sheet name="成本法" sheetId="68" r:id="rId22"/>
    <sheet name="成本法 (元)" sheetId="69" state="hidden" r:id="rId23"/>
    <sheet name="假设开发法" sheetId="12" r:id="rId24"/>
    <sheet name="收益法-办公" sheetId="15" r:id="rId25"/>
    <sheet name="收益法 (元)" sheetId="67" state="hidden" r:id="rId26"/>
    <sheet name="收益法（汇总）" sheetId="70" state="hidden" r:id="rId27"/>
    <sheet name="收益法-商业" sheetId="83" r:id="rId28"/>
    <sheet name="收益法-酒店" sheetId="84" r:id="rId29"/>
    <sheet name="收益法-地下车库" sheetId="85" r:id="rId30"/>
    <sheet name="酒店收入计算" sheetId="66"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办公案例" sheetId="78" r:id="rId49"/>
    <sheet name="商业案例" sheetId="80" r:id="rId50"/>
    <sheet name="酒店案例" sheetId="81" r:id="rId51"/>
    <sheet name="车库案例" sheetId="82" r:id="rId52"/>
    <sheet name="工程进度" sheetId="79" r:id="rId53"/>
  </sheet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29">'收益法-地下车库'!$A$1:$AK$69</definedName>
    <definedName name="_xlnm.Print_Area" localSheetId="28">'收益法-酒店'!$A$1:$AK$69</definedName>
    <definedName name="_xlnm.Print_Area" localSheetId="2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1" i="66" l="1"/>
  <c r="E71" i="39"/>
  <c r="F71" i="39" s="1"/>
  <c r="G71" i="39" s="1"/>
  <c r="H71" i="39" s="1"/>
  <c r="I71" i="39" s="1"/>
  <c r="J71" i="39" s="1"/>
  <c r="K71" i="39" s="1"/>
  <c r="L71" i="39" s="1"/>
  <c r="M71" i="39" s="1"/>
  <c r="N71" i="39" s="1"/>
  <c r="O71" i="39" s="1"/>
  <c r="D71" i="39"/>
  <c r="I11" i="39"/>
  <c r="G11" i="39"/>
  <c r="E11" i="39"/>
  <c r="Q72" i="85"/>
  <c r="Q59" i="85"/>
  <c r="K59" i="85"/>
  <c r="P74" i="85" s="1"/>
  <c r="F59" i="85"/>
  <c r="Q58" i="85"/>
  <c r="Q51" i="85"/>
  <c r="J50" i="85"/>
  <c r="J51" i="85" s="1"/>
  <c r="M47" i="85"/>
  <c r="D46" i="85"/>
  <c r="F34" i="85"/>
  <c r="F62" i="85" s="1"/>
  <c r="F33" i="85"/>
  <c r="F61" i="85" s="1"/>
  <c r="F31" i="85"/>
  <c r="F23" i="85"/>
  <c r="D23" i="85" s="1"/>
  <c r="F21" i="85"/>
  <c r="M20" i="85"/>
  <c r="F20" i="85"/>
  <c r="M19" i="85"/>
  <c r="F18" i="85"/>
  <c r="M17" i="85"/>
  <c r="F17" i="85"/>
  <c r="F15" i="85"/>
  <c r="G1" i="85"/>
  <c r="Q72" i="84"/>
  <c r="Q59" i="84"/>
  <c r="K59" i="84"/>
  <c r="P74" i="84" s="1"/>
  <c r="F59" i="84"/>
  <c r="Q58" i="84"/>
  <c r="Q51" i="84"/>
  <c r="J50" i="84"/>
  <c r="J51" i="84" s="1"/>
  <c r="M47" i="84"/>
  <c r="D46" i="84"/>
  <c r="F34" i="84"/>
  <c r="F62" i="84" s="1"/>
  <c r="F33" i="84"/>
  <c r="F61" i="84" s="1"/>
  <c r="F31" i="84"/>
  <c r="F23" i="84"/>
  <c r="D23" i="84" s="1"/>
  <c r="F21" i="84"/>
  <c r="M20" i="84"/>
  <c r="F20" i="84"/>
  <c r="M19" i="84"/>
  <c r="F18" i="84"/>
  <c r="M17" i="84"/>
  <c r="F17" i="84"/>
  <c r="F15" i="84"/>
  <c r="G1" i="84"/>
  <c r="Q72" i="83"/>
  <c r="Q59" i="83"/>
  <c r="K59" i="83"/>
  <c r="P74" i="83" s="1"/>
  <c r="F59" i="83"/>
  <c r="Q58" i="83"/>
  <c r="Q51" i="83"/>
  <c r="J50" i="83"/>
  <c r="J51" i="83" s="1"/>
  <c r="M47" i="83"/>
  <c r="D46" i="83"/>
  <c r="F34" i="83"/>
  <c r="F62" i="83" s="1"/>
  <c r="F33" i="83"/>
  <c r="F61" i="83" s="1"/>
  <c r="F31" i="83"/>
  <c r="F23" i="83"/>
  <c r="D23" i="83" s="1"/>
  <c r="F21" i="83"/>
  <c r="M20" i="83"/>
  <c r="F20" i="83"/>
  <c r="M19" i="83"/>
  <c r="F18" i="83"/>
  <c r="M17" i="83"/>
  <c r="F17" i="83"/>
  <c r="F15" i="83"/>
  <c r="G1" i="83"/>
  <c r="C29" i="66"/>
  <c r="C28" i="66"/>
  <c r="I6" i="66"/>
  <c r="D6" i="66"/>
  <c r="U7" i="1"/>
  <c r="I46" i="39"/>
  <c r="G46" i="39"/>
  <c r="E46" i="39"/>
  <c r="I38" i="39"/>
  <c r="G38" i="39"/>
  <c r="E38" i="39"/>
  <c r="I7" i="39"/>
  <c r="G7" i="39"/>
  <c r="E7" i="39"/>
  <c r="I5" i="39"/>
  <c r="G5" i="39"/>
  <c r="E5" i="39"/>
  <c r="C38" i="39"/>
  <c r="C32" i="39"/>
  <c r="C11" i="39"/>
  <c r="C10" i="39"/>
  <c r="C5" i="39"/>
  <c r="AH9" i="1"/>
  <c r="F16" i="83"/>
  <c r="M9" i="83"/>
  <c r="F6" i="83"/>
  <c r="D24" i="85" l="1"/>
  <c r="P61" i="85"/>
  <c r="D22" i="85"/>
  <c r="D24" i="84"/>
  <c r="P61" i="84"/>
  <c r="D22" i="84"/>
  <c r="P61" i="83"/>
  <c r="D24" i="83"/>
  <c r="D22" i="83"/>
  <c r="N14" i="1"/>
  <c r="N9" i="1"/>
  <c r="N8" i="1"/>
  <c r="N7" i="1"/>
  <c r="N6" i="1"/>
  <c r="H26" i="79"/>
  <c r="H25" i="79"/>
  <c r="H23" i="79"/>
  <c r="H22" i="79"/>
  <c r="G26" i="79"/>
  <c r="G22" i="6"/>
  <c r="F21" i="6"/>
  <c r="F20" i="6"/>
  <c r="F19" i="6"/>
  <c r="C22" i="6"/>
  <c r="C21" i="6"/>
  <c r="C20" i="6"/>
  <c r="C19" i="6"/>
  <c r="AD25" i="3"/>
  <c r="AF25" i="3"/>
  <c r="D3" i="4"/>
  <c r="L48" i="85"/>
  <c r="F43" i="85"/>
  <c r="F40" i="85"/>
  <c r="M24" i="85"/>
  <c r="F8" i="85"/>
  <c r="M9" i="85"/>
  <c r="M6" i="85"/>
  <c r="F37" i="85"/>
  <c r="M27" i="85"/>
  <c r="F26" i="85"/>
  <c r="J15" i="85"/>
  <c r="F13" i="85"/>
  <c r="C76" i="85"/>
  <c r="L47" i="85"/>
  <c r="F42" i="85"/>
  <c r="M28" i="85"/>
  <c r="M22" i="85"/>
  <c r="F9" i="85"/>
  <c r="F7" i="85"/>
  <c r="M8" i="85"/>
  <c r="F38" i="85"/>
  <c r="F36" i="85"/>
  <c r="M29" i="85"/>
  <c r="M26" i="85"/>
  <c r="M23" i="85"/>
  <c r="F16" i="85"/>
  <c r="C14" i="85"/>
  <c r="F6" i="85"/>
  <c r="C76" i="84"/>
  <c r="L47" i="84"/>
  <c r="F42" i="84"/>
  <c r="M28" i="84"/>
  <c r="M22" i="84"/>
  <c r="F9" i="84"/>
  <c r="F7" i="84"/>
  <c r="F38" i="84"/>
  <c r="F36" i="84"/>
  <c r="M29" i="84"/>
  <c r="M26" i="84"/>
  <c r="M23" i="84"/>
  <c r="F16" i="84"/>
  <c r="C14" i="84"/>
  <c r="M8" i="84"/>
  <c r="L48" i="84"/>
  <c r="F43" i="84"/>
  <c r="F40" i="84"/>
  <c r="M24" i="84"/>
  <c r="F8" i="84"/>
  <c r="F13" i="84"/>
  <c r="F37" i="84"/>
  <c r="M27" i="84"/>
  <c r="F26" i="84"/>
  <c r="J15" i="84"/>
  <c r="M6" i="84"/>
  <c r="M9" i="84"/>
  <c r="L48" i="83"/>
  <c r="F43" i="83"/>
  <c r="F40" i="83"/>
  <c r="M24" i="83"/>
  <c r="F8" i="83"/>
  <c r="M27" i="83"/>
  <c r="F38" i="83"/>
  <c r="F36" i="83"/>
  <c r="M29" i="83"/>
  <c r="M23" i="83"/>
  <c r="M8" i="83"/>
  <c r="J15" i="83"/>
  <c r="C76" i="83"/>
  <c r="L47" i="83"/>
  <c r="F42" i="83"/>
  <c r="M28" i="83"/>
  <c r="M22" i="83"/>
  <c r="F9" i="83"/>
  <c r="F7" i="83"/>
  <c r="M26" i="83"/>
  <c r="F37" i="83"/>
  <c r="F26" i="83"/>
  <c r="M6" i="83"/>
  <c r="F13" i="83"/>
  <c r="C6" i="85" l="1"/>
  <c r="C15" i="85"/>
  <c r="C18" i="85"/>
  <c r="F64" i="85"/>
  <c r="F66" i="85"/>
  <c r="F50" i="85"/>
  <c r="M7" i="85"/>
  <c r="N59" i="85"/>
  <c r="L58" i="85"/>
  <c r="Q71" i="85"/>
  <c r="C27" i="85"/>
  <c r="F65" i="85"/>
  <c r="J6" i="85"/>
  <c r="F51" i="85"/>
  <c r="F68" i="85"/>
  <c r="F71" i="85"/>
  <c r="L57" i="85"/>
  <c r="L56" i="85"/>
  <c r="J60" i="85"/>
  <c r="Q48" i="85" s="1"/>
  <c r="J57" i="85"/>
  <c r="J55" i="85" s="1"/>
  <c r="J58" i="85" s="1"/>
  <c r="Q50" i="85" s="1"/>
  <c r="I54" i="85"/>
  <c r="L60" i="85"/>
  <c r="J59" i="85"/>
  <c r="C27" i="84"/>
  <c r="F65" i="84"/>
  <c r="F51" i="84"/>
  <c r="F68" i="84"/>
  <c r="F71" i="84"/>
  <c r="L57" i="84"/>
  <c r="L56" i="84"/>
  <c r="J57" i="84"/>
  <c r="J55" i="84" s="1"/>
  <c r="J58" i="84" s="1"/>
  <c r="Q50" i="84" s="1"/>
  <c r="J60" i="84"/>
  <c r="Q48" i="84" s="1"/>
  <c r="I54" i="84"/>
  <c r="L60" i="84"/>
  <c r="J59" i="84"/>
  <c r="C15" i="84"/>
  <c r="C18" i="84"/>
  <c r="F64" i="84"/>
  <c r="F66" i="84"/>
  <c r="F50" i="84"/>
  <c r="M7" i="84"/>
  <c r="J6" i="84" s="1"/>
  <c r="N59" i="84"/>
  <c r="L58" i="84"/>
  <c r="Q71" i="84"/>
  <c r="C27" i="83"/>
  <c r="F65" i="83"/>
  <c r="F50" i="83"/>
  <c r="M7" i="83"/>
  <c r="J6" i="83" s="1"/>
  <c r="N59" i="83"/>
  <c r="L58" i="83"/>
  <c r="Q71" i="83"/>
  <c r="F64" i="83"/>
  <c r="F66" i="83"/>
  <c r="F51" i="83"/>
  <c r="C6" i="83"/>
  <c r="F68" i="83"/>
  <c r="F71" i="83"/>
  <c r="L57" i="83"/>
  <c r="L56" i="83"/>
  <c r="J60" i="83"/>
  <c r="Q48" i="83" s="1"/>
  <c r="J57" i="83"/>
  <c r="J55" i="83" s="1"/>
  <c r="J58" i="83" s="1"/>
  <c r="Q50" i="83" s="1"/>
  <c r="I54" i="83"/>
  <c r="L60" i="83"/>
  <c r="J59" i="83"/>
  <c r="AD5" i="71"/>
  <c r="AH5" i="71"/>
  <c r="AG5" i="71"/>
  <c r="AE5" i="71"/>
  <c r="AF5" i="71" s="1"/>
  <c r="Q5" i="71"/>
  <c r="P5" i="71"/>
  <c r="O5" i="71"/>
  <c r="N5" i="71"/>
  <c r="C16" i="85"/>
  <c r="C17" i="85"/>
  <c r="C17" i="84"/>
  <c r="C16" i="84"/>
  <c r="C17" i="83"/>
  <c r="C49" i="83" l="1"/>
  <c r="C49" i="85"/>
  <c r="C19" i="85"/>
  <c r="L46" i="83"/>
  <c r="Q66" i="85"/>
  <c r="Q57" i="85"/>
  <c r="L46" i="85"/>
  <c r="Q60" i="85"/>
  <c r="Q73" i="85"/>
  <c r="C19" i="84"/>
  <c r="Q60" i="84"/>
  <c r="Q73" i="84"/>
  <c r="Q66" i="84"/>
  <c r="Q57" i="84"/>
  <c r="L46" i="84"/>
  <c r="C49" i="84"/>
  <c r="Q66" i="83"/>
  <c r="Q57" i="83"/>
  <c r="Q60" i="83"/>
  <c r="Q73" i="83"/>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7" i="72"/>
  <c r="B66" i="72"/>
  <c r="B12"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S53" i="71" s="1"/>
  <c r="F52" i="71"/>
  <c r="F51" i="71" s="1"/>
  <c r="Q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X19" i="71"/>
  <c r="X20" i="71"/>
  <c r="X21" i="71"/>
  <c r="C23" i="71"/>
  <c r="C24" i="71" s="1"/>
  <c r="Y22" i="71"/>
  <c r="Z22" i="71"/>
  <c r="AB22" i="71"/>
  <c r="X23" i="71"/>
  <c r="AA23" i="71"/>
  <c r="F36" i="71"/>
  <c r="F37" i="71" s="1"/>
  <c r="V37" i="71" s="1"/>
  <c r="Y3" i="71"/>
  <c r="Z3" i="71" s="1"/>
  <c r="B13" i="71"/>
  <c r="B12" i="71"/>
  <c r="B11" i="71" s="1"/>
  <c r="X10" i="71"/>
  <c r="X12" i="71"/>
  <c r="X13" i="71"/>
  <c r="C16" i="71"/>
  <c r="D16" i="71" s="1"/>
  <c r="D15" i="71"/>
  <c r="D19" i="71"/>
  <c r="D23" i="71"/>
  <c r="C28" i="71"/>
  <c r="D27" i="71"/>
  <c r="C32" i="71"/>
  <c r="D32" i="71"/>
  <c r="D31" i="71"/>
  <c r="C36" i="71"/>
  <c r="D36" i="71" s="1"/>
  <c r="D35" i="71"/>
  <c r="P13" i="71"/>
  <c r="AA3" i="71" s="1"/>
  <c r="E40" i="71"/>
  <c r="E41" i="71"/>
  <c r="U41" i="71" s="1"/>
  <c r="E44" i="71"/>
  <c r="E45" i="71" s="1"/>
  <c r="U45" i="71" s="1"/>
  <c r="E48" i="71"/>
  <c r="E49" i="71"/>
  <c r="U49" i="71" s="1"/>
  <c r="Q50" i="71"/>
  <c r="U53" i="71"/>
  <c r="E52" i="71"/>
  <c r="E51" i="71" s="1"/>
  <c r="Q13" i="71"/>
  <c r="C40" i="71"/>
  <c r="D40" i="71" s="1"/>
  <c r="D39" i="71"/>
  <c r="C44" i="71"/>
  <c r="D44" i="71" s="1"/>
  <c r="D43" i="71"/>
  <c r="C48" i="71"/>
  <c r="C49" i="71" s="1"/>
  <c r="D47" i="71"/>
  <c r="Q52" i="71"/>
  <c r="T53" i="71"/>
  <c r="O53" i="71"/>
  <c r="D53" i="71"/>
  <c r="C52" i="71"/>
  <c r="O52" i="71" s="1"/>
  <c r="Q53" i="71"/>
  <c r="C56" i="71"/>
  <c r="D56" i="71" s="1"/>
  <c r="E56" i="71"/>
  <c r="E55" i="71"/>
  <c r="D57" i="71"/>
  <c r="C60" i="71"/>
  <c r="C59" i="71" s="1"/>
  <c r="D59" i="71" s="1"/>
  <c r="E60" i="71"/>
  <c r="E59" i="71"/>
  <c r="D61" i="71"/>
  <c r="C64" i="71"/>
  <c r="C63" i="71" s="1"/>
  <c r="D63" i="71" s="1"/>
  <c r="E64" i="71"/>
  <c r="E63" i="71"/>
  <c r="D65" i="71"/>
  <c r="C68" i="71"/>
  <c r="D68" i="71" s="1"/>
  <c r="C72" i="71"/>
  <c r="S13" i="71"/>
  <c r="F13" i="71"/>
  <c r="F12" i="71"/>
  <c r="F11" i="71" s="1"/>
  <c r="AB10" i="71"/>
  <c r="AB11" i="71"/>
  <c r="AB12" i="71"/>
  <c r="AB13" i="71"/>
  <c r="E13" i="71"/>
  <c r="E12" i="71" s="1"/>
  <c r="E11" i="71" s="1"/>
  <c r="AA10" i="71"/>
  <c r="AA12" i="71"/>
  <c r="C51" i="71"/>
  <c r="D51" i="71" s="1"/>
  <c r="D52" i="71"/>
  <c r="D48" i="71"/>
  <c r="C67" i="71"/>
  <c r="D67" i="71" s="1"/>
  <c r="D60" i="71"/>
  <c r="D72" i="71"/>
  <c r="C71" i="71"/>
  <c r="D71" i="71" s="1"/>
  <c r="D64" i="71"/>
  <c r="C55" i="71"/>
  <c r="D55" i="71" s="1"/>
  <c r="C45" i="71"/>
  <c r="T45" i="71" s="1"/>
  <c r="C41" i="71"/>
  <c r="T41" i="71" s="1"/>
  <c r="P52" i="71"/>
  <c r="C37" i="71"/>
  <c r="T37" i="71" s="1"/>
  <c r="C29" i="71"/>
  <c r="T29" i="71" s="1"/>
  <c r="D28" i="71"/>
  <c r="C21" i="71"/>
  <c r="T21" i="71" s="1"/>
  <c r="D20" i="71"/>
  <c r="C17" i="71"/>
  <c r="T17" i="71" s="1"/>
  <c r="O51" i="71"/>
  <c r="O50" i="71"/>
  <c r="D17" i="71"/>
  <c r="D21" i="71"/>
  <c r="D29" i="71"/>
  <c r="D37" i="71"/>
  <c r="D41"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S25" i="40"/>
  <c r="S18" i="36"/>
  <c r="U18" i="36"/>
  <c r="S21" i="34"/>
  <c r="H25" i="40"/>
  <c r="J25" i="40"/>
  <c r="H29" i="39"/>
  <c r="U29" i="39" s="1"/>
  <c r="J29" i="39"/>
  <c r="AC29" i="39" s="1"/>
  <c r="J18" i="36"/>
  <c r="AC18" i="36" s="1"/>
  <c r="H18" i="35"/>
  <c r="AB18" i="35" s="1"/>
  <c r="S18" i="35"/>
  <c r="J18" i="35"/>
  <c r="F77" i="37"/>
  <c r="G77" i="37" s="1"/>
  <c r="H21" i="37"/>
  <c r="F21" i="37"/>
  <c r="AA21" i="37" s="1"/>
  <c r="H21" i="34"/>
  <c r="AB21" i="34" s="1"/>
  <c r="F83" i="33"/>
  <c r="H21" i="33"/>
  <c r="U21" i="33" s="1"/>
  <c r="F21" i="33"/>
  <c r="E83" i="21"/>
  <c r="F83" i="21" s="1"/>
  <c r="S21" i="21"/>
  <c r="H1" i="69"/>
  <c r="AC25" i="40"/>
  <c r="W25" i="40"/>
  <c r="AB25" i="40"/>
  <c r="U25" i="40"/>
  <c r="AB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27" i="66"/>
  <c r="C32" i="66" s="1"/>
  <c r="I23" i="66"/>
  <c r="D20" i="66"/>
  <c r="I19" i="66"/>
  <c r="I18" i="66"/>
  <c r="I17" i="66"/>
  <c r="I20" i="66" s="1"/>
  <c r="E15" i="66"/>
  <c r="I14" i="66"/>
  <c r="I13" i="66"/>
  <c r="I12" i="66"/>
  <c r="I15" i="66"/>
  <c r="I9" i="66"/>
  <c r="I8" i="66"/>
  <c r="I7"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A8" i="1"/>
  <c r="B8" i="1" s="1"/>
  <c r="E8" i="1" s="1"/>
  <c r="A9" i="1"/>
  <c r="A10" i="1"/>
  <c r="A11" i="1"/>
  <c r="B11" i="1" s="1"/>
  <c r="A12" i="1"/>
  <c r="A13" i="1"/>
  <c r="A6" i="1"/>
  <c r="F3" i="35"/>
  <c r="E11" i="1"/>
  <c r="E7"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s="1"/>
  <c r="F109" i="39"/>
  <c r="G109" i="39"/>
  <c r="H109" i="39" s="1"/>
  <c r="I109" i="39" s="1"/>
  <c r="J109" i="39" s="1"/>
  <c r="K109" i="39" s="1"/>
  <c r="L109" i="39" s="1"/>
  <c r="M109" i="39" s="1"/>
  <c r="J31" i="39"/>
  <c r="F101" i="39"/>
  <c r="H27" i="39"/>
  <c r="U27" i="39" s="1"/>
  <c r="J19" i="39"/>
  <c r="AC19" i="39" s="1"/>
  <c r="J17" i="39"/>
  <c r="AC17" i="39" s="1"/>
  <c r="J27" i="39"/>
  <c r="AC27" i="39" s="1"/>
  <c r="F27" i="39"/>
  <c r="F11" i="21"/>
  <c r="S11" i="2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F15" i="39"/>
  <c r="AA15" i="39" s="1"/>
  <c r="H15" i="39"/>
  <c r="U15" i="39" s="1"/>
  <c r="J15" i="39"/>
  <c r="W15" i="39" s="1"/>
  <c r="H41" i="39"/>
  <c r="AB34" i="39"/>
  <c r="S42" i="39"/>
  <c r="W14" i="39"/>
  <c r="W9" i="39"/>
  <c r="W8" i="39"/>
  <c r="J19" i="40"/>
  <c r="AC19" i="40" s="1"/>
  <c r="J50" i="40"/>
  <c r="B54" i="72"/>
  <c r="H103" i="9"/>
  <c r="D8" i="53" s="1"/>
  <c r="B16" i="53"/>
  <c r="B33" i="72" s="1"/>
  <c r="C7" i="37"/>
  <c r="C7" i="34"/>
  <c r="C7" i="36"/>
  <c r="W35" i="40"/>
  <c r="A118" i="9"/>
  <c r="A4" i="52"/>
  <c r="B41" i="72"/>
  <c r="A12" i="52"/>
  <c r="B56" i="72" s="1"/>
  <c r="G4" i="4"/>
  <c r="I4" i="4"/>
  <c r="K5" i="4"/>
  <c r="B47" i="48" s="1"/>
  <c r="A2" i="9"/>
  <c r="N2" i="4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G28" i="6" s="1"/>
  <c r="AZ384" i="3"/>
  <c r="AZ388" i="3"/>
  <c r="AZ392" i="3"/>
  <c r="AZ396" i="3"/>
  <c r="AZ394" i="3"/>
  <c r="AZ499" i="3"/>
  <c r="AZ509" i="3"/>
  <c r="G509" i="3"/>
  <c r="BL493" i="3"/>
  <c r="AZ493" i="3" s="1"/>
  <c r="AZ491" i="3"/>
  <c r="AZ376" i="3"/>
  <c r="AZ382" i="3"/>
  <c r="U36" i="40"/>
  <c r="F36" i="43"/>
  <c r="F81" i="43"/>
  <c r="H83" i="43"/>
  <c r="F48" i="43"/>
  <c r="H52" i="43" s="1"/>
  <c r="F70" i="43"/>
  <c r="H73" i="43" s="1"/>
  <c r="M11" i="43"/>
  <c r="F39" i="43"/>
  <c r="F35" i="43"/>
  <c r="F6" i="1"/>
  <c r="S14" i="35"/>
  <c r="U43" i="21"/>
  <c r="U35" i="21"/>
  <c r="AC35" i="21"/>
  <c r="U10" i="21"/>
  <c r="G8" i="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c r="H86" i="43"/>
  <c r="H82" i="43"/>
  <c r="H87" i="43"/>
  <c r="K9" i="1"/>
  <c r="M9" i="1" s="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C24" i="12" s="1"/>
  <c r="H100" i="43"/>
  <c r="C30" i="66"/>
  <c r="E26" i="66" s="1"/>
  <c r="U8" i="1" s="1"/>
  <c r="AC34" i="33"/>
  <c r="AA34" i="33"/>
  <c r="B41" i="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7" i="39"/>
  <c r="G107" i="39" s="1"/>
  <c r="H107" i="39" s="1"/>
  <c r="I107" i="39" s="1"/>
  <c r="J107" i="39" s="1"/>
  <c r="K107" i="39" s="1"/>
  <c r="L107" i="39" s="1"/>
  <c r="M107" i="39" s="1"/>
  <c r="AB27" i="39"/>
  <c r="U31" i="39"/>
  <c r="W19" i="39"/>
  <c r="U19" i="39"/>
  <c r="AC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D120" i="9"/>
  <c r="C18" i="9"/>
  <c r="D18" i="9" s="1"/>
  <c r="F34" i="67"/>
  <c r="F62" i="67" s="1"/>
  <c r="M20" i="67"/>
  <c r="F34" i="15"/>
  <c r="F62" i="15"/>
  <c r="G13" i="3"/>
  <c r="BA13" i="3"/>
  <c r="E10" i="6"/>
  <c r="E11" i="6"/>
  <c r="E61" i="39" s="1"/>
  <c r="BL17" i="3"/>
  <c r="AZ17" i="3" s="1"/>
  <c r="BL13" i="3"/>
  <c r="J56" i="9"/>
  <c r="J57" i="9" s="1"/>
  <c r="J59" i="9" s="1"/>
  <c r="J61" i="9" s="1"/>
  <c r="A24" i="51"/>
  <c r="B18" i="72" s="1"/>
  <c r="U29" i="34"/>
  <c r="E14" i="6"/>
  <c r="E64" i="39" s="1"/>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G6" i="1"/>
  <c r="H85" i="43"/>
  <c r="H81" i="43"/>
  <c r="H84" i="43"/>
  <c r="H88" i="43"/>
  <c r="H54" i="43"/>
  <c r="H70" i="43"/>
  <c r="C17" i="43"/>
  <c r="G17" i="43"/>
  <c r="M7" i="43"/>
  <c r="M2" i="43"/>
  <c r="M10" i="43"/>
  <c r="N11" i="43"/>
  <c r="F37" i="43"/>
  <c r="N12" i="43"/>
  <c r="M5" i="43"/>
  <c r="M4" i="43"/>
  <c r="B19" i="53"/>
  <c r="B37" i="72"/>
  <c r="C7" i="39"/>
  <c r="C68" i="39" s="1"/>
  <c r="C7" i="35"/>
  <c r="C7" i="33"/>
  <c r="C58" i="33"/>
  <c r="D58" i="33" s="1"/>
  <c r="E58" i="33" s="1"/>
  <c r="F58" i="33" s="1"/>
  <c r="G58" i="33" s="1"/>
  <c r="H58" i="33" s="1"/>
  <c r="I58" i="33" s="1"/>
  <c r="J58" i="33" s="1"/>
  <c r="K58" i="33" s="1"/>
  <c r="L58" i="33" s="1"/>
  <c r="M58" i="33" s="1"/>
  <c r="N58" i="33" s="1"/>
  <c r="O58" i="33" s="1"/>
  <c r="C7" i="21"/>
  <c r="C7" i="40"/>
  <c r="C63" i="40" s="1"/>
  <c r="M47" i="9"/>
  <c r="G19" i="43"/>
  <c r="C46" i="36"/>
  <c r="D46" i="36" s="1"/>
  <c r="E46" i="36" s="1"/>
  <c r="F46" i="36" s="1"/>
  <c r="G46" i="36" s="1"/>
  <c r="H46" i="36" s="1"/>
  <c r="C59" i="34"/>
  <c r="D59" i="34" s="1"/>
  <c r="C52" i="37"/>
  <c r="D52" i="37" s="1"/>
  <c r="A4" i="51"/>
  <c r="B6" i="72" s="1"/>
  <c r="C48" i="35"/>
  <c r="D48" i="35" s="1"/>
  <c r="C58" i="21"/>
  <c r="D58" i="21" s="1"/>
  <c r="C94" i="9"/>
  <c r="C92" i="9"/>
  <c r="H51" i="43"/>
  <c r="H76"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U13" i="39"/>
  <c r="AB13" i="39"/>
  <c r="AA13" i="39"/>
  <c r="S13" i="39"/>
  <c r="S14" i="39"/>
  <c r="AA14" i="39"/>
  <c r="U43" i="39"/>
  <c r="AB43" i="39"/>
  <c r="AA27" i="39"/>
  <c r="S27" i="39"/>
  <c r="W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W8" i="21"/>
  <c r="S35" i="21"/>
  <c r="AB37" i="21"/>
  <c r="J37" i="21"/>
  <c r="W37" i="21"/>
  <c r="H15" i="21"/>
  <c r="U15" i="21"/>
  <c r="J17" i="21"/>
  <c r="AC17" i="21" s="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T11" i="1"/>
  <c r="AR11" i="1"/>
  <c r="T13" i="1"/>
  <c r="C77" i="9"/>
  <c r="C74" i="9" s="1"/>
  <c r="E7" i="70"/>
  <c r="AA39" i="40"/>
  <c r="S39" i="40"/>
  <c r="S12" i="33"/>
  <c r="AA12" i="33"/>
  <c r="J32" i="39"/>
  <c r="W32" i="39" s="1"/>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A18" i="62" s="1"/>
  <c r="B64" i="72" s="1"/>
  <c r="R22" i="31"/>
  <c r="B21" i="31" s="1"/>
  <c r="O19" i="43"/>
  <c r="E52" i="37"/>
  <c r="F52" i="37" s="1"/>
  <c r="E58" i="21"/>
  <c r="F58" i="21" s="1"/>
  <c r="G58" i="21" s="1"/>
  <c r="E48" i="35"/>
  <c r="F48" i="35" s="1"/>
  <c r="G48" i="35" s="1"/>
  <c r="E59" i="34"/>
  <c r="F59" i="34" s="1"/>
  <c r="C65" i="40"/>
  <c r="D63" i="40"/>
  <c r="E63" i="40" s="1"/>
  <c r="AP7" i="1"/>
  <c r="AB45" i="21"/>
  <c r="AC33" i="21"/>
  <c r="W33" i="21"/>
  <c r="S33" i="21"/>
  <c r="AA33" i="21"/>
  <c r="W32" i="21"/>
  <c r="AC32" i="21"/>
  <c r="AB9" i="21"/>
  <c r="U9" i="21"/>
  <c r="AA32" i="21"/>
  <c r="S32" i="21"/>
  <c r="W9" i="21"/>
  <c r="AC9" i="21"/>
  <c r="AB32" i="21"/>
  <c r="U32" i="21"/>
  <c r="AA10" i="21"/>
  <c r="S10" i="21"/>
  <c r="E6" i="70"/>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D65" i="40"/>
  <c r="F1" i="67"/>
  <c r="Q52" i="67"/>
  <c r="AC11" i="37"/>
  <c r="W11" i="37"/>
  <c r="AC11" i="34"/>
  <c r="C13" i="12"/>
  <c r="AG6" i="1"/>
  <c r="J7" i="33"/>
  <c r="W7" i="33" s="1"/>
  <c r="F7" i="33"/>
  <c r="S7" i="33" s="1"/>
  <c r="H7" i="33"/>
  <c r="AB7" i="33" s="1"/>
  <c r="T48" i="33" s="1"/>
  <c r="G48" i="33" s="1"/>
  <c r="AA7" i="33"/>
  <c r="R48" i="33" s="1"/>
  <c r="H112" i="9"/>
  <c r="D21" i="53" s="1"/>
  <c r="B39" i="72" s="1"/>
  <c r="H111" i="9"/>
  <c r="D126" i="9" s="1"/>
  <c r="D59" i="9"/>
  <c r="M55" i="9"/>
  <c r="AD3" i="71"/>
  <c r="F6" i="84"/>
  <c r="M29" i="15"/>
  <c r="F3" i="73"/>
  <c r="F20" i="31"/>
  <c r="D7" i="73"/>
  <c r="B12" i="76"/>
  <c r="M28" i="67"/>
  <c r="M6" i="67"/>
  <c r="L47" i="15"/>
  <c r="M23" i="15"/>
  <c r="D2" i="33"/>
  <c r="AO12" i="1"/>
  <c r="B11" i="76"/>
  <c r="F43" i="15"/>
  <c r="E8" i="76"/>
  <c r="F38" i="67"/>
  <c r="J15" i="15"/>
  <c r="M27" i="15"/>
  <c r="M23" i="67"/>
  <c r="E10" i="76"/>
  <c r="M21" i="67"/>
  <c r="M9" i="15"/>
  <c r="M8" i="67"/>
  <c r="F6" i="15"/>
  <c r="D34" i="9"/>
  <c r="M9" i="67"/>
  <c r="M26" i="15"/>
  <c r="J15" i="67"/>
  <c r="F8" i="67"/>
  <c r="E2" i="68"/>
  <c r="M26" i="67"/>
  <c r="F6" i="73"/>
  <c r="B9" i="76"/>
  <c r="F9" i="67"/>
  <c r="F16" i="67"/>
  <c r="F35" i="67"/>
  <c r="F37" i="15"/>
  <c r="F7" i="15"/>
  <c r="D2" i="36"/>
  <c r="M24" i="67"/>
  <c r="B7" i="76"/>
  <c r="D2" i="35"/>
  <c r="M8" i="15"/>
  <c r="M22" i="15"/>
  <c r="F13" i="15"/>
  <c r="AO13" i="1"/>
  <c r="L47" i="67"/>
  <c r="F6" i="67"/>
  <c r="M24" i="15"/>
  <c r="C76" i="67"/>
  <c r="M29" i="67"/>
  <c r="E9" i="76"/>
  <c r="F13" i="67"/>
  <c r="F36" i="67"/>
  <c r="F26" i="67"/>
  <c r="F4" i="73"/>
  <c r="D4" i="73"/>
  <c r="E11" i="76"/>
  <c r="L48" i="15"/>
  <c r="D2" i="37"/>
  <c r="F8" i="15"/>
  <c r="F42" i="15"/>
  <c r="M6" i="15"/>
  <c r="F7" i="73"/>
  <c r="F42" i="67"/>
  <c r="L48" i="67"/>
  <c r="F7" i="67"/>
  <c r="F9" i="15"/>
  <c r="F16" i="15"/>
  <c r="F40" i="15"/>
  <c r="D3" i="73"/>
  <c r="F5" i="73"/>
  <c r="AO10" i="1"/>
  <c r="F36" i="15"/>
  <c r="B10" i="76"/>
  <c r="F38" i="15"/>
  <c r="E13" i="76"/>
  <c r="F37" i="67"/>
  <c r="E12" i="76"/>
  <c r="F40" i="67"/>
  <c r="F43" i="67"/>
  <c r="D2" i="21"/>
  <c r="M28" i="15"/>
  <c r="AO11" i="1"/>
  <c r="F41" i="67"/>
  <c r="D6" i="73"/>
  <c r="E7" i="76"/>
  <c r="M22" i="67"/>
  <c r="M27" i="67"/>
  <c r="F26" i="15"/>
  <c r="C76" i="15"/>
  <c r="B13" i="76"/>
  <c r="D2" i="34"/>
  <c r="D5" i="73"/>
  <c r="E2" i="69"/>
  <c r="B8" i="76"/>
  <c r="D35" i="9"/>
  <c r="C6" i="84" l="1"/>
  <c r="F53" i="9"/>
  <c r="F32" i="84"/>
  <c r="F60" i="84" s="1"/>
  <c r="F28" i="84"/>
  <c r="C28" i="84" s="1"/>
  <c r="M18" i="84"/>
  <c r="F32" i="85"/>
  <c r="F60" i="85" s="1"/>
  <c r="F28" i="85"/>
  <c r="C28" i="85" s="1"/>
  <c r="M18" i="85"/>
  <c r="F32" i="83"/>
  <c r="F60" i="83" s="1"/>
  <c r="F28" i="83"/>
  <c r="C28" i="83" s="1"/>
  <c r="M18" i="83"/>
  <c r="J53" i="85"/>
  <c r="J53" i="84"/>
  <c r="J53" i="83"/>
  <c r="M59" i="84"/>
  <c r="L59" i="84" s="1"/>
  <c r="M59" i="83"/>
  <c r="L59" i="83" s="1"/>
  <c r="M59" i="85"/>
  <c r="L59" i="85" s="1"/>
  <c r="U12" i="39"/>
  <c r="E2" i="70"/>
  <c r="C20" i="85"/>
  <c r="C26" i="85" s="1"/>
  <c r="C20" i="84"/>
  <c r="C26" i="84" s="1"/>
  <c r="P61" i="15"/>
  <c r="J53" i="15"/>
  <c r="F99" i="39"/>
  <c r="G99" i="39" s="1"/>
  <c r="J25" i="39"/>
  <c r="H25" i="39"/>
  <c r="AB25" i="39" s="1"/>
  <c r="F25" i="39"/>
  <c r="S23" i="39"/>
  <c r="AB23" i="39"/>
  <c r="F95" i="39"/>
  <c r="G95" i="39" s="1"/>
  <c r="F21" i="39"/>
  <c r="H21" i="39"/>
  <c r="U21" i="39" s="1"/>
  <c r="J21" i="39"/>
  <c r="G81" i="39"/>
  <c r="H81" i="39" s="1"/>
  <c r="I81" i="39" s="1"/>
  <c r="J81" i="39" s="1"/>
  <c r="K81" i="39" s="1"/>
  <c r="L81" i="39" s="1"/>
  <c r="M81" i="39" s="1"/>
  <c r="J11" i="39"/>
  <c r="F11" i="39"/>
  <c r="H11" i="39"/>
  <c r="W39" i="39"/>
  <c r="W42" i="39"/>
  <c r="U25" i="39"/>
  <c r="AC32" i="39"/>
  <c r="W29" i="39"/>
  <c r="S29" i="39"/>
  <c r="W27" i="39"/>
  <c r="AB21" i="39"/>
  <c r="S19" i="39"/>
  <c r="S17" i="39"/>
  <c r="U17" i="39"/>
  <c r="S15" i="39"/>
  <c r="B55" i="43"/>
  <c r="AA41" i="39"/>
  <c r="U40" i="39"/>
  <c r="S40" i="39"/>
  <c r="U32" i="39"/>
  <c r="F32" i="67"/>
  <c r="F60" i="67" s="1"/>
  <c r="D68" i="9"/>
  <c r="F28" i="15"/>
  <c r="C28" i="15" s="1"/>
  <c r="F31" i="12"/>
  <c r="F32" i="15"/>
  <c r="F60" i="15" s="1"/>
  <c r="F30" i="11"/>
  <c r="F54" i="9"/>
  <c r="M18" i="15"/>
  <c r="F30" i="69"/>
  <c r="M18" i="67"/>
  <c r="F52" i="9"/>
  <c r="F28" i="67"/>
  <c r="C28" i="67" s="1"/>
  <c r="F30" i="68"/>
  <c r="H72" i="43"/>
  <c r="H56" i="43"/>
  <c r="H55" i="43"/>
  <c r="M12" i="43"/>
  <c r="N5" i="43"/>
  <c r="M9" i="43"/>
  <c r="F38" i="43"/>
  <c r="N3" i="43"/>
  <c r="C6" i="43"/>
  <c r="N6" i="43"/>
  <c r="F34" i="43"/>
  <c r="F33" i="43"/>
  <c r="H71" i="43"/>
  <c r="H78" i="43"/>
  <c r="H53" i="43"/>
  <c r="H17" i="43"/>
  <c r="N9" i="43"/>
  <c r="M8" i="43"/>
  <c r="N10" i="43"/>
  <c r="H49" i="43"/>
  <c r="J17" i="43"/>
  <c r="I17" i="43"/>
  <c r="E17" i="43"/>
  <c r="M6" i="43"/>
  <c r="N7" i="43"/>
  <c r="H113" i="43"/>
  <c r="N4" i="43"/>
  <c r="F59" i="43"/>
  <c r="H48" i="43"/>
  <c r="H50" i="43"/>
  <c r="H75" i="43"/>
  <c r="A15" i="62"/>
  <c r="B61" i="72" s="1"/>
  <c r="C25" i="40"/>
  <c r="L27" i="6"/>
  <c r="BL19" i="3"/>
  <c r="E8" i="6"/>
  <c r="F27" i="6" s="1"/>
  <c r="I4" i="6"/>
  <c r="G3" i="43" s="1"/>
  <c r="E28" i="6"/>
  <c r="K14" i="1" s="1"/>
  <c r="M14" i="1" s="1"/>
  <c r="O14" i="1" s="1"/>
  <c r="P14" i="1" s="1"/>
  <c r="G30" i="6"/>
  <c r="G31" i="6" s="1"/>
  <c r="G25" i="3"/>
  <c r="E12" i="6"/>
  <c r="E62" i="39" s="1"/>
  <c r="G22" i="3"/>
  <c r="C36" i="69"/>
  <c r="E15" i="6"/>
  <c r="E65" i="39" s="1"/>
  <c r="E60" i="40"/>
  <c r="E13" i="6"/>
  <c r="G20" i="3"/>
  <c r="H16" i="1"/>
  <c r="Q16" i="1"/>
  <c r="F27" i="69" s="1"/>
  <c r="E57" i="40"/>
  <c r="BA18" i="3"/>
  <c r="BA19" i="3"/>
  <c r="AZ19" i="3" s="1"/>
  <c r="BA20" i="3"/>
  <c r="AZ20" i="3" s="1"/>
  <c r="BA21" i="3"/>
  <c r="AZ21" i="3" s="1"/>
  <c r="BL25" i="3"/>
  <c r="AZ25" i="3" s="1"/>
  <c r="M7" i="1"/>
  <c r="G16" i="1"/>
  <c r="H10" i="40" s="1"/>
  <c r="U10" i="40" s="1"/>
  <c r="E59" i="40"/>
  <c r="E56" i="40"/>
  <c r="D19" i="12"/>
  <c r="C19" i="12" s="1"/>
  <c r="D9" i="68"/>
  <c r="C9" i="68" s="1"/>
  <c r="D9" i="69"/>
  <c r="C9" i="69" s="1"/>
  <c r="O8" i="1"/>
  <c r="P8" i="1" s="1"/>
  <c r="F22" i="43"/>
  <c r="K101" i="43"/>
  <c r="F101" i="43"/>
  <c r="N101" i="43"/>
  <c r="E22" i="43"/>
  <c r="C101" i="43"/>
  <c r="N104" i="46"/>
  <c r="H22"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J101" i="43"/>
  <c r="L101" i="43"/>
  <c r="D101" i="43"/>
  <c r="I101" i="43"/>
  <c r="G22" i="43"/>
  <c r="J22" i="43"/>
  <c r="F10" i="40"/>
  <c r="D19" i="53"/>
  <c r="B38" i="72" s="1"/>
  <c r="D20" i="53"/>
  <c r="B40" i="72" s="1"/>
  <c r="C70" i="39"/>
  <c r="D68" i="39"/>
  <c r="E65" i="40"/>
  <c r="F63" i="40"/>
  <c r="U7" i="33"/>
  <c r="H48" i="35"/>
  <c r="I48" i="35" s="1"/>
  <c r="J48" i="35" s="1"/>
  <c r="K48" i="35" s="1"/>
  <c r="L48" i="35" s="1"/>
  <c r="M48" i="35" s="1"/>
  <c r="N48" i="35" s="1"/>
  <c r="O48" i="35" s="1"/>
  <c r="J7" i="35"/>
  <c r="H58" i="21"/>
  <c r="I58" i="21" s="1"/>
  <c r="J58" i="21" s="1"/>
  <c r="K58" i="21" s="1"/>
  <c r="L58" i="21" s="1"/>
  <c r="M58" i="21" s="1"/>
  <c r="N58" i="21" s="1"/>
  <c r="O58" i="21" s="1"/>
  <c r="F7" i="21"/>
  <c r="I46" i="36"/>
  <c r="J46" i="36" s="1"/>
  <c r="K46" i="36" s="1"/>
  <c r="L46" i="36" s="1"/>
  <c r="M46" i="36" s="1"/>
  <c r="N46" i="36" s="1"/>
  <c r="O46" i="36" s="1"/>
  <c r="F7" i="36"/>
  <c r="J7" i="36"/>
  <c r="G52" i="37"/>
  <c r="H52" i="37" s="1"/>
  <c r="I52" i="37" s="1"/>
  <c r="J52" i="37" s="1"/>
  <c r="K52" i="37" s="1"/>
  <c r="L52" i="37" s="1"/>
  <c r="M52" i="37" s="1"/>
  <c r="N52" i="37" s="1"/>
  <c r="O52" i="37" s="1"/>
  <c r="F7" i="37" s="1"/>
  <c r="G52" i="33"/>
  <c r="H52" i="33" s="1"/>
  <c r="I14" i="74"/>
  <c r="B8" i="74" s="1"/>
  <c r="D127" i="9"/>
  <c r="D13" i="52" s="1"/>
  <c r="D12" i="52"/>
  <c r="E48" i="33"/>
  <c r="R49" i="33"/>
  <c r="G59" i="34"/>
  <c r="H59" i="34" s="1"/>
  <c r="I59" i="34" s="1"/>
  <c r="J59" i="34" s="1"/>
  <c r="K59" i="34" s="1"/>
  <c r="L59" i="34" s="1"/>
  <c r="M59" i="34" s="1"/>
  <c r="N59" i="34" s="1"/>
  <c r="O59" i="34" s="1"/>
  <c r="J7" i="34"/>
  <c r="H7" i="34"/>
  <c r="D9" i="53"/>
  <c r="B25" i="72" s="1"/>
  <c r="B24" i="72"/>
  <c r="AZ503" i="3"/>
  <c r="AB13" i="21"/>
  <c r="U13" i="21"/>
  <c r="AC27" i="21"/>
  <c r="W27" i="21"/>
  <c r="AC29" i="21"/>
  <c r="W29" i="21"/>
  <c r="AC7" i="33"/>
  <c r="V48" i="33" s="1"/>
  <c r="I48" i="33" s="1"/>
  <c r="H7" i="21"/>
  <c r="F7" i="34"/>
  <c r="J7" i="21"/>
  <c r="J7" i="37"/>
  <c r="H7" i="36"/>
  <c r="F7" i="35"/>
  <c r="H7" i="35"/>
  <c r="O9" i="1"/>
  <c r="E29" i="6"/>
  <c r="F30" i="6"/>
  <c r="AZ557" i="3"/>
  <c r="AA12" i="21"/>
  <c r="S12" i="21"/>
  <c r="AA25" i="21"/>
  <c r="W31" i="34"/>
  <c r="AA13" i="35"/>
  <c r="H9" i="34"/>
  <c r="F34" i="35"/>
  <c r="H34" i="35"/>
  <c r="J36" i="35"/>
  <c r="AZ425" i="3"/>
  <c r="AZ432" i="3"/>
  <c r="AZ464" i="3"/>
  <c r="AZ467" i="3"/>
  <c r="AZ479" i="3"/>
  <c r="AZ482" i="3"/>
  <c r="AZ486" i="3"/>
  <c r="AZ488" i="3"/>
  <c r="AZ332" i="3"/>
  <c r="AZ397" i="3"/>
  <c r="AZ212" i="3"/>
  <c r="AZ217" i="3"/>
  <c r="AZ220" i="3"/>
  <c r="AZ228" i="3"/>
  <c r="AZ231" i="3"/>
  <c r="AZ244" i="3"/>
  <c r="AZ247" i="3"/>
  <c r="AZ260" i="3"/>
  <c r="AZ264" i="3"/>
  <c r="G551" i="3"/>
  <c r="BL548" i="3"/>
  <c r="BL5" i="3" s="1"/>
  <c r="AZ399" i="3"/>
  <c r="AZ404" i="3"/>
  <c r="AZ411" i="3"/>
  <c r="AZ414" i="3"/>
  <c r="AZ421" i="3"/>
  <c r="AZ430" i="3"/>
  <c r="AZ440" i="3"/>
  <c r="AZ449" i="3"/>
  <c r="AZ453" i="3"/>
  <c r="AZ455" i="3"/>
  <c r="AZ460" i="3"/>
  <c r="AZ475" i="3"/>
  <c r="AZ277" i="3"/>
  <c r="AZ289" i="3"/>
  <c r="AZ294" i="3"/>
  <c r="AZ300" i="3"/>
  <c r="AZ118" i="3"/>
  <c r="AZ121" i="3"/>
  <c r="AZ134" i="3"/>
  <c r="AZ137" i="3"/>
  <c r="AZ145" i="3"/>
  <c r="AZ161" i="3"/>
  <c r="AZ177" i="3"/>
  <c r="AZ193" i="3"/>
  <c r="AZ22" i="3"/>
  <c r="AZ54" i="3"/>
  <c r="AZ57" i="3"/>
  <c r="AZ70" i="3"/>
  <c r="AZ92" i="3"/>
  <c r="AZ99" i="3"/>
  <c r="AZ112" i="3"/>
  <c r="M108" i="43"/>
  <c r="M109" i="43" s="1"/>
  <c r="M100" i="43"/>
  <c r="I108" i="43"/>
  <c r="I109" i="43" s="1"/>
  <c r="I100" i="43"/>
  <c r="E108" i="43"/>
  <c r="E100" i="43"/>
  <c r="D24" i="67"/>
  <c r="D23" i="67"/>
  <c r="D108" i="43"/>
  <c r="D100" i="43"/>
  <c r="D49" i="71"/>
  <c r="T49" i="71"/>
  <c r="P50" i="71"/>
  <c r="P51" i="71"/>
  <c r="C25" i="71"/>
  <c r="D24" i="71"/>
  <c r="T13" i="71"/>
  <c r="D13" i="71"/>
  <c r="U13" i="71" s="1"/>
  <c r="C12" i="71"/>
  <c r="C29" i="39"/>
  <c r="B66" i="43"/>
  <c r="V13" i="71"/>
  <c r="AA13" i="71"/>
  <c r="AA11"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1" i="43"/>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C6" i="15"/>
  <c r="Q71" i="67"/>
  <c r="B13" i="70"/>
  <c r="E20" i="43"/>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C16" i="83"/>
  <c r="C14" i="83"/>
  <c r="C14" i="15"/>
  <c r="F31" i="15"/>
  <c r="C16" i="67"/>
  <c r="F59" i="67"/>
  <c r="F31" i="67"/>
  <c r="C14" i="67"/>
  <c r="C17" i="15"/>
  <c r="C17" i="67"/>
  <c r="C16" i="15"/>
  <c r="F59" i="15"/>
  <c r="M17" i="67"/>
  <c r="M17" i="15"/>
  <c r="G1" i="73"/>
  <c r="C18" i="83" l="1"/>
  <c r="C15" i="83"/>
  <c r="O7" i="1"/>
  <c r="P7" i="1" s="1"/>
  <c r="Q61" i="85"/>
  <c r="Q74" i="85"/>
  <c r="Q74" i="84"/>
  <c r="Q61" i="84"/>
  <c r="Q52" i="84"/>
  <c r="F1" i="84"/>
  <c r="Q61" i="83"/>
  <c r="Q74" i="83"/>
  <c r="F1" i="83"/>
  <c r="Q52" i="83"/>
  <c r="Q52" i="85"/>
  <c r="F1" i="85"/>
  <c r="F11" i="85"/>
  <c r="M11" i="85"/>
  <c r="J10" i="85" s="1"/>
  <c r="J5" i="85" s="1"/>
  <c r="F11" i="84"/>
  <c r="M11" i="84"/>
  <c r="J10" i="84" s="1"/>
  <c r="J5" i="84" s="1"/>
  <c r="F11" i="83"/>
  <c r="M11" i="83"/>
  <c r="J10" i="83" s="1"/>
  <c r="J5" i="83" s="1"/>
  <c r="F1" i="15"/>
  <c r="Q52" i="15"/>
  <c r="AA25" i="39"/>
  <c r="S25" i="39"/>
  <c r="AC25" i="39"/>
  <c r="W25" i="39"/>
  <c r="W21" i="39"/>
  <c r="AC21" i="39"/>
  <c r="S21" i="39"/>
  <c r="AA21" i="39"/>
  <c r="U11" i="39"/>
  <c r="AB11" i="39"/>
  <c r="W11" i="39"/>
  <c r="AC11" i="39"/>
  <c r="AA11" i="39"/>
  <c r="S11" i="39"/>
  <c r="C48" i="11"/>
  <c r="C30" i="11"/>
  <c r="C30" i="68"/>
  <c r="C48" i="68"/>
  <c r="C48" i="69"/>
  <c r="C30" i="69"/>
  <c r="H66" i="43"/>
  <c r="H65" i="43"/>
  <c r="H64" i="43"/>
  <c r="H63" i="43"/>
  <c r="H62" i="43"/>
  <c r="H61" i="43"/>
  <c r="H60" i="43"/>
  <c r="H59" i="43"/>
  <c r="H67" i="43"/>
  <c r="C16" i="43"/>
  <c r="D5" i="43" s="1"/>
  <c r="F27" i="68"/>
  <c r="AB10" i="40"/>
  <c r="F10" i="39"/>
  <c r="S10" i="39" s="1"/>
  <c r="J10" i="39"/>
  <c r="J10" i="40"/>
  <c r="C34" i="69"/>
  <c r="E16" i="6"/>
  <c r="E51" i="40"/>
  <c r="E56" i="39"/>
  <c r="F31" i="6"/>
  <c r="C15" i="15"/>
  <c r="C18" i="15"/>
  <c r="F27" i="11"/>
  <c r="F28" i="12"/>
  <c r="C29" i="12" s="1"/>
  <c r="D28" i="12" s="1"/>
  <c r="H10" i="39"/>
  <c r="C47" i="69"/>
  <c r="D45" i="69" s="1"/>
  <c r="C29" i="69"/>
  <c r="D27" i="69" s="1"/>
  <c r="M16" i="1"/>
  <c r="N16" i="1" s="1"/>
  <c r="D22" i="43"/>
  <c r="D109" i="43"/>
  <c r="E109" i="43"/>
  <c r="E58" i="40"/>
  <c r="E63" i="39"/>
  <c r="E66" i="39" s="1"/>
  <c r="AZ18" i="3"/>
  <c r="BA5" i="3"/>
  <c r="E27" i="6" s="1"/>
  <c r="AA10" i="39"/>
  <c r="U10" i="39"/>
  <c r="AB10" i="39"/>
  <c r="C47" i="11"/>
  <c r="D45" i="11" s="1"/>
  <c r="C29" i="11"/>
  <c r="D27" i="11" s="1"/>
  <c r="D103" i="43"/>
  <c r="D104" i="43"/>
  <c r="D107" i="43"/>
  <c r="D105" i="43"/>
  <c r="D106" i="43"/>
  <c r="D102" i="43"/>
  <c r="J104" i="43"/>
  <c r="J105" i="43"/>
  <c r="J107" i="43"/>
  <c r="J102" i="43"/>
  <c r="J106" i="43"/>
  <c r="J103" i="43"/>
  <c r="J109" i="43"/>
  <c r="B115" i="43"/>
  <c r="D118" i="43"/>
  <c r="E118" i="43" s="1"/>
  <c r="F118"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M102" i="43"/>
  <c r="M106" i="43"/>
  <c r="M103" i="43"/>
  <c r="M104" i="43"/>
  <c r="M107" i="43"/>
  <c r="M105" i="43"/>
  <c r="C104" i="43"/>
  <c r="C107" i="43"/>
  <c r="C103" i="43"/>
  <c r="C102" i="43"/>
  <c r="C109" i="43"/>
  <c r="C106" i="43"/>
  <c r="C105" i="43"/>
  <c r="N105" i="43"/>
  <c r="N107" i="43"/>
  <c r="N102" i="43"/>
  <c r="N103" i="43"/>
  <c r="N106" i="43"/>
  <c r="N104" i="43"/>
  <c r="N109" i="43"/>
  <c r="K102" i="43"/>
  <c r="K106" i="43"/>
  <c r="K103" i="43"/>
  <c r="K107" i="43"/>
  <c r="K104" i="43"/>
  <c r="K105" i="43"/>
  <c r="K109" i="43"/>
  <c r="I102" i="43"/>
  <c r="I106" i="43"/>
  <c r="I103" i="43"/>
  <c r="I104" i="43"/>
  <c r="I107" i="43"/>
  <c r="I105" i="43"/>
  <c r="L109" i="43"/>
  <c r="L102" i="43"/>
  <c r="L105" i="43"/>
  <c r="L104" i="43"/>
  <c r="L106" i="43"/>
  <c r="L107" i="43"/>
  <c r="L103" i="43"/>
  <c r="G105" i="43"/>
  <c r="G102" i="43"/>
  <c r="G107" i="43"/>
  <c r="G104" i="43"/>
  <c r="G109" i="43"/>
  <c r="G103" i="43"/>
  <c r="G106" i="43"/>
  <c r="E102" i="43"/>
  <c r="E106" i="43"/>
  <c r="E103" i="43"/>
  <c r="E104" i="43"/>
  <c r="E107" i="43"/>
  <c r="E105" i="43"/>
  <c r="H102" i="43"/>
  <c r="H103" i="43"/>
  <c r="H104" i="43"/>
  <c r="H107" i="43"/>
  <c r="H106" i="43"/>
  <c r="H105" i="43"/>
  <c r="H109" i="43"/>
  <c r="F102" i="43"/>
  <c r="F103" i="43"/>
  <c r="F104" i="43"/>
  <c r="F107" i="43"/>
  <c r="F106" i="43"/>
  <c r="F105" i="43"/>
  <c r="F109" i="43"/>
  <c r="W10" i="40"/>
  <c r="AC10" i="40"/>
  <c r="AA10" i="40"/>
  <c r="S10" i="40"/>
  <c r="W10" i="39"/>
  <c r="AC10" i="39"/>
  <c r="K4" i="4"/>
  <c r="B46" i="48" s="1"/>
  <c r="B4" i="72" s="1"/>
  <c r="B4" i="62"/>
  <c r="B71" i="72" s="1"/>
  <c r="F65" i="40"/>
  <c r="G63" i="40"/>
  <c r="D70" i="39"/>
  <c r="E68" i="39"/>
  <c r="P23" i="43"/>
  <c r="B71" i="39" s="1"/>
  <c r="C11" i="71"/>
  <c r="D11" i="71" s="1"/>
  <c r="D12" i="71"/>
  <c r="D25" i="71"/>
  <c r="T25" i="71"/>
  <c r="G5" i="3"/>
  <c r="B3" i="3" s="1"/>
  <c r="AC36" i="35"/>
  <c r="W36" i="35"/>
  <c r="AA34" i="35"/>
  <c r="S34" i="35"/>
  <c r="AZ548" i="3"/>
  <c r="AZ5" i="3" s="1"/>
  <c r="K15" i="1"/>
  <c r="K16" i="1" s="1"/>
  <c r="E30" i="6"/>
  <c r="P9" i="1"/>
  <c r="P16" i="1" s="1"/>
  <c r="C11" i="12" s="1"/>
  <c r="AB7" i="35"/>
  <c r="T38" i="35" s="1"/>
  <c r="G38" i="35" s="1"/>
  <c r="U7" i="35"/>
  <c r="AA7" i="35"/>
  <c r="R38" i="35" s="1"/>
  <c r="S7" i="35"/>
  <c r="AC7" i="37"/>
  <c r="V42" i="37" s="1"/>
  <c r="I42" i="37" s="1"/>
  <c r="W7" i="37"/>
  <c r="S7" i="34"/>
  <c r="AA7" i="34"/>
  <c r="R49" i="34" s="1"/>
  <c r="I52" i="33"/>
  <c r="J52" i="33" s="1"/>
  <c r="I53" i="33"/>
  <c r="J53" i="33" s="1"/>
  <c r="U7" i="34"/>
  <c r="AB7" i="34"/>
  <c r="T49" i="34" s="1"/>
  <c r="G49" i="34" s="1"/>
  <c r="C49" i="33"/>
  <c r="C48" i="33"/>
  <c r="H7" i="37"/>
  <c r="W7" i="36"/>
  <c r="AC7" i="36"/>
  <c r="V36" i="36" s="1"/>
  <c r="I36" i="36" s="1"/>
  <c r="B8" i="71"/>
  <c r="B7" i="71" s="1"/>
  <c r="B6" i="71" s="1"/>
  <c r="B5" i="71" s="1"/>
  <c r="S9" i="71"/>
  <c r="N52" i="71"/>
  <c r="B51" i="71"/>
  <c r="C7" i="71"/>
  <c r="D8" i="71"/>
  <c r="AB34" i="35"/>
  <c r="U34" i="35"/>
  <c r="U9" i="34"/>
  <c r="AB9" i="34"/>
  <c r="AB7" i="36"/>
  <c r="T36" i="36" s="1"/>
  <c r="G36" i="36" s="1"/>
  <c r="U7" i="36"/>
  <c r="AC7" i="21"/>
  <c r="V48" i="21" s="1"/>
  <c r="I48" i="21" s="1"/>
  <c r="W7" i="21"/>
  <c r="U7" i="21"/>
  <c r="AB7" i="21"/>
  <c r="T48" i="21" s="1"/>
  <c r="G48" i="21" s="1"/>
  <c r="AC7" i="34"/>
  <c r="V49" i="34" s="1"/>
  <c r="I49" i="34" s="1"/>
  <c r="W7" i="34"/>
  <c r="E53" i="33"/>
  <c r="F53" i="33" s="1"/>
  <c r="E52" i="33"/>
  <c r="F52" i="33" s="1"/>
  <c r="G53" i="33"/>
  <c r="H53" i="33" s="1"/>
  <c r="S7" i="37"/>
  <c r="AA7" i="37"/>
  <c r="R42" i="37" s="1"/>
  <c r="S7" i="36"/>
  <c r="AA7" i="36"/>
  <c r="R36" i="36" s="1"/>
  <c r="S7" i="21"/>
  <c r="AA7" i="21"/>
  <c r="R48" i="21" s="1"/>
  <c r="AC7" i="35"/>
  <c r="V38" i="35" s="1"/>
  <c r="I38" i="35" s="1"/>
  <c r="W7" i="35"/>
  <c r="P25" i="43"/>
  <c r="C49" i="67"/>
  <c r="C49" i="15"/>
  <c r="B40" i="1"/>
  <c r="F24" i="85" s="1"/>
  <c r="C18" i="67"/>
  <c r="C15" i="67"/>
  <c r="M11" i="15"/>
  <c r="J10" i="15" s="1"/>
  <c r="J5" i="15" s="1"/>
  <c r="F11" i="67"/>
  <c r="F11" i="15"/>
  <c r="M11" i="67"/>
  <c r="J10" i="67" s="1"/>
  <c r="J5" i="67" s="1"/>
  <c r="Q73" i="67"/>
  <c r="Q60" i="67"/>
  <c r="P17" i="43"/>
  <c r="M17" i="43"/>
  <c r="N17" i="43"/>
  <c r="G20" i="43" s="1"/>
  <c r="O17" i="43"/>
  <c r="Q60" i="15"/>
  <c r="Q73" i="15"/>
  <c r="Q74" i="15"/>
  <c r="Q61" i="15"/>
  <c r="Q61" i="67"/>
  <c r="Q74" i="67"/>
  <c r="AE7" i="1"/>
  <c r="AE8" i="1"/>
  <c r="AE9" i="1"/>
  <c r="AE6" i="1"/>
  <c r="F41" i="83"/>
  <c r="F41" i="15"/>
  <c r="F41" i="85"/>
  <c r="F41" i="84"/>
  <c r="C19" i="83" l="1"/>
  <c r="C20" i="83" s="1"/>
  <c r="C26" i="83" s="1"/>
  <c r="O16" i="1"/>
  <c r="F69" i="85"/>
  <c r="C24" i="85"/>
  <c r="C23" i="85"/>
  <c r="J26" i="85"/>
  <c r="J29" i="85" s="1"/>
  <c r="J24" i="85"/>
  <c r="J18" i="85"/>
  <c r="C53" i="85"/>
  <c r="C48" i="85" s="1"/>
  <c r="C10" i="85"/>
  <c r="C5" i="85" s="1"/>
  <c r="F69" i="84"/>
  <c r="F24" i="83"/>
  <c r="C23" i="83" s="1"/>
  <c r="F24" i="84"/>
  <c r="C53" i="84"/>
  <c r="C48" i="84" s="1"/>
  <c r="C10" i="84"/>
  <c r="C5" i="84" s="1"/>
  <c r="J26" i="84"/>
  <c r="J29" i="84" s="1"/>
  <c r="J18" i="84"/>
  <c r="J24" i="84"/>
  <c r="F69" i="83"/>
  <c r="C24" i="83"/>
  <c r="J26" i="83"/>
  <c r="J29" i="83" s="1"/>
  <c r="J24" i="83"/>
  <c r="J18" i="83"/>
  <c r="C53" i="83"/>
  <c r="C48" i="83" s="1"/>
  <c r="C10" i="83"/>
  <c r="C5" i="83" s="1"/>
  <c r="F69" i="15"/>
  <c r="F34" i="11"/>
  <c r="C36" i="11" s="1"/>
  <c r="F34" i="68"/>
  <c r="C36" i="68" s="1"/>
  <c r="F11" i="12"/>
  <c r="E41" i="43"/>
  <c r="C41" i="43" s="1"/>
  <c r="C20" i="43"/>
  <c r="C5" i="43"/>
  <c r="C29" i="68"/>
  <c r="D27" i="68" s="1"/>
  <c r="C47" i="68"/>
  <c r="D45" i="68" s="1"/>
  <c r="C19" i="15"/>
  <c r="C20" i="15" s="1"/>
  <c r="C26" i="15" s="1"/>
  <c r="C38" i="69"/>
  <c r="C35" i="69"/>
  <c r="L16" i="1"/>
  <c r="E31" i="6"/>
  <c r="C34" i="11"/>
  <c r="K22" i="6"/>
  <c r="K23" i="6"/>
  <c r="M23" i="6" s="1"/>
  <c r="I23" i="6" s="1"/>
  <c r="S23" i="6" s="1"/>
  <c r="K24" i="6"/>
  <c r="M24" i="6" s="1"/>
  <c r="I24" i="6" s="1"/>
  <c r="S24" i="6" s="1"/>
  <c r="K19" i="6"/>
  <c r="S6" i="1" s="1"/>
  <c r="K21" i="6"/>
  <c r="K25" i="6"/>
  <c r="M25" i="6" s="1"/>
  <c r="I25" i="6" s="1"/>
  <c r="S25" i="6" s="1"/>
  <c r="K20" i="6"/>
  <c r="K26" i="6"/>
  <c r="M26" i="6" s="1"/>
  <c r="I26" i="6" s="1"/>
  <c r="S26" i="6" s="1"/>
  <c r="F50" i="68"/>
  <c r="F50" i="11"/>
  <c r="F50" i="69"/>
  <c r="C23" i="43"/>
  <c r="C21" i="43" s="1"/>
  <c r="S7" i="43"/>
  <c r="S2" i="43"/>
  <c r="S6" i="43"/>
  <c r="S4" i="43"/>
  <c r="S5" i="43"/>
  <c r="S3" i="43"/>
  <c r="C115" i="43"/>
  <c r="D113" i="43" s="1"/>
  <c r="F68" i="39"/>
  <c r="E70" i="39"/>
  <c r="G65" i="40"/>
  <c r="H63" i="40"/>
  <c r="AY6" i="3"/>
  <c r="E3" i="6"/>
  <c r="E48" i="21"/>
  <c r="R49" i="21"/>
  <c r="E36" i="36"/>
  <c r="R37" i="36"/>
  <c r="E42" i="37"/>
  <c r="R43" i="37"/>
  <c r="G52" i="21"/>
  <c r="H52" i="21" s="1"/>
  <c r="G53" i="21"/>
  <c r="H53" i="21" s="1"/>
  <c r="D7" i="71"/>
  <c r="C6" i="71"/>
  <c r="I41" i="36"/>
  <c r="J41" i="36" s="1"/>
  <c r="I40" i="36"/>
  <c r="J40" i="36" s="1"/>
  <c r="U7" i="37"/>
  <c r="AB7" i="37"/>
  <c r="T42" i="37" s="1"/>
  <c r="G42" i="37" s="1"/>
  <c r="I47" i="37"/>
  <c r="J47" i="37" s="1"/>
  <c r="I46" i="37"/>
  <c r="J46" i="37" s="1"/>
  <c r="E38" i="35"/>
  <c r="R39" i="35"/>
  <c r="G42" i="35"/>
  <c r="H42" i="35" s="1"/>
  <c r="G43" i="35"/>
  <c r="H43" i="35"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E586" i="3"/>
  <c r="I42" i="35"/>
  <c r="J42" i="35" s="1"/>
  <c r="I43" i="35"/>
  <c r="J43" i="35" s="1"/>
  <c r="I53" i="34"/>
  <c r="J53" i="34" s="1"/>
  <c r="I52" i="21"/>
  <c r="J52" i="21" s="1"/>
  <c r="I53" i="21"/>
  <c r="J53" i="21" s="1"/>
  <c r="G40" i="36"/>
  <c r="H40" i="36" s="1"/>
  <c r="G41" i="36"/>
  <c r="H41" i="36" s="1"/>
  <c r="N51" i="71"/>
  <c r="N50" i="71"/>
  <c r="G53" i="34"/>
  <c r="H53" i="34" s="1"/>
  <c r="G54" i="34"/>
  <c r="H54" i="34" s="1"/>
  <c r="R50" i="34"/>
  <c r="E49" i="34"/>
  <c r="I54" i="34" s="1"/>
  <c r="J54" i="34" s="1"/>
  <c r="C15" i="12"/>
  <c r="C12" i="12"/>
  <c r="E551" i="3"/>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29" i="83" l="1"/>
  <c r="C57" i="83" s="1"/>
  <c r="C66" i="85"/>
  <c r="C60" i="85"/>
  <c r="C38" i="85"/>
  <c r="C33" i="85"/>
  <c r="C32" i="85"/>
  <c r="C29" i="85"/>
  <c r="C66" i="84"/>
  <c r="C60" i="84"/>
  <c r="C38" i="84"/>
  <c r="C33" i="84"/>
  <c r="C32" i="84"/>
  <c r="C24" i="84"/>
  <c r="C23" i="84"/>
  <c r="C66" i="83"/>
  <c r="C60" i="83"/>
  <c r="C38" i="83"/>
  <c r="C33" i="83"/>
  <c r="C32" i="83"/>
  <c r="C36" i="83"/>
  <c r="J14" i="83"/>
  <c r="Q49" i="83"/>
  <c r="C34" i="68"/>
  <c r="C38" i="68" s="1"/>
  <c r="AQ6" i="1"/>
  <c r="AR6" i="1"/>
  <c r="T6" i="1"/>
  <c r="M20" i="6"/>
  <c r="I20" i="6" s="1"/>
  <c r="S20" i="6" s="1"/>
  <c r="S7" i="1"/>
  <c r="S16" i="1" s="1"/>
  <c r="M21" i="6"/>
  <c r="I21" i="6" s="1"/>
  <c r="S21" i="6" s="1"/>
  <c r="S8" i="1"/>
  <c r="M22" i="6"/>
  <c r="I22" i="6" s="1"/>
  <c r="S22" i="6" s="1"/>
  <c r="S9" i="1"/>
  <c r="C35" i="68"/>
  <c r="C38" i="11"/>
  <c r="C35" i="11"/>
  <c r="AC6" i="3"/>
  <c r="H6" i="3"/>
  <c r="M19" i="6"/>
  <c r="K27" i="6"/>
  <c r="H65" i="40"/>
  <c r="I63" i="40"/>
  <c r="G68" i="39"/>
  <c r="F70" i="39"/>
  <c r="C38" i="35"/>
  <c r="C39" i="35"/>
  <c r="B2" i="35" s="1"/>
  <c r="B3" i="35" s="1"/>
  <c r="G46" i="37"/>
  <c r="H46" i="37" s="1"/>
  <c r="G47" i="37"/>
  <c r="H47" i="37" s="1"/>
  <c r="C5" i="71"/>
  <c r="D5" i="71" s="1"/>
  <c r="D6" i="71"/>
  <c r="C42" i="37"/>
  <c r="C43" i="37"/>
  <c r="C36" i="36"/>
  <c r="C37" i="36"/>
  <c r="B2" i="36" s="1"/>
  <c r="B3" i="36" s="1"/>
  <c r="C48" i="21"/>
  <c r="C49" i="21"/>
  <c r="D3" i="21"/>
  <c r="D19" i="11"/>
  <c r="C19" i="11" s="1"/>
  <c r="D37" i="11"/>
  <c r="C37" i="11" s="1"/>
  <c r="D14" i="12"/>
  <c r="M18" i="9"/>
  <c r="B118" i="9" s="1"/>
  <c r="B14" i="74" s="1"/>
  <c r="B1" i="74" s="1"/>
  <c r="D3" i="34"/>
  <c r="D3" i="33"/>
  <c r="B2" i="33" s="1"/>
  <c r="B3" i="33" s="1"/>
  <c r="E6" i="6"/>
  <c r="C17" i="4"/>
  <c r="B4" i="52" s="1"/>
  <c r="B43" i="72" s="1"/>
  <c r="L18" i="9"/>
  <c r="D3" i="37"/>
  <c r="E54" i="34"/>
  <c r="F54" i="34" s="1"/>
  <c r="E53" i="34"/>
  <c r="F53" i="34" s="1"/>
  <c r="C50" i="34"/>
  <c r="B2" i="34" s="1"/>
  <c r="B3" i="34" s="1"/>
  <c r="C49" i="34"/>
  <c r="E43" i="35"/>
  <c r="F43" i="35" s="1"/>
  <c r="E42" i="35"/>
  <c r="F42" i="35" s="1"/>
  <c r="E47" i="37"/>
  <c r="F47" i="37" s="1"/>
  <c r="E46" i="37"/>
  <c r="F46" i="37" s="1"/>
  <c r="E40" i="36"/>
  <c r="F40" i="36" s="1"/>
  <c r="E41" i="36"/>
  <c r="F41" i="36" s="1"/>
  <c r="E52" i="21"/>
  <c r="F52" i="21" s="1"/>
  <c r="E53" i="21"/>
  <c r="F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26" i="68"/>
  <c r="D22" i="68" s="1"/>
  <c r="C44" i="68"/>
  <c r="D41" i="68" s="1"/>
  <c r="C38" i="15"/>
  <c r="C32" i="15"/>
  <c r="C26" i="12"/>
  <c r="D25" i="12" s="1"/>
  <c r="C44" i="11"/>
  <c r="D41" i="11" s="1"/>
  <c r="C23" i="11"/>
  <c r="C26" i="11"/>
  <c r="D22" i="11" s="1"/>
  <c r="C24" i="11"/>
  <c r="C23" i="67"/>
  <c r="C29" i="67" s="1"/>
  <c r="C66" i="15"/>
  <c r="C60" i="15"/>
  <c r="C60" i="67"/>
  <c r="C66" i="67"/>
  <c r="C44" i="69"/>
  <c r="D41" i="69" s="1"/>
  <c r="C26" i="69"/>
  <c r="D22" i="69" s="1"/>
  <c r="C23" i="15"/>
  <c r="C29" i="15" s="1"/>
  <c r="C38" i="67"/>
  <c r="C32" i="67"/>
  <c r="C13" i="83" l="1"/>
  <c r="J19" i="83"/>
  <c r="C57" i="85"/>
  <c r="C36" i="85"/>
  <c r="J19" i="85"/>
  <c r="J14" i="85"/>
  <c r="C13" i="85"/>
  <c r="Q49" i="85"/>
  <c r="C29" i="84"/>
  <c r="C57" i="84" s="1"/>
  <c r="J13" i="83"/>
  <c r="J23" i="83" s="1"/>
  <c r="J22" i="83"/>
  <c r="C75" i="83"/>
  <c r="Q70" i="83"/>
  <c r="C37" i="83"/>
  <c r="C56" i="83"/>
  <c r="C65" i="83" s="1"/>
  <c r="C64" i="83"/>
  <c r="C61" i="83"/>
  <c r="AR9" i="1"/>
  <c r="AQ9" i="1"/>
  <c r="T9" i="1"/>
  <c r="AQ8" i="1"/>
  <c r="AR8" i="1"/>
  <c r="T8" i="1"/>
  <c r="AQ7" i="1"/>
  <c r="AR7" i="1"/>
  <c r="T7" i="1"/>
  <c r="T16" i="1" s="1"/>
  <c r="C33" i="11"/>
  <c r="C42" i="11" s="1"/>
  <c r="E6" i="3"/>
  <c r="B2" i="21"/>
  <c r="B3" i="21" s="1"/>
  <c r="I19" i="6"/>
  <c r="M27" i="6"/>
  <c r="I65" i="40"/>
  <c r="J63" i="40"/>
  <c r="H68" i="39"/>
  <c r="G70" i="39"/>
  <c r="D10" i="68"/>
  <c r="D10" i="11"/>
  <c r="C10" i="11" s="1"/>
  <c r="D20" i="12"/>
  <c r="C20" i="12" s="1"/>
  <c r="C18" i="12" s="1"/>
  <c r="D10" i="69"/>
  <c r="C8" i="74"/>
  <c r="C39" i="11"/>
  <c r="C43" i="11" s="1"/>
  <c r="M20" i="43"/>
  <c r="C19" i="43" s="1"/>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17" i="12"/>
  <c r="C17" i="12" s="1"/>
  <c r="C14" i="12"/>
  <c r="C16" i="12" s="1"/>
  <c r="C20" i="11"/>
  <c r="C25" i="11" s="1"/>
  <c r="C22" i="11" s="1"/>
  <c r="B2" i="37"/>
  <c r="B3" i="37" s="1"/>
  <c r="J19" i="15"/>
  <c r="Q49" i="15"/>
  <c r="C33" i="15"/>
  <c r="C36" i="15"/>
  <c r="C57" i="15"/>
  <c r="J14" i="15"/>
  <c r="C13" i="15"/>
  <c r="J59" i="15"/>
  <c r="J60" i="15" s="1"/>
  <c r="C33" i="67"/>
  <c r="C31" i="67" s="1"/>
  <c r="J14" i="67"/>
  <c r="C57" i="67"/>
  <c r="C13" i="67"/>
  <c r="J19" i="67"/>
  <c r="J17" i="67" s="1"/>
  <c r="Q49" i="67"/>
  <c r="C36" i="67"/>
  <c r="J59" i="67"/>
  <c r="J60" i="67" s="1"/>
  <c r="C13" i="84" l="1"/>
  <c r="C75" i="84" s="1"/>
  <c r="Q49" i="84"/>
  <c r="J14" i="84"/>
  <c r="J13" i="84" s="1"/>
  <c r="J23" i="84" s="1"/>
  <c r="J19" i="84"/>
  <c r="C36" i="84"/>
  <c r="C75" i="85"/>
  <c r="Q70" i="85"/>
  <c r="C37" i="85"/>
  <c r="C56" i="85"/>
  <c r="C65" i="85" s="1"/>
  <c r="C64" i="85"/>
  <c r="C61" i="85"/>
  <c r="J13" i="85"/>
  <c r="J23" i="85" s="1"/>
  <c r="J22" i="85"/>
  <c r="J22" i="84"/>
  <c r="Q70" i="84"/>
  <c r="C56" i="84"/>
  <c r="C65" i="84" s="1"/>
  <c r="C64" i="84"/>
  <c r="C61" i="84"/>
  <c r="C41" i="11"/>
  <c r="H27" i="6"/>
  <c r="D16" i="6"/>
  <c r="D30" i="6"/>
  <c r="S19" i="6"/>
  <c r="S27" i="6" s="1"/>
  <c r="I27" i="6"/>
  <c r="R25" i="6"/>
  <c r="C46" i="11"/>
  <c r="C45" i="11" s="1"/>
  <c r="K63" i="40"/>
  <c r="J65" i="40"/>
  <c r="H70" i="39"/>
  <c r="I68" i="39"/>
  <c r="R24" i="6"/>
  <c r="R22" i="6"/>
  <c r="R9" i="1" s="1"/>
  <c r="R26" i="6"/>
  <c r="D8" i="74"/>
  <c r="C10" i="69"/>
  <c r="C8" i="69" s="1"/>
  <c r="C5" i="69" s="1"/>
  <c r="D19" i="69"/>
  <c r="C28" i="11"/>
  <c r="C27" i="11" s="1"/>
  <c r="C31" i="11" s="1"/>
  <c r="C21" i="12"/>
  <c r="R21" i="6"/>
  <c r="R8" i="1" s="1"/>
  <c r="R23" i="6"/>
  <c r="A7" i="51"/>
  <c r="B7" i="72" s="1"/>
  <c r="C4" i="52"/>
  <c r="B45" i="72" s="1"/>
  <c r="A10" i="51"/>
  <c r="B9" i="72" s="1"/>
  <c r="R19" i="6"/>
  <c r="D27" i="6"/>
  <c r="D31" i="6" s="1"/>
  <c r="T14" i="43"/>
  <c r="V14" i="43" s="1"/>
  <c r="T4" i="43"/>
  <c r="V4" i="43" s="1"/>
  <c r="C34" i="43"/>
  <c r="T11" i="43"/>
  <c r="V11" i="43" s="1"/>
  <c r="T10" i="43"/>
  <c r="V10" i="43" s="1"/>
  <c r="T12" i="43"/>
  <c r="V12" i="43" s="1"/>
  <c r="T7" i="43"/>
  <c r="V7" i="43" s="1"/>
  <c r="T9" i="43"/>
  <c r="V9" i="43" s="1"/>
  <c r="C33" i="43"/>
  <c r="T15" i="43"/>
  <c r="V15" i="43" s="1"/>
  <c r="T16" i="43"/>
  <c r="V16" i="43" s="1"/>
  <c r="C37" i="43"/>
  <c r="C35" i="43"/>
  <c r="C36" i="43"/>
  <c r="T2" i="43"/>
  <c r="V2" i="43" s="1"/>
  <c r="C38" i="43"/>
  <c r="T6" i="43"/>
  <c r="V6" i="43" s="1"/>
  <c r="C39" i="43"/>
  <c r="T13" i="43"/>
  <c r="V13" i="43" s="1"/>
  <c r="T8" i="43"/>
  <c r="V8" i="43" s="1"/>
  <c r="C29" i="43"/>
  <c r="T5" i="43"/>
  <c r="V5" i="43" s="1"/>
  <c r="T3" i="43"/>
  <c r="V3" i="43" s="1"/>
  <c r="C10" i="68"/>
  <c r="D19" i="68"/>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75" i="15"/>
  <c r="C61" i="15"/>
  <c r="C64" i="15"/>
  <c r="C37" i="84" l="1"/>
  <c r="C49" i="11"/>
  <c r="C51" i="11" s="1"/>
  <c r="C52" i="11" s="1"/>
  <c r="B2" i="11" s="1"/>
  <c r="B3" i="11" s="1"/>
  <c r="R27" i="6"/>
  <c r="R6" i="1"/>
  <c r="J68" i="39"/>
  <c r="I70" i="39"/>
  <c r="L63" i="40"/>
  <c r="K65" i="40"/>
  <c r="E38" i="43"/>
  <c r="G38" i="43"/>
  <c r="I38" i="43" s="1"/>
  <c r="G37" i="43"/>
  <c r="I37" i="43" s="1"/>
  <c r="E37" i="43"/>
  <c r="C19" i="68"/>
  <c r="D37" i="68"/>
  <c r="C37" i="68" s="1"/>
  <c r="C33" i="68" s="1"/>
  <c r="C30" i="43"/>
  <c r="E30" i="43" s="1"/>
  <c r="E29" i="43"/>
  <c r="E35" i="43"/>
  <c r="G35" i="43"/>
  <c r="I35" i="43" s="1"/>
  <c r="G33" i="43"/>
  <c r="I33" i="43" s="1"/>
  <c r="E33" i="43"/>
  <c r="G34" i="43"/>
  <c r="I34" i="43" s="1"/>
  <c r="E34" i="43"/>
  <c r="C19" i="69"/>
  <c r="C24" i="69" s="1"/>
  <c r="D37" i="69"/>
  <c r="C37" i="69" s="1"/>
  <c r="C33" i="69" s="1"/>
  <c r="G39" i="43"/>
  <c r="I39" i="43" s="1"/>
  <c r="E39" i="43"/>
  <c r="G36" i="43"/>
  <c r="I36" i="43" s="1"/>
  <c r="E36" i="43"/>
  <c r="I6" i="6"/>
  <c r="I5" i="6"/>
  <c r="C22" i="12"/>
  <c r="C23" i="69"/>
  <c r="J16" i="67"/>
  <c r="J25" i="67" s="1"/>
  <c r="C40" i="67"/>
  <c r="Q69" i="67"/>
  <c r="Q68" i="67" s="1"/>
  <c r="C58" i="67"/>
  <c r="C67" i="67" s="1"/>
  <c r="C68" i="67" s="1"/>
  <c r="C80" i="67"/>
  <c r="C79" i="67" s="1"/>
  <c r="M21" i="85"/>
  <c r="F35" i="85"/>
  <c r="M21" i="84"/>
  <c r="F35" i="84"/>
  <c r="F35" i="83"/>
  <c r="M21" i="83"/>
  <c r="F35" i="15"/>
  <c r="M21" i="15"/>
  <c r="L51" i="67"/>
  <c r="F63" i="85" l="1"/>
  <c r="C62" i="85" s="1"/>
  <c r="C59" i="85" s="1"/>
  <c r="C58" i="85" s="1"/>
  <c r="C67" i="85" s="1"/>
  <c r="C68" i="85" s="1"/>
  <c r="C34" i="85"/>
  <c r="C31" i="85" s="1"/>
  <c r="C30" i="85" s="1"/>
  <c r="C39" i="85" s="1"/>
  <c r="J20" i="85"/>
  <c r="J17" i="85" s="1"/>
  <c r="J16" i="85" s="1"/>
  <c r="J25" i="85" s="1"/>
  <c r="F63" i="84"/>
  <c r="C62" i="84" s="1"/>
  <c r="C59" i="84" s="1"/>
  <c r="C58" i="84" s="1"/>
  <c r="C67" i="84" s="1"/>
  <c r="C68" i="84" s="1"/>
  <c r="C34" i="84"/>
  <c r="C31" i="84" s="1"/>
  <c r="C30" i="84" s="1"/>
  <c r="C39" i="84" s="1"/>
  <c r="J20" i="84"/>
  <c r="J17" i="84" s="1"/>
  <c r="J16" i="84" s="1"/>
  <c r="J25" i="84" s="1"/>
  <c r="J20" i="83"/>
  <c r="J17" i="83" s="1"/>
  <c r="J16" i="83" s="1"/>
  <c r="J25" i="83" s="1"/>
  <c r="F63" i="83"/>
  <c r="C62" i="83" s="1"/>
  <c r="C59" i="83" s="1"/>
  <c r="C58" i="83" s="1"/>
  <c r="C67" i="83" s="1"/>
  <c r="C68" i="83" s="1"/>
  <c r="C34" i="83"/>
  <c r="C31" i="83" s="1"/>
  <c r="C30" i="83" s="1"/>
  <c r="C39" i="83" s="1"/>
  <c r="J20" i="15"/>
  <c r="J17" i="15" s="1"/>
  <c r="J16" i="15" s="1"/>
  <c r="J25" i="15" s="1"/>
  <c r="F63" i="15"/>
  <c r="C62" i="15" s="1"/>
  <c r="C59" i="15" s="1"/>
  <c r="C58" i="15" s="1"/>
  <c r="C67" i="15" s="1"/>
  <c r="C68" i="15" s="1"/>
  <c r="C34" i="15"/>
  <c r="C31" i="15" s="1"/>
  <c r="C30" i="15" s="1"/>
  <c r="C39" i="15" s="1"/>
  <c r="R16" i="1"/>
  <c r="C56" i="11"/>
  <c r="C57" i="11" s="1"/>
  <c r="C20" i="69"/>
  <c r="C25" i="69" s="1"/>
  <c r="C22" i="69" s="1"/>
  <c r="L65" i="40"/>
  <c r="M63" i="40"/>
  <c r="K68" i="39"/>
  <c r="J70" i="39"/>
  <c r="C39" i="69"/>
  <c r="C42" i="69"/>
  <c r="C26" i="43"/>
  <c r="C39" i="68"/>
  <c r="C43" i="68" s="1"/>
  <c r="C42" i="68"/>
  <c r="C46" i="68"/>
  <c r="C45" i="68" s="1"/>
  <c r="C27" i="43"/>
  <c r="C24" i="68"/>
  <c r="Q67" i="67"/>
  <c r="L57" i="67"/>
  <c r="L60" i="67" s="1"/>
  <c r="L57" i="15"/>
  <c r="L60" i="15" s="1"/>
  <c r="C71" i="67"/>
  <c r="C45" i="67"/>
  <c r="C46" i="67" s="1"/>
  <c r="Q56" i="67"/>
  <c r="Q47" i="67"/>
  <c r="Q53" i="67" s="1"/>
  <c r="Q65" i="67"/>
  <c r="C43" i="67"/>
  <c r="D2" i="67"/>
  <c r="C83" i="67"/>
  <c r="C82" i="67" s="1"/>
  <c r="C71" i="15"/>
  <c r="L51" i="15"/>
  <c r="E6" i="76"/>
  <c r="C28" i="69" l="1"/>
  <c r="C27" i="69" s="1"/>
  <c r="C31" i="69" s="1"/>
  <c r="Q69" i="85"/>
  <c r="Q68" i="85" s="1"/>
  <c r="C40" i="85"/>
  <c r="C80" i="85"/>
  <c r="C79" i="85" s="1"/>
  <c r="C71" i="85"/>
  <c r="Q69" i="84"/>
  <c r="Q68" i="84" s="1"/>
  <c r="C40" i="84"/>
  <c r="C46" i="84" s="1"/>
  <c r="C80" i="84"/>
  <c r="C79" i="84" s="1"/>
  <c r="C71" i="84"/>
  <c r="C71" i="83"/>
  <c r="Q69" i="83"/>
  <c r="Q68" i="83" s="1"/>
  <c r="C40" i="83"/>
  <c r="C80" i="83"/>
  <c r="C79" i="83" s="1"/>
  <c r="Q67" i="15"/>
  <c r="C40" i="15"/>
  <c r="Q69" i="15"/>
  <c r="Q68" i="15" s="1"/>
  <c r="C80" i="15"/>
  <c r="C79" i="15" s="1"/>
  <c r="C41" i="68"/>
  <c r="C49" i="68" s="1"/>
  <c r="C51" i="68" s="1"/>
  <c r="K70" i="39"/>
  <c r="L68" i="39"/>
  <c r="N63" i="40"/>
  <c r="M65" i="40"/>
  <c r="E2" i="76"/>
  <c r="C46" i="69"/>
  <c r="C45" i="69" s="1"/>
  <c r="C43" i="69"/>
  <c r="C41" i="69" s="1"/>
  <c r="B2" i="43"/>
  <c r="Q57" i="15"/>
  <c r="Q66" i="15"/>
  <c r="Q66" i="67"/>
  <c r="Q75" i="67" s="1"/>
  <c r="Q57" i="67"/>
  <c r="Q62" i="67" s="1"/>
  <c r="B2" i="67"/>
  <c r="B3" i="67"/>
  <c r="L51" i="85"/>
  <c r="L51" i="84"/>
  <c r="L51" i="83"/>
  <c r="B6" i="76"/>
  <c r="C46" i="85" l="1"/>
  <c r="D44" i="85"/>
  <c r="Q67" i="85"/>
  <c r="Q47" i="85"/>
  <c r="Q53" i="85" s="1"/>
  <c r="B2" i="85"/>
  <c r="F8" i="12" s="1"/>
  <c r="Q65" i="85"/>
  <c r="Q75" i="85" s="1"/>
  <c r="Q56" i="85"/>
  <c r="Q62" i="85" s="1"/>
  <c r="C43" i="85"/>
  <c r="C83" i="85"/>
  <c r="C82" i="85" s="1"/>
  <c r="Q67" i="84"/>
  <c r="Q47" i="84"/>
  <c r="Q53" i="84" s="1"/>
  <c r="B2" i="84"/>
  <c r="E8" i="12" s="1"/>
  <c r="Q65" i="84"/>
  <c r="Q75" i="84" s="1"/>
  <c r="Q56" i="84"/>
  <c r="Q62" i="84" s="1"/>
  <c r="C43" i="84"/>
  <c r="C83" i="84"/>
  <c r="C82" i="84" s="1"/>
  <c r="Q67" i="83"/>
  <c r="Q47" i="83"/>
  <c r="Q53" i="83" s="1"/>
  <c r="B2" i="83"/>
  <c r="Q65" i="83"/>
  <c r="Q75" i="83" s="1"/>
  <c r="Q56" i="83"/>
  <c r="Q62" i="83" s="1"/>
  <c r="C43" i="83"/>
  <c r="C83" i="83"/>
  <c r="C82" i="83" s="1"/>
  <c r="C46" i="83"/>
  <c r="C83" i="15"/>
  <c r="C82" i="15" s="1"/>
  <c r="Q65" i="15"/>
  <c r="C43" i="15"/>
  <c r="Q56" i="15"/>
  <c r="Q62" i="15" s="1"/>
  <c r="B2" i="15"/>
  <c r="C8" i="12" s="1"/>
  <c r="Q47" i="15"/>
  <c r="Q53" i="15" s="1"/>
  <c r="C46" i="15"/>
  <c r="Q75" i="15"/>
  <c r="F7" i="40"/>
  <c r="C49" i="69"/>
  <c r="C51" i="69" s="1"/>
  <c r="C52" i="69" s="1"/>
  <c r="B2" i="69" s="1"/>
  <c r="B3" i="69" s="1"/>
  <c r="O63" i="40"/>
  <c r="O65" i="40" s="1"/>
  <c r="N65" i="40"/>
  <c r="M68" i="39"/>
  <c r="L70" i="39"/>
  <c r="B2" i="76"/>
  <c r="B3" i="76" s="1"/>
  <c r="B3" i="43"/>
  <c r="AO9" i="1"/>
  <c r="AO8" i="1"/>
  <c r="AO7" i="1"/>
  <c r="AO6" i="1"/>
  <c r="B3" i="83" l="1"/>
  <c r="D6" i="12" s="1"/>
  <c r="D8" i="12"/>
  <c r="C4" i="12" s="1"/>
  <c r="B9" i="70"/>
  <c r="B8" i="70"/>
  <c r="B3" i="85"/>
  <c r="F6" i="12" s="1"/>
  <c r="B7" i="70"/>
  <c r="B3" i="84"/>
  <c r="E6" i="12" s="1"/>
  <c r="B6" i="70"/>
  <c r="B3" i="15"/>
  <c r="C6" i="12" s="1"/>
  <c r="M70" i="39"/>
  <c r="N68" i="39"/>
  <c r="H7" i="40"/>
  <c r="J7" i="40"/>
  <c r="S7" i="40"/>
  <c r="AA7" i="40"/>
  <c r="R42" i="40" s="1"/>
  <c r="C57" i="69"/>
  <c r="C56" i="69" s="1"/>
  <c r="B2" i="70" l="1"/>
  <c r="B3" i="70" s="1"/>
  <c r="C23" i="12"/>
  <c r="C31" i="12"/>
  <c r="C30" i="12"/>
  <c r="C28" i="12" s="1"/>
  <c r="C27" i="12"/>
  <c r="C25" i="12" s="1"/>
  <c r="C32" i="12" s="1"/>
  <c r="B2" i="12" s="1"/>
  <c r="R43" i="40"/>
  <c r="E42" i="40"/>
  <c r="U7" i="40"/>
  <c r="AB7" i="40"/>
  <c r="T42" i="40" s="1"/>
  <c r="G42" i="40" s="1"/>
  <c r="O68" i="39"/>
  <c r="O70" i="39" s="1"/>
  <c r="N70" i="39"/>
  <c r="AC7" i="40"/>
  <c r="V42" i="40" s="1"/>
  <c r="I42" i="40" s="1"/>
  <c r="W7" i="40"/>
  <c r="D19" i="9"/>
  <c r="D102" i="9" l="1"/>
  <c r="D21" i="9"/>
  <c r="B3" i="12"/>
  <c r="I46" i="40"/>
  <c r="J46" i="40" s="1"/>
  <c r="I47" i="40"/>
  <c r="J47" i="40" s="1"/>
  <c r="H7" i="39"/>
  <c r="J7" i="39"/>
  <c r="F7" i="39"/>
  <c r="G47" i="40"/>
  <c r="H47" i="40" s="1"/>
  <c r="G46" i="40"/>
  <c r="H46" i="40" s="1"/>
  <c r="E47" i="40"/>
  <c r="F47" i="40" s="1"/>
  <c r="E46" i="40"/>
  <c r="F46" i="40" s="1"/>
  <c r="C42" i="40"/>
  <c r="C43" i="40"/>
  <c r="D20" i="9"/>
  <c r="D103" i="9" l="1"/>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W7" i="39"/>
  <c r="AC7" i="39"/>
  <c r="V47" i="39" s="1"/>
  <c r="I47" i="39" s="1"/>
  <c r="AA7" i="39"/>
  <c r="R47" i="39" s="1"/>
  <c r="S7" i="39"/>
  <c r="U7" i="39"/>
  <c r="AB7" i="39"/>
  <c r="T47" i="39" s="1"/>
  <c r="G47" i="39" s="1"/>
  <c r="I51" i="39" l="1"/>
  <c r="J51" i="39" s="1"/>
  <c r="E47" i="39"/>
  <c r="R48" i="39"/>
  <c r="G52" i="39"/>
  <c r="H52" i="39" s="1"/>
  <c r="G51" i="39"/>
  <c r="H51" i="39" s="1"/>
  <c r="C48" i="39" l="1"/>
  <c r="C47" i="39"/>
  <c r="E51" i="39"/>
  <c r="F51" i="39" s="1"/>
  <c r="E52" i="39"/>
  <c r="F52" i="39" s="1"/>
  <c r="I52" i="39"/>
  <c r="J52" i="39" s="1"/>
  <c r="B61" i="39" l="1"/>
  <c r="F61" i="39" s="1"/>
  <c r="B59" i="39"/>
  <c r="F59" i="39" s="1"/>
  <c r="B63" i="39"/>
  <c r="F63" i="39" s="1"/>
  <c r="B58" i="39"/>
  <c r="F58" i="39" s="1"/>
  <c r="B57" i="39"/>
  <c r="F57" i="39" s="1"/>
  <c r="B56" i="39"/>
  <c r="F56" i="39" s="1"/>
  <c r="B65" i="39"/>
  <c r="F65" i="39" s="1"/>
  <c r="B60" i="39"/>
  <c r="F60" i="39" s="1"/>
  <c r="B64" i="39"/>
  <c r="F64" i="39" s="1"/>
  <c r="B62" i="39"/>
  <c r="F62" i="39" s="1"/>
  <c r="F66" i="39" l="1"/>
  <c r="B2" i="39" s="1"/>
  <c r="B3" i="39" l="1"/>
  <c r="C6" i="68"/>
  <c r="C7" i="68" l="1"/>
  <c r="C5" i="68" s="1"/>
  <c r="C23" i="68" l="1"/>
  <c r="C20" i="68"/>
  <c r="C25" i="68" s="1"/>
  <c r="C22" i="68" l="1"/>
  <c r="C28" i="68"/>
  <c r="C27" i="68" s="1"/>
  <c r="C31" i="68" l="1"/>
  <c r="C52" i="68" s="1"/>
  <c r="B2" i="68" s="1"/>
  <c r="B3" i="68" s="1"/>
  <c r="C19" i="9"/>
  <c r="C20" i="9"/>
  <c r="C57" i="68" l="1"/>
  <c r="C56" i="68" s="1"/>
  <c r="D22" i="9"/>
  <c r="C102" i="9"/>
  <c r="C21" i="9"/>
  <c r="G19" i="9"/>
  <c r="C32" i="9" s="1"/>
  <c r="C103" i="9"/>
  <c r="G20" i="9"/>
  <c r="G21" i="9" l="1"/>
  <c r="C35" i="9"/>
  <c r="F118" i="9" s="1"/>
  <c r="H118" i="9"/>
  <c r="I118" i="9" l="1"/>
  <c r="H4" i="52"/>
  <c r="H119" i="9"/>
  <c r="H5" i="52" s="1"/>
  <c r="H101" i="9"/>
  <c r="D14" i="74"/>
  <c r="C104" i="9"/>
  <c r="C34" i="9"/>
  <c r="D118" i="9" s="1"/>
  <c r="F119" i="9"/>
  <c r="F5" i="52" s="1"/>
  <c r="B53" i="72" s="1"/>
  <c r="G118" i="9"/>
  <c r="G4" i="52" s="1"/>
  <c r="B52" i="72" s="1"/>
  <c r="F4" i="52"/>
  <c r="B51" i="72" s="1"/>
  <c r="D119" i="9" l="1"/>
  <c r="D5" i="52" s="1"/>
  <c r="B49" i="72" s="1"/>
  <c r="D4" i="52"/>
  <c r="B47" i="72" s="1"/>
  <c r="E14" i="74"/>
  <c r="B5" i="74"/>
  <c r="F14" i="74"/>
  <c r="H107" i="9"/>
  <c r="M48" i="9"/>
  <c r="H109" i="9"/>
  <c r="D5" i="53"/>
  <c r="D45" i="9"/>
  <c r="C105" i="9"/>
  <c r="I4" i="52"/>
  <c r="H102" i="9"/>
  <c r="D7" i="53" s="1"/>
  <c r="B21" i="72" s="1"/>
  <c r="E118" i="9"/>
  <c r="E4" i="52" s="1"/>
  <c r="B48" i="72" s="1"/>
  <c r="C72" i="9" l="1"/>
  <c r="C93" i="9"/>
  <c r="C86" i="9" s="1"/>
  <c r="D53" i="9"/>
  <c r="D52" i="9"/>
  <c r="D55" i="9"/>
  <c r="M53" i="9" s="1"/>
  <c r="C78" i="9"/>
  <c r="C73" i="9" s="1"/>
  <c r="C64" i="9"/>
  <c r="C63" i="9" s="1"/>
  <c r="C67" i="9" s="1"/>
  <c r="C68" i="9" s="1"/>
  <c r="D54" i="9" s="1"/>
  <c r="C85" i="9"/>
  <c r="C95" i="9" s="1"/>
  <c r="D124" i="9"/>
  <c r="D16" i="53"/>
  <c r="H110" i="9"/>
  <c r="D18" i="53" s="1"/>
  <c r="B35" i="72" s="1"/>
  <c r="M49" i="9"/>
  <c r="H108" i="9"/>
  <c r="D15" i="53" s="1"/>
  <c r="B31" i="72" s="1"/>
  <c r="D122" i="9"/>
  <c r="D13" i="53"/>
  <c r="C5" i="74"/>
  <c r="D5" i="74"/>
  <c r="B20" i="72"/>
  <c r="D6" i="53"/>
  <c r="B22" i="72" s="1"/>
  <c r="D14" i="53" l="1"/>
  <c r="B32" i="72" s="1"/>
  <c r="B30" i="72"/>
  <c r="G14" i="74"/>
  <c r="B6" i="74" s="1"/>
  <c r="D123" i="9"/>
  <c r="D9" i="52" s="1"/>
  <c r="D8" i="52"/>
  <c r="L66" i="9"/>
  <c r="M66" i="9" s="1"/>
  <c r="L63" i="9"/>
  <c r="M63" i="9" s="1"/>
  <c r="L65" i="9"/>
  <c r="M65" i="9" s="1"/>
  <c r="L68" i="9"/>
  <c r="M68" i="9" s="1"/>
  <c r="L64" i="9"/>
  <c r="M64" i="9" s="1"/>
  <c r="L67" i="9"/>
  <c r="M67" i="9" s="1"/>
  <c r="B34" i="72"/>
  <c r="D17" i="53"/>
  <c r="B36" i="72" s="1"/>
  <c r="C96" i="9"/>
  <c r="E96" i="9" s="1"/>
  <c r="E97" i="9" s="1"/>
  <c r="D10" i="52"/>
  <c r="D125" i="9"/>
  <c r="D11" i="52" s="1"/>
  <c r="H14" i="74"/>
  <c r="B7" i="74" s="1"/>
  <c r="C79" i="9"/>
  <c r="C97" i="9" l="1"/>
  <c r="D58" i="9" s="1"/>
  <c r="D56" i="9" s="1"/>
  <c r="M54" i="9" s="1"/>
  <c r="N57" i="9" s="1"/>
  <c r="N59" i="9" s="1"/>
  <c r="N61" i="9" s="1"/>
  <c r="C80" i="9"/>
  <c r="E80" i="9" s="1"/>
  <c r="E81" i="9" s="1"/>
  <c r="D7" i="74"/>
  <c r="C7" i="74"/>
  <c r="M69" i="9"/>
  <c r="N69" i="9" s="1"/>
  <c r="C6" i="74"/>
  <c r="D6" i="74"/>
  <c r="P57" i="9" l="1"/>
  <c r="N60"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<sst xmlns="http://schemas.openxmlformats.org/spreadsheetml/2006/main" count="8843" uniqueCount="3190">
  <si>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</si>
  <si>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</si>
  <si>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</si>
  <si>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</si>
  <si>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</si>
  <si>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</si>
  <si>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</si>
  <si>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</si>
  <si>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</si>
  <si>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</si>
  <si>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</si>
  <si>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</si>
  <si>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</si>
  <si>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</si>
  <si>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</si>
  <si>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</si>
  <si>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</si>
  <si>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</si>
  <si>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</si>
  <si>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</si>
  <si>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</si>
  <si>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</si>
  <si>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</si>
  <si>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</si>
  <si>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</si>
  <si>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</si>
  <si>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</si>
  <si>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</si>
  <si>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</si>
  <si>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</si>
  <si>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</si>
  <si>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</si>
  <si>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</si>
  <si>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</si>
  <si>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</si>
  <si>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</si>
  <si>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</si>
  <si>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</si>
  <si>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</si>
  <si>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</si>
  <si>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</si>
  <si>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</si>
  <si>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</si>
  <si>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</si>
  <si>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</si>
  <si>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</si>
  <si>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</si>
  <si>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</si>
  <si>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</si>
  <si>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</si>
  <si>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</si>
  <si>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</si>
  <si>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</si>
  <si>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</si>
  <si>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</si>
  <si>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</si>
  <si>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</si>
  <si>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</si>
  <si>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</si>
  <si>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</si>
  <si>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</si>
  <si>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</si>
  <si>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</si>
  <si>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</si>
  <si>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</si>
  <si>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</si>
  <si>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</si>
  <si>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</si>
  <si>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</si>
  <si>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</si>
  <si>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</si>
  <si>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</si>
  <si>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</si>
  <si>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</si>
  <si>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</si>
  <si>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</si>
  <si>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</si>
  <si>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</si>
  <si>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</si>
  <si>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</si>
  <si>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</si>
  <si>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</si>
  <si>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</si>
  <si>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</si>
  <si>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</si>
  <si>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</si>
  <si>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</si>
  <si>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</si>
  <si>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</si>
  <si>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</si>
  <si>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</si>
  <si>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</si>
  <si>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</si>
  <si>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</si>
  <si>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</si>
  <si>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</si>
  <si>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</si>
  <si>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</si>
  <si>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</si>
  <si>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</si>
  <si>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</si>
  <si>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</si>
  <si>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</si>
  <si>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</si>
  <si>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</si>
  <si>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</si>
  <si>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</si>
  <si>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</si>
  <si>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</si>
  <si>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</si>
  <si>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</si>
  <si>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</si>
  <si>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</si>
  <si>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</si>
  <si>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</si>
  <si>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</si>
  <si>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</si>
  <si>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</si>
  <si>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</si>
  <si>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</si>
  <si>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</si>
  <si>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</si>
  <si>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</si>
  <si>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</si>
  <si>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</si>
  <si>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</si>
  <si>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</si>
  <si>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</si>
  <si>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</si>
  <si>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</si>
  <si>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</si>
  <si>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</si>
  <si>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</si>
  <si>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</si>
  <si>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</si>
  <si>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</si>
  <si>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</si>
  <si>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</si>
  <si>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</si>
  <si>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</si>
  <si>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</si>
  <si>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</si>
  <si>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</si>
  <si>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</si>
  <si>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</si>
  <si>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</si>
  <si>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</si>
  <si>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</si>
  <si>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</si>
  <si>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</si>
  <si>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</si>
  <si>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</si>
  <si>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</si>
  <si>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</si>
  <si>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</si>
  <si>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</si>
  <si>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</si>
  <si>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</si>
  <si>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</si>
  <si>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</si>
  <si>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</si>
  <si>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</si>
  <si>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</si>
  <si>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</si>
  <si>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</si>
  <si>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</si>
  <si>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</si>
  <si>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</si>
  <si>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</si>
  <si>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</si>
  <si>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</si>
  <si>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</si>
  <si>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</si>
  <si>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</si>
  <si>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</si>
  <si>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</si>
  <si>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</si>
  <si>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</si>
  <si>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</si>
  <si>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</si>
  <si>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</si>
  <si>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</si>
  <si>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</si>
  <si>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</si>
  <si>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</si>
  <si>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</si>
  <si>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</si>
  <si>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</si>
  <si>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</si>
  <si>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</si>
  <si>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</si>
  <si>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</si>
  <si>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</si>
  <si>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</si>
  <si>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</si>
  <si>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</si>
  <si>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</si>
  <si>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</si>
  <si>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</si>
  <si>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</si>
  <si>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</si>
  <si>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</si>
  <si>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</si>
  <si>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</si>
  <si>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</si>
  <si>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</si>
  <si>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</si>
  <si>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</si>
  <si>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</si>
  <si>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</si>
  <si>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</si>
  <si>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</si>
  <si>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</si>
  <si>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</si>
  <si>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</si>
  <si>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</si>
  <si>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</si>
  <si>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</si>
  <si>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</si>
  <si>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</si>
  <si>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</si>
  <si>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</si>
  <si>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</si>
  <si>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</si>
  <si>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</si>
  <si>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</si>
  <si>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</si>
  <si>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</si>
  <si>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</si>
  <si>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</si>
  <si>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</si>
  <si>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</si>
  <si>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</si>
  <si>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</si>
  <si>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</si>
  <si>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</si>
  <si>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</si>
  <si>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</si>
  <si>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</si>
  <si>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</si>
  <si>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</si>
  <si>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</si>
  <si>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</si>
  <si>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</si>
  <si>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</si>
  <si>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</si>
  <si>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</si>
  <si>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</si>
  <si>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</si>
  <si>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</si>
  <si>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</si>
  <si>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</si>
  <si>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</si>
  <si>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</si>
  <si>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</si>
  <si>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</si>
  <si>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</si>
  <si>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</si>
  <si>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</si>
  <si>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</si>
  <si>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</si>
  <si>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</si>
  <si>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</si>
  <si>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</si>
  <si>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</si>
  <si>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</si>
  <si>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</si>
  <si>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</si>
  <si>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</si>
  <si>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</si>
  <si>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</si>
  <si>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</si>
  <si>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</si>
  <si>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</si>
  <si>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</si>
  <si>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</si>
  <si>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</si>
  <si>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</si>
  <si>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</si>
  <si>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</si>
  <si>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</si>
  <si>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</si>
  <si>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</si>
  <si>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</si>
  <si>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</si>
  <si>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</si>
  <si>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</si>
  <si>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</si>
  <si>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</si>
  <si>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</si>
  <si>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</si>
  <si>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</si>
  <si>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</si>
  <si>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</si>
  <si>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</si>
  <si>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</si>
  <si>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</si>
  <si>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</si>
  <si>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</si>
  <si>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</si>
  <si>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</si>
  <si>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</si>
  <si>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</si>
  <si>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</si>
  <si>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</si>
  <si>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</si>
  <si>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</si>
  <si>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</si>
  <si>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</si>
  <si>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</si>
  <si>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</si>
  <si>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</si>
  <si>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</si>
  <si>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</si>
  <si>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</si>
  <si>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</si>
  <si>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</si>
  <si>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</si>
  <si>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</si>
  <si>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</si>
  <si>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</si>
  <si>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</si>
  <si>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</si>
  <si>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</si>
  <si>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</si>
  <si>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</si>
  <si>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</si>
  <si>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</si>
  <si>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</si>
  <si>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</si>
  <si>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</si>
  <si>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</si>
  <si>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</si>
  <si>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</si>
  <si>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</si>
  <si>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</si>
  <si>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</si>
  <si>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</si>
  <si>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</si>
  <si>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</si>
  <si>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</si>
  <si>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</si>
  <si>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</si>
  <si>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</si>
  <si>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</si>
  <si>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</si>
  <si>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</si>
  <si>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</si>
  <si>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</si>
  <si>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</si>
  <si>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</si>
  <si>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</si>
  <si>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</si>
  <si>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</si>
  <si>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</si>
  <si>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</si>
  <si>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</si>
  <si>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</si>
  <si>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</si>
  <si>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</si>
  <si>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</si>
  <si>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</si>
  <si>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</si>
  <si>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</si>
  <si>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</si>
  <si>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</si>
  <si>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</si>
  <si>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</si>
  <si>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</si>
  <si>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</si>
  <si>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</si>
  <si>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</si>
  <si>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</si>
  <si>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</si>
  <si>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</si>
  <si>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</si>
  <si>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</si>
  <si>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</si>
  <si>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</si>
  <si>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</si>
  <si>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</si>
  <si>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</si>
  <si>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</si>
  <si>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</si>
  <si>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</si>
  <si>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</si>
  <si>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</si>
  <si>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</si>
  <si>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</si>
  <si>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</si>
  <si>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</si>
  <si>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</si>
  <si>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</si>
  <si>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</si>
  <si>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</si>
  <si>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</si>
  <si>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</si>
  <si>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</si>
  <si>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</si>
  <si>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</si>
  <si>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</si>
  <si>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</si>
  <si>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</si>
  <si>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</si>
  <si>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</si>
  <si>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</si>
  <si>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</si>
  <si>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</si>
  <si>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</si>
  <si>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</si>
  <si>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</si>
  <si>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</si>
  <si>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</si>
  <si>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</si>
  <si>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</si>
  <si>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</si>
  <si>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</si>
  <si>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</si>
  <si>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</si>
  <si>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</si>
  <si>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</si>
  <si>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</si>
  <si>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</si>
  <si>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</si>
  <si>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</si>
  <si>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</si>
  <si>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</si>
  <si>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</si>
  <si>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</si>
  <si>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</si>
  <si>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</si>
  <si>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</si>
  <si>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</si>
  <si>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</si>
  <si>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</si>
  <si>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</si>
  <si>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</si>
  <si>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</si>
  <si>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</si>
  <si>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</si>
  <si>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</si>
  <si>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</si>
  <si>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</si>
  <si>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</si>
  <si>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</si>
  <si>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</si>
  <si>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</si>
  <si>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</si>
  <si>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</si>
  <si>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</si>
  <si>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</si>
  <si>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</si>
  <si>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</si>
  <si>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</si>
  <si>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</si>
  <si>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</si>
  <si>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</si>
  <si>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</si>
  <si>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</si>
  <si>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</si>
  <si>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</si>
  <si>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</si>
  <si>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</si>
  <si>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</si>
  <si>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</si>
  <si>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</si>
  <si>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</si>
  <si>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</si>
  <si>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</si>
  <si>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</si>
  <si>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</si>
  <si>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</si>
  <si>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</si>
  <si>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</si>
  <si>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</si>
  <si>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</si>
  <si>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</si>
  <si>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</si>
  <si>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</si>
  <si>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</si>
  <si>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</si>
  <si>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</si>
  <si>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</si>
  <si>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</si>
  <si>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</si>
  <si>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</si>
  <si>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</si>
  <si>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</si>
  <si>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</si>
  <si>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</si>
  <si>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</si>
  <si>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</si>
  <si>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</si>
  <si>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</si>
  <si>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</si>
  <si>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</si>
  <si>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</si>
  <si>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</si>
  <si>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</si>
  <si>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</si>
  <si>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</si>
  <si>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</si>
  <si>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</si>
  <si>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</si>
  <si>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</si>
  <si>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</si>
  <si>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</si>
  <si>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</si>
  <si>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</si>
  <si>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</si>
  <si>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</si>
  <si>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</si>
  <si>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</si>
  <si>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</si>
  <si>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</si>
  <si>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</si>
  <si>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</si>
  <si>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</si>
  <si>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</si>
  <si>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</si>
  <si>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</si>
  <si>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</si>
  <si>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</si>
  <si>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</si>
  <si>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</si>
  <si>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</si>
  <si>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</si>
  <si>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</si>
  <si>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</si>
  <si>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</si>
  <si>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</si>
  <si>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</si>
  <si>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</si>
  <si>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</si>
  <si>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</si>
  <si>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</si>
  <si>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</si>
  <si>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</si>
  <si>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</si>
  <si>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</si>
  <si>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</si>
  <si>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</si>
  <si>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</si>
  <si>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</si>
  <si>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</si>
  <si>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</si>
  <si>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</si>
  <si>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</si>
  <si>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</si>
  <si>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</si>
  <si>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</si>
  <si>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</si>
  <si>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</si>
  <si>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</si>
  <si>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</si>
  <si>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</si>
  <si>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</si>
  <si>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</si>
  <si>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</si>
  <si>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</si>
  <si>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</si>
  <si>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</si>
  <si>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</si>
  <si>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</si>
  <si>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</si>
  <si>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</si>
  <si>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</si>
  <si>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</si>
  <si>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</si>
  <si>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</si>
  <si>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</si>
  <si>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</si>
  <si>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</si>
  <si>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</si>
  <si>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</si>
  <si>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</si>
  <si>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</si>
  <si>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</si>
  <si>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</si>
  <si>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</si>
  <si>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</si>
  <si>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</si>
  <si>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</si>
  <si>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</si>
  <si>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</si>
  <si>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</si>
  <si>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</si>
  <si>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</si>
  <si>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</si>
  <si>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</si>
  <si>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</si>
  <si>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</si>
  <si>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</si>
  <si>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</si>
  <si>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</si>
  <si>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</si>
  <si>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</si>
  <si>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</si>
  <si>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</si>
  <si>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</si>
  <si>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</si>
  <si>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</si>
  <si>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</si>
  <si>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</si>
  <si>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</si>
  <si>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</si>
  <si>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</si>
  <si>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</si>
  <si>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</si>
  <si>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</si>
  <si>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</si>
  <si>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</si>
  <si>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</si>
  <si>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</si>
  <si>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</si>
  <si>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</si>
  <si>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</si>
  <si>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</si>
  <si>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</si>
  <si>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</si>
  <si>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</si>
  <si>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</si>
  <si>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</si>
  <si>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</si>
  <si>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</si>
  <si>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</si>
  <si>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</si>
  <si>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</si>
  <si>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</si>
  <si>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</si>
  <si>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</si>
  <si>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</si>
  <si>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</si>
  <si>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</si>
  <si>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</si>
  <si>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</si>
  <si>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</si>
  <si>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</si>
  <si>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</si>
  <si>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</si>
  <si>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</si>
  <si>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</si>
  <si>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</si>
  <si>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</si>
  <si>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</si>
  <si>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</si>
  <si>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</si>
  <si>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</si>
  <si>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</si>
  <si>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</si>
  <si>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</si>
  <si>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</si>
  <si>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</si>
  <si>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</si>
  <si>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</si>
  <si>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</si>
  <si>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</si>
  <si>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</si>
  <si>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</si>
  <si>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</si>
  <si>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</si>
  <si>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</si>
  <si>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</si>
  <si>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</si>
  <si>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</si>
  <si>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</si>
  <si>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</si>
  <si>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</si>
  <si>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</si>
  <si>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</si>
  <si>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</si>
  <si>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</si>
  <si>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</si>
  <si>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</si>
  <si>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</si>
  <si>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</si>
  <si>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</si>
  <si>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</si>
  <si>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</si>
  <si>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</si>
  <si>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</si>
  <si>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</si>
  <si>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</si>
  <si>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</si>
  <si>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</si>
  <si>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</si>
  <si>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</si>
  <si>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</si>
  <si>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</si>
  <si>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</si>
  <si>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</si>
  <si>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</si>
  <si>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</si>
  <si>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</si>
  <si>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</si>
  <si>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</si>
  <si>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</si>
  <si>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</si>
  <si>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</si>
  <si>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</si>
  <si>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</si>
  <si>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</si>
  <si>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</si>
  <si>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</si>
  <si>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</si>
  <si>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</si>
  <si>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</si>
  <si>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</si>
  <si>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</si>
  <si>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</si>
  <si>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</si>
  <si>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</si>
  <si>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</si>
  <si>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</si>
  <si>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</si>
  <si>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</si>
  <si>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</si>
  <si>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</si>
  <si>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</si>
  <si>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</si>
  <si>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</si>
  <si>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</si>
  <si>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</si>
  <si>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</si>
  <si>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</si>
  <si>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</si>
  <si>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</si>
  <si>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</si>
  <si>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</si>
  <si>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</si>
  <si>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</si>
  <si>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</si>
  <si>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</si>
  <si>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</si>
  <si>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</si>
  <si>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</si>
  <si>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</si>
  <si>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</si>
  <si>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</si>
  <si>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</si>
  <si>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</si>
  <si>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</si>
  <si>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</si>
  <si>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</si>
  <si>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</si>
  <si>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</si>
  <si>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</si>
  <si>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</si>
  <si>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</si>
  <si>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</si>
  <si>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</si>
  <si>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</si>
  <si>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</si>
  <si>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</si>
  <si>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</si>
  <si>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</si>
  <si>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</si>
  <si>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</si>
  <si>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</si>
  <si>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</si>
  <si>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</si>
  <si>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</si>
  <si>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</si>
  <si>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</si>
  <si>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</si>
  <si>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</si>
  <si>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</si>
  <si>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</si>
  <si>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</si>
  <si>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</si>
  <si>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</si>
  <si>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</si>
  <si>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</si>
  <si>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</si>
  <si>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</si>
  <si>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</si>
  <si>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</si>
  <si>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</si>
  <si>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</si>
  <si>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</si>
  <si>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</si>
  <si>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</si>
  <si>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</si>
  <si>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</si>
  <si>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</si>
  <si>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</si>
  <si>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</si>
  <si>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</si>
  <si>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</si>
  <si>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</si>
  <si>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</si>
  <si>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</si>
  <si>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</si>
  <si>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</si>
  <si>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</si>
  <si>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</si>
  <si>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</si>
  <si>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</si>
  <si>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</si>
  <si>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</si>
  <si>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</si>
  <si>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</si>
  <si>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</si>
  <si>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</si>
  <si>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</si>
  <si>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</si>
  <si>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</si>
  <si>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</si>
  <si>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</si>
  <si>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</si>
  <si>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</si>
  <si>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</si>
  <si>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</si>
  <si>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</si>
  <si>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</si>
  <si>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</si>
  <si>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</si>
  <si>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</si>
  <si>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</si>
  <si>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</si>
  <si>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</si>
  <si>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</si>
  <si>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</si>
  <si>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</si>
  <si>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</si>
  <si>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</si>
  <si>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</si>
  <si>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</si>
  <si>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</si>
  <si>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</si>
  <si>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</si>
  <si>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</si>
  <si>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</si>
  <si>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</si>
  <si>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</si>
  <si>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</si>
  <si>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</si>
  <si>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</si>
  <si>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</si>
  <si>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</si>
  <si>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</si>
  <si>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</si>
  <si>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</si>
  <si>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</si>
  <si>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</si>
  <si>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</si>
  <si>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</si>
  <si>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</si>
  <si>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</si>
  <si>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</si>
  <si>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</si>
  <si>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</si>
  <si>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</si>
  <si>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</si>
  <si>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</si>
  <si>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</si>
  <si>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</si>
  <si>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</si>
  <si>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</si>
  <si>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</si>
  <si>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</si>
  <si>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</si>
  <si>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</si>
  <si>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</si>
  <si>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</si>
  <si>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</si>
  <si>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</si>
  <si>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</si>
  <si>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</si>
  <si>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</si>
  <si>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</si>
  <si>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</si>
  <si>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</si>
  <si>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</si>
  <si>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</si>
  <si>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</si>
  <si>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</si>
  <si>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</si>
  <si>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</si>
  <si>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</si>
  <si>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</si>
  <si>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</si>
  <si>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</si>
  <si>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</si>
  <si>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</si>
  <si>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</si>
  <si>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</si>
  <si>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</si>
  <si>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</si>
  <si>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</si>
  <si>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</si>
  <si>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</si>
  <si>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</si>
  <si>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</si>
  <si>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</si>
  <si>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</si>
  <si>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</si>
  <si>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</si>
  <si>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</si>
  <si>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</si>
  <si>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</si>
  <si>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</si>
  <si>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</si>
  <si>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</si>
  <si>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</si>
  <si>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</si>
  <si>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</si>
  <si>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</si>
  <si>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</si>
  <si>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</si>
  <si>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</si>
  <si>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</si>
  <si>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</si>
  <si>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</si>
  <si>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</si>
  <si>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</si>
  <si>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</si>
  <si>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</si>
  <si>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</si>
  <si>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</si>
  <si>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</si>
  <si>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</si>
  <si>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</si>
  <si>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</si>
  <si>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</si>
  <si>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</si>
  <si>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</si>
  <si>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</si>
  <si>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</si>
  <si>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</si>
  <si>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</si>
  <si>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</si>
  <si>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</si>
  <si>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</si>
  <si>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</si>
  <si>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</si>
  <si>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</si>
  <si>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</si>
  <si>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</si>
  <si>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</si>
  <si>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</si>
  <si>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</si>
  <si>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</si>
  <si>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</si>
  <si>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</si>
  <si>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</si>
  <si>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</si>
  <si>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</si>
  <si>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</si>
  <si>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</si>
  <si>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</si>
  <si>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</si>
  <si>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</si>
  <si>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</si>
  <si>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</si>
  <si>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</si>
  <si>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</si>
  <si>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</si>
  <si>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</si>
  <si>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</si>
  <si>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</si>
  <si>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</si>
  <si>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</si>
  <si>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</si>
  <si>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</si>
  <si>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</si>
  <si>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</si>
  <si>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</si>
  <si>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</si>
  <si>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</si>
  <si>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</si>
  <si>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</si>
  <si>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</si>
  <si>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</si>
  <si>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</si>
  <si>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</si>
  <si>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</si>
  <si>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</si>
  <si>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</si>
  <si>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</si>
  <si>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</si>
  <si>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</si>
  <si>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</si>
  <si>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</si>
  <si>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</si>
  <si>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</si>
  <si>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</si>
  <si>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</si>
  <si>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</si>
  <si>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</si>
  <si>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</si>
  <si>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</si>
  <si>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</si>
  <si>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</si>
  <si>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</si>
  <si>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</si>
  <si>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</si>
  <si>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</si>
  <si>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</si>
  <si>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</si>
  <si>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</si>
  <si>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</si>
  <si>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</si>
  <si>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</si>
  <si>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</si>
  <si>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</si>
  <si>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</si>
  <si>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</si>
  <si>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</si>
  <si>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</si>
  <si>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</si>
  <si>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</si>
  <si>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</si>
  <si>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</si>
  <si>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</si>
  <si>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</si>
  <si>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</si>
  <si>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</si>
  <si>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</si>
  <si>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</si>
  <si>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</si>
  <si>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</si>
  <si>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</si>
  <si>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</si>
  <si>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</si>
  <si>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</si>
  <si>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</si>
  <si>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</si>
  <si>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</si>
  <si>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</si>
  <si>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</si>
  <si>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</si>
  <si>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</si>
  <si>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</si>
  <si>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</si>
  <si>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</si>
  <si>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</si>
  <si>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</si>
  <si>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</si>
  <si>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</si>
  <si>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</si>
  <si>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</si>
  <si>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</si>
  <si>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</si>
  <si>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</si>
  <si>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</si>
  <si>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</si>
  <si>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</si>
  <si>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</si>
  <si>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</si>
  <si>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</si>
  <si>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</si>
  <si>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</si>
  <si>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</si>
  <si>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</si>
  <si>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</si>
  <si>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</si>
  <si>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</si>
  <si>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</si>
  <si>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</si>
  <si>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</si>
  <si>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</si>
  <si>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</si>
  <si>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</si>
  <si>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</si>
  <si>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</si>
  <si>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</si>
  <si>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</si>
  <si>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</si>
  <si>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</si>
  <si>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</si>
  <si>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</si>
  <si>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</si>
  <si>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</si>
  <si>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</si>
  <si>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</si>
  <si>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</si>
  <si>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</si>
  <si>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</si>
  <si>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</si>
  <si>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</si>
  <si>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</si>
  <si>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</si>
  <si>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</si>
  <si>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</si>
  <si>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</si>
  <si>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</si>
  <si>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</si>
  <si>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</si>
  <si>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</si>
  <si>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</si>
  <si>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</si>
  <si>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</si>
  <si>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</si>
  <si>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</si>
  <si>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</si>
  <si>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</si>
  <si>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</si>
  <si>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</si>
  <si>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</si>
  <si>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</si>
  <si>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</si>
  <si>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</si>
  <si>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</si>
  <si>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</si>
  <si>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</si>
  <si>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</si>
  <si>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</si>
  <si>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</si>
  <si>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</si>
  <si>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</si>
  <si>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</si>
  <si>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</si>
  <si>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</si>
  <si>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</si>
  <si>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</si>
  <si>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</si>
  <si>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</si>
  <si>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</si>
  <si>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</si>
  <si>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</si>
  <si>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</si>
  <si>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</si>
  <si>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</si>
  <si>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</si>
  <si>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</si>
  <si>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</si>
  <si>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</si>
  <si>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</si>
  <si>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</si>
  <si>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</si>
  <si>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</si>
  <si>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</si>
  <si>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</si>
  <si>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</si>
  <si>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</si>
  <si>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</si>
  <si>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</si>
  <si>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</si>
  <si>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</si>
  <si>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</si>
  <si>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</si>
  <si>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</si>
  <si>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</si>
  <si>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</si>
  <si>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</si>
  <si>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</si>
  <si>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</si>
  <si>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</si>
  <si>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</si>
  <si>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</si>
  <si>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</si>
  <si>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</si>
  <si>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</si>
  <si>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</si>
  <si>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</si>
  <si>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</si>
  <si>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</si>
  <si>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</si>
  <si>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</si>
  <si>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</si>
  <si>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</si>
  <si>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</si>
  <si>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</si>
  <si>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</si>
  <si>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</si>
  <si>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</si>
  <si>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</si>
  <si>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</si>
  <si>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</si>
  <si>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</si>
  <si>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</si>
  <si>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</si>
  <si>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</si>
  <si>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</si>
  <si>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</si>
  <si>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</si>
  <si>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</si>
  <si>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</si>
  <si>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</si>
  <si>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</si>
  <si>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</si>
  <si>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</si>
  <si>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</si>
  <si>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</si>
  <si>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</si>
  <si>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</si>
  <si>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</si>
  <si>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</si>
  <si>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</si>
  <si>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</si>
  <si>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</si>
  <si>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</si>
  <si>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</si>
  <si>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</si>
  <si>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</si>
  <si>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</si>
  <si>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</si>
  <si>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</si>
  <si>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</si>
  <si>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</si>
  <si>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</si>
  <si>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</si>
  <si>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</si>
  <si>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</si>
  <si>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</si>
  <si>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</si>
  <si>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</si>
  <si>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</si>
  <si>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</si>
  <si>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</si>
  <si>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</si>
  <si>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</si>
  <si>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</si>
  <si>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</si>
  <si>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</si>
  <si>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</si>
  <si>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</si>
  <si>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</si>
  <si>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</si>
  <si>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</si>
  <si>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</si>
  <si>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</si>
  <si>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</si>
  <si>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</si>
  <si>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</si>
  <si>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</si>
  <si>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</si>
  <si>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</si>
  <si>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</si>
  <si>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</si>
  <si>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</si>
  <si>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</si>
  <si>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</si>
  <si>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</si>
  <si>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</si>
  <si>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</si>
  <si>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</si>
  <si>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</si>
  <si>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</si>
  <si>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</si>
  <si>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</si>
  <si>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</si>
  <si>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</si>
  <si>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</si>
  <si>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</si>
  <si>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</si>
  <si>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</si>
  <si>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</si>
  <si>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</si>
  <si>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</si>
  <si>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</si>
  <si>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</si>
  <si>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</si>
  <si>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</si>
  <si>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</si>
  <si>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</si>
  <si>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</si>
  <si>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</si>
  <si>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</si>
  <si>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</si>
  <si>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</si>
  <si>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</si>
  <si>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</si>
  <si>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</si>
  <si>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</si>
  <si>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</si>
  <si>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</si>
  <si>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</si>
  <si>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</si>
  <si>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</si>
  <si>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</si>
  <si>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</si>
  <si>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</si>
  <si>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</si>
  <si>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</si>
  <si>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</si>
  <si>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</si>
  <si>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</si>
  <si>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</si>
  <si>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</si>
  <si>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</si>
  <si>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</si>
  <si>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</si>
  <si>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</si>
  <si>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</si>
  <si>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</si>
  <si>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</si>
  <si>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</si>
  <si>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</si>
  <si>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</si>
  <si>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</si>
  <si>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</si>
  <si>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</si>
  <si>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</si>
  <si>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</si>
  <si>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</si>
  <si>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</si>
  <si>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</si>
  <si>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</si>
  <si>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</si>
  <si>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</si>
  <si>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</si>
  <si>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</si>
  <si>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</si>
  <si>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</si>
  <si>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</si>
  <si>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</si>
  <si>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</si>
  <si>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</si>
  <si>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</si>
  <si>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</si>
  <si>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</si>
  <si>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</si>
  <si>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</si>
  <si>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</si>
  <si>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</si>
  <si>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</si>
  <si>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</si>
  <si>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</si>
  <si>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</si>
  <si>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</si>
  <si>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</si>
  <si>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</si>
  <si>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</si>
  <si>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</si>
  <si>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</si>
  <si>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</si>
  <si>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</si>
  <si>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</si>
  <si>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</si>
  <si>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</si>
  <si>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</si>
  <si>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</si>
  <si>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</si>
  <si>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</si>
  <si>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</si>
  <si>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</si>
  <si>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</si>
  <si>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</si>
  <si>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</si>
  <si>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</si>
  <si>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</si>
  <si>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</si>
  <si>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</si>
  <si>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</si>
  <si>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</si>
  <si>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</si>
  <si>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</si>
  <si>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</si>
  <si>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</si>
  <si>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</si>
  <si>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</si>
  <si>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</si>
  <si>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</si>
  <si>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</si>
  <si>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</si>
  <si>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</si>
  <si>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</si>
  <si>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</si>
  <si>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</si>
  <si>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</si>
  <si>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</si>
  <si>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</si>
  <si>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</si>
  <si>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</si>
  <si>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</si>
  <si>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</si>
  <si>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</si>
  <si>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</si>
  <si>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</si>
  <si>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</si>
  <si>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</si>
  <si>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</si>
  <si>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</si>
  <si>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</si>
  <si>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</si>
  <si>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</si>
  <si>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</si>
  <si>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</si>
  <si>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</si>
  <si>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</si>
  <si>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</si>
  <si>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</si>
  <si>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</si>
  <si>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</si>
  <si>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</si>
  <si>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</si>
  <si>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</si>
  <si>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</si>
  <si>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</si>
  <si>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</si>
  <si>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</si>
  <si>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</si>
  <si>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</si>
  <si>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</si>
  <si>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</si>
  <si>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</si>
  <si>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</si>
  <si>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</si>
  <si>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</si>
  <si>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</si>
  <si>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</si>
  <si>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</si>
  <si>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</si>
  <si>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</si>
  <si>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</si>
  <si>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</si>
  <si>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</si>
  <si>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</si>
  <si>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</si>
  <si>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</si>
  <si>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</si>
  <si>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</si>
  <si>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</si>
  <si>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</si>
  <si>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</si>
  <si>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</si>
  <si>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</si>
  <si>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</si>
  <si>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</si>
  <si>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</si>
  <si>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</si>
  <si>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</si>
  <si>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</si>
  <si>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</si>
  <si>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</si>
  <si>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</si>
  <si>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</si>
  <si>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</si>
  <si>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</si>
  <si>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</si>
  <si>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</si>
  <si>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</si>
  <si>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</si>
  <si>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</si>
  <si>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</si>
  <si>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</si>
  <si>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</si>
  <si>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</si>
  <si>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</si>
  <si>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</si>
  <si>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</si>
  <si>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</si>
  <si>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</si>
  <si>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</si>
  <si>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</si>
  <si>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</si>
  <si>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</si>
  <si>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</si>
  <si>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</si>
  <si>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</si>
  <si>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</si>
  <si>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</si>
  <si>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</si>
  <si>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</si>
  <si>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</si>
  <si>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</si>
  <si>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</si>
  <si>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</si>
  <si>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</si>
  <si>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</si>
  <si>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</si>
  <si>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</si>
  <si>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</si>
  <si>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</si>
  <si>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</si>
  <si>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</si>
  <si>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</si>
  <si>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</si>
  <si>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</si>
  <si>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</si>
  <si>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</si>
  <si>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</si>
  <si>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</si>
  <si>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</si>
  <si>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</si>
  <si>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</si>
  <si>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</si>
  <si>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</si>
  <si>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</si>
  <si>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</si>
  <si>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</si>
  <si>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</si>
  <si>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</si>
  <si>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</si>
  <si>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</si>
  <si>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</si>
  <si>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</si>
  <si>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</si>
  <si>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</si>
  <si>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</si>
  <si>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</si>
  <si>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</si>
  <si>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</si>
  <si>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</si>
  <si>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</si>
  <si>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</si>
  <si>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</si>
  <si>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</si>
  <si>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</si>
  <si>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</si>
  <si>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</si>
  <si>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</si>
  <si>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</si>
  <si>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</si>
  <si>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</si>
  <si>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</si>
  <si>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</si>
  <si>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</si>
  <si>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</si>
  <si>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</si>
  <si>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</si>
  <si>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</si>
  <si>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</si>
  <si>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</si>
  <si>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</si>
  <si>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</si>
  <si>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</si>
  <si>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</si>
  <si>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</si>
  <si>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</si>
  <si>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</si>
  <si>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</si>
  <si>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</si>
  <si>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</si>
  <si>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</si>
  <si>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</si>
  <si>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</si>
  <si>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</si>
  <si>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</si>
  <si>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</si>
  <si>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</si>
  <si>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</si>
  <si>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</si>
  <si>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</si>
  <si>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</si>
  <si>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</si>
  <si>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</si>
  <si>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</si>
  <si>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</si>
  <si>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</si>
  <si>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</si>
  <si>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</si>
  <si>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</si>
  <si>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</si>
  <si>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</si>
  <si>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</si>
  <si>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</si>
  <si>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</si>
  <si>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</si>
  <si>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</si>
  <si>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</si>
  <si>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</si>
  <si>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</si>
  <si>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</si>
  <si>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</si>
  <si>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</si>
  <si>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</si>
  <si>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</si>
  <si>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</si>
  <si>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</si>
  <si>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</si>
  <si>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</si>
  <si>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</si>
  <si>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</si>
  <si>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</si>
  <si>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</si>
  <si>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</si>
  <si>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</si>
  <si>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</si>
  <si>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</si>
  <si>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</si>
  <si>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</si>
  <si>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</si>
  <si>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</si>
  <si>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</si>
  <si>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</si>
  <si>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</si>
  <si>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</si>
  <si>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</si>
  <si>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</si>
  <si>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</si>
  <si>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</si>
  <si>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</si>
  <si>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</si>
  <si>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</si>
  <si>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</si>
  <si>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</si>
  <si>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</si>
  <si>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</si>
  <si>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</si>
  <si>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</si>
  <si>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</si>
  <si>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</si>
  <si>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</si>
  <si>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</si>
  <si>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</si>
  <si>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</si>
  <si>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</si>
  <si>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</si>
  <si>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</si>
  <si>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</si>
  <si>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</si>
  <si>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</si>
  <si>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</si>
  <si>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</si>
  <si>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</si>
  <si>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</si>
  <si>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</si>
  <si>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</si>
  <si>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</si>
  <si>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</si>
  <si>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</si>
  <si>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</si>
  <si>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</si>
  <si>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</si>
  <si>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</si>
  <si>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</si>
  <si>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</si>
  <si>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</si>
  <si>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</si>
  <si>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</si>
  <si>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</si>
  <si>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</si>
  <si>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</si>
  <si>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</si>
  <si>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</si>
  <si>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</si>
  <si>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</si>
  <si>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</si>
  <si>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</si>
  <si>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</si>
  <si>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</si>
  <si>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</si>
  <si>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</si>
  <si>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</si>
  <si>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</si>
  <si>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</si>
  <si>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</si>
  <si>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</si>
  <si>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</si>
  <si>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</si>
  <si>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</si>
  <si>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</si>
  <si>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</si>
  <si>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</si>
  <si>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</si>
  <si>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</si>
  <si>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</si>
  <si>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</si>
  <si>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</si>
  <si>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</si>
  <si>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</si>
  <si>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</si>
  <si>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</si>
  <si>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</si>
  <si>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</si>
  <si>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</si>
  <si>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</si>
  <si>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</si>
  <si>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</si>
  <si>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</si>
  <si>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</si>
  <si>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</si>
  <si>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</si>
  <si>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</si>
  <si>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</si>
  <si>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</si>
  <si>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</si>
  <si>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</si>
  <si>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</si>
  <si>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</si>
  <si>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</si>
  <si>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</si>
  <si>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</si>
  <si>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</si>
  <si>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</si>
  <si>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</si>
  <si>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</si>
  <si>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</si>
  <si>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</si>
  <si>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</si>
  <si>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</si>
  <si>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</si>
  <si>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</si>
  <si>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</si>
  <si>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</si>
  <si>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</si>
  <si>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</si>
  <si>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</si>
  <si>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</si>
  <si>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</si>
  <si>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</si>
  <si>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</si>
  <si>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</si>
  <si>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</si>
  <si>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</si>
  <si>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</si>
  <si>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</si>
  <si>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</si>
  <si>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</si>
  <si>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</si>
  <si>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</si>
  <si>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</si>
  <si>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</si>
  <si>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</si>
  <si>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</si>
  <si>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</si>
  <si>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</si>
  <si>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</si>
  <si>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</si>
  <si>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</si>
  <si>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</si>
  <si>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</si>
  <si>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</si>
  <si>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</si>
  <si>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</si>
  <si>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</si>
  <si>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</si>
  <si>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</si>
  <si>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</si>
  <si>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</si>
  <si>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</si>
  <si>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</si>
  <si>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</si>
  <si>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</si>
  <si>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</si>
  <si>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</si>
  <si>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</si>
  <si>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</si>
  <si>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</si>
  <si>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</si>
  <si>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</si>
  <si>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</si>
  <si>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</si>
  <si>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</si>
  <si>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</si>
  <si>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</si>
  <si>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</si>
  <si>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</si>
  <si>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</si>
  <si>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</si>
  <si>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</si>
  <si>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</si>
  <si>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</si>
  <si>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</si>
  <si>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</si>
  <si>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</si>
  <si>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</si>
  <si>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</si>
  <si>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</si>
  <si>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</si>
  <si>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</si>
  <si>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</si>
  <si>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</si>
  <si>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</si>
  <si>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</si>
  <si>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</si>
  <si>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</si>
  <si>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</si>
  <si>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</si>
  <si>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</si>
  <si>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</si>
  <si>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</si>
  <si>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</si>
  <si>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</si>
  <si>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</si>
  <si>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</si>
  <si>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</si>
  <si>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</si>
  <si>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</si>
  <si>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</si>
  <si>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</si>
  <si>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</si>
  <si>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</si>
  <si>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</si>
  <si>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</si>
  <si>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</si>
  <si>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</si>
  <si>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</si>
  <si>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</si>
  <si>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</si>
  <si>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</si>
  <si>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</si>
  <si>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</si>
  <si>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</si>
  <si>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</si>
  <si>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</si>
  <si>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</si>
  <si>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</si>
  <si>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</si>
  <si>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</si>
  <si>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</si>
  <si>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</si>
  <si>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</si>
  <si>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</si>
  <si>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</si>
  <si>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</si>
  <si>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</si>
  <si>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</si>
  <si>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</si>
  <si>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</si>
  <si>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</si>
  <si>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</si>
  <si>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</si>
  <si>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</si>
  <si>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</si>
  <si>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</si>
  <si>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</si>
  <si>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</si>
  <si>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</si>
  <si>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</si>
  <si>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</si>
  <si>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</si>
  <si>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</si>
  <si>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</si>
  <si>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</si>
  <si>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</si>
  <si>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</si>
  <si>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</si>
  <si>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</si>
  <si>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</si>
  <si>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</si>
  <si>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</si>
  <si>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</si>
  <si>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</si>
  <si>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</si>
  <si>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</si>
  <si>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</si>
  <si>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</si>
  <si>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</si>
  <si>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</si>
  <si>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</si>
  <si>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</si>
  <si>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</si>
  <si>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</si>
  <si>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</si>
  <si>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</si>
  <si>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</si>
  <si>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</si>
  <si>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</si>
  <si>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</si>
  <si>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</si>
  <si>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</si>
  <si>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</si>
  <si>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</si>
  <si>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</si>
  <si>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</si>
  <si>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</si>
  <si>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</si>
  <si>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</si>
  <si>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</si>
  <si>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</si>
  <si>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</si>
  <si>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</si>
  <si>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</si>
  <si>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</si>
  <si>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</si>
  <si>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</si>
  <si>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</si>
  <si>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</si>
  <si>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</si>
  <si>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</si>
  <si>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</si>
  <si>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</si>
  <si>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</si>
  <si>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</si>
  <si>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</si>
  <si>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</si>
  <si>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</si>
  <si>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</si>
  <si>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</si>
  <si>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</si>
  <si>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</si>
  <si>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</si>
  <si>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</si>
  <si>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</si>
  <si>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</si>
  <si>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</si>
  <si>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</si>
  <si>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</si>
  <si>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</si>
  <si>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</si>
  <si>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</si>
  <si>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</si>
  <si>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</si>
  <si>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</si>
  <si>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</si>
  <si>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</si>
  <si>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</si>
  <si>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</si>
  <si>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</si>
  <si>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</si>
  <si>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</si>
  <si>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</si>
  <si>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</si>
  <si>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</si>
  <si>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</si>
  <si>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</si>
  <si>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</si>
  <si>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</si>
  <si>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</si>
  <si>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</si>
  <si>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</si>
  <si>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</si>
  <si>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</si>
  <si>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</si>
  <si>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</si>
  <si>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</si>
  <si>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</si>
  <si>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</si>
  <si>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</si>
  <si>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</si>
  <si>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</si>
  <si>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</si>
  <si>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</si>
  <si>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</si>
  <si>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</si>
  <si>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</si>
  <si>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</si>
  <si>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</si>
  <si>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</si>
  <si>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</si>
  <si>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</si>
  <si>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</si>
  <si>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</si>
  <si>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</si>
  <si>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</si>
  <si>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</si>
  <si>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</si>
  <si>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</si>
  <si>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</si>
  <si>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</si>
  <si>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</si>
  <si>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</si>
  <si>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</si>
  <si>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</si>
  <si>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</si>
  <si>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</si>
  <si>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</si>
  <si>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</si>
  <si>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</si>
  <si>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</si>
  <si>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</si>
  <si>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</si>
  <si>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</si>
  <si>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</si>
  <si>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</si>
  <si>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</si>
  <si>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</si>
  <si>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</si>
  <si>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</si>
  <si>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</si>
  <si>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</si>
  <si>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</si>
  <si>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</si>
  <si>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</si>
  <si>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</si>
  <si>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</si>
  <si>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</si>
  <si>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</si>
  <si>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</si>
  <si>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</si>
  <si>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</si>
  <si>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</si>
  <si>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</si>
  <si>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</si>
  <si>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</si>
  <si>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</si>
  <si>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</si>
  <si>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</si>
  <si>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</si>
  <si>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</si>
  <si>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</si>
  <si>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</si>
  <si>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</si>
  <si>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</si>
  <si>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</si>
  <si>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</si>
  <si>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</si>
  <si>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</si>
  <si>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</si>
  <si>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</si>
  <si>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</si>
  <si>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</si>
  <si>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</si>
  <si>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</si>
  <si>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</si>
  <si>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</si>
  <si>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</si>
  <si>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</si>
  <si>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</si>
  <si>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</si>
  <si>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</si>
  <si>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</si>
  <si>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</si>
  <si>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</si>
  <si>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</si>
  <si>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</si>
  <si>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</si>
  <si>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</si>
  <si>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</si>
  <si>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</si>
  <si>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</si>
  <si>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</si>
  <si>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</si>
  <si>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</si>
  <si>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</si>
  <si>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</si>
  <si>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</si>
  <si>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</si>
  <si>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</si>
  <si>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</si>
  <si>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</si>
  <si>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</si>
  <si>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</si>
  <si>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</si>
  <si>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</si>
  <si>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</si>
  <si>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</si>
  <si>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</si>
  <si>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</si>
  <si>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</si>
  <si>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</si>
  <si>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</si>
  <si>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</si>
  <si>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</si>
  <si>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</si>
  <si>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</si>
  <si>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</si>
  <si>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</si>
  <si>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</si>
  <si>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</si>
  <si>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</si>
  <si>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</si>
  <si>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</si>
  <si>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</si>
  <si>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</si>
  <si>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</si>
  <si>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</si>
  <si>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</si>
  <si>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</si>
  <si>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</si>
  <si>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</si>
  <si>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</si>
  <si>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</si>
  <si>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</si>
  <si>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</si>
  <si>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</si>
  <si>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</si>
  <si>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</si>
  <si>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</si>
  <si>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</si>
  <si>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</si>
  <si>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</si>
  <si>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</si>
  <si>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</si>
  <si>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</si>
  <si>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</si>
  <si>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</si>
  <si>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</si>
  <si>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</si>
  <si>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</si>
  <si>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</si>
  <si>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</si>
  <si>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</si>
  <si>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</si>
  <si>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</si>
  <si>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</si>
  <si>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</si>
  <si>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</si>
  <si>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</si>
  <si>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</si>
  <si>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</si>
  <si>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</si>
  <si>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</si>
  <si>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</si>
  <si>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</si>
  <si>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</si>
  <si>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</si>
  <si>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</si>
  <si>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</si>
  <si>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</si>
  <si>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</si>
  <si>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</si>
  <si>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</si>
  <si>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</si>
  <si>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</si>
  <si>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</si>
  <si>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</si>
  <si>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</si>
  <si>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</si>
  <si>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</si>
  <si>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</si>
  <si>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</si>
  <si>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</si>
  <si>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</si>
  <si>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</si>
  <si>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</si>
  <si>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</si>
  <si>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</si>
  <si>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</si>
  <si>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</si>
  <si>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</si>
  <si>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</si>
  <si>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</si>
  <si>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</si>
  <si>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</si>
  <si>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</si>
  <si>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</si>
  <si>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</si>
  <si>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</si>
  <si>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</si>
  <si>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</si>
  <si>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</si>
  <si>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</si>
  <si>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</si>
  <si>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</si>
  <si>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</si>
  <si>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</si>
  <si>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</si>
  <si>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</si>
  <si>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</si>
  <si>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</si>
  <si>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</si>
  <si>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</si>
  <si>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</si>
  <si>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</si>
  <si>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</si>
  <si>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</si>
  <si>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</si>
  <si>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</si>
  <si>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</si>
  <si>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</si>
  <si>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</si>
  <si>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</si>
  <si>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</si>
  <si>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</si>
  <si>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</si>
  <si>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</si>
  <si>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</si>
  <si>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</si>
  <si>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</si>
  <si>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</si>
  <si>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</si>
  <si>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</si>
  <si>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</si>
  <si>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</si>
  <si>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</si>
  <si>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</si>
  <si>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</si>
  <si>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</si>
  <si>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</si>
  <si>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</si>
  <si>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</si>
  <si>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</si>
  <si>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</si>
  <si>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</si>
  <si>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</si>
  <si>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</si>
  <si>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</si>
  <si>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</si>
  <si>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</si>
  <si>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</si>
  <si>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</si>
  <si>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</si>
  <si>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</si>
  <si>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</si>
  <si>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</si>
  <si>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</si>
  <si>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</si>
  <si>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</si>
  <si>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</si>
  <si>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</si>
  <si>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</si>
  <si>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</si>
  <si>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</si>
  <si>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</si>
  <si>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</si>
  <si>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</si>
  <si>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</si>
  <si>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</si>
  <si>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</si>
  <si>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</si>
  <si>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</si>
  <si>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</si>
  <si>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</si>
  <si>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</si>
  <si>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</si>
  <si>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</si>
  <si>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</si>
  <si>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</si>
  <si>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</si>
  <si>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</si>
  <si>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</si>
  <si>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</si>
  <si>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</si>
  <si>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</si>
  <si>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</si>
  <si>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</si>
  <si>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</si>
  <si>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</si>
  <si>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</si>
  <si>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</si>
  <si>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</si>
  <si>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</si>
  <si>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</si>
  <si>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</si>
  <si>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</si>
  <si>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</si>
  <si>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</si>
  <si>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</si>
  <si>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</si>
  <si>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</si>
  <si>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</si>
  <si>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</si>
  <si>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</si>
  <si>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</si>
  <si>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</si>
  <si>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</si>
  <si>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</si>
  <si>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</si>
  <si>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</si>
  <si>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</si>
  <si>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</si>
  <si>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</si>
  <si>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</si>
  <si>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</si>
  <si>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</si>
  <si>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</si>
  <si>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</si>
  <si>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</si>
  <si>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</si>
  <si>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</si>
  <si>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</si>
  <si>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</si>
  <si>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</si>
  <si>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</si>
  <si>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</si>
  <si>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</si>
  <si>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</si>
  <si>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</si>
  <si>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</si>
  <si>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</si>
  <si>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</si>
  <si>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</si>
  <si>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</si>
  <si>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</si>
  <si>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</si>
  <si>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</si>
  <si>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</si>
  <si>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</si>
  <si>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</si>
  <si>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</si>
  <si>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</si>
  <si>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</si>
  <si>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</si>
  <si>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</si>
  <si>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</si>
  <si>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</si>
  <si>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</si>
  <si>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</si>
  <si>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</si>
  <si>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</si>
  <si>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</si>
  <si>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</si>
  <si>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</si>
  <si>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</si>
  <si>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</si>
  <si>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</si>
  <si>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</si>
  <si>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</si>
  <si>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</si>
  <si>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</si>
  <si>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</si>
  <si>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</si>
  <si>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</si>
  <si>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</si>
  <si>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</si>
  <si>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</si>
  <si>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</si>
  <si>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</si>
  <si>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</si>
  <si>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</si>
  <si>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</si>
  <si>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</si>
  <si>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</si>
  <si>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</si>
  <si>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</si>
  <si>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</si>
  <si>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</si>
  <si>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</si>
  <si>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</si>
  <si>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</si>
  <si>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</si>
  <si>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</si>
  <si>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</si>
  <si>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</si>
  <si>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</si>
  <si>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</si>
  <si>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</si>
  <si>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</si>
  <si>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</si>
  <si>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</si>
  <si>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</si>
  <si>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</si>
  <si>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</si>
  <si>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</si>
  <si>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</si>
  <si>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</si>
  <si>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</si>
  <si>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</si>
  <si>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</si>
  <si>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</si>
  <si>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</si>
  <si>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</si>
  <si>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</si>
  <si>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</si>
  <si>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</si>
  <si>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</si>
  <si>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</si>
  <si>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</si>
  <si>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</si>
  <si>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</si>
  <si>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</si>
  <si>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</si>
  <si>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</si>
  <si>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</si>
  <si>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</si>
  <si>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</si>
  <si>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</si>
  <si>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</si>
  <si>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</si>
  <si>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</si>
  <si>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</si>
  <si>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</si>
  <si>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</si>
  <si>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</si>
  <si>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</si>
  <si>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</si>
  <si>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</si>
  <si>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</si>
  <si>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</si>
  <si>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</si>
  <si>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</si>
  <si>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</si>
  <si>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</si>
  <si>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</si>
  <si>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</si>
  <si>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</si>
  <si>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</si>
  <si>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</si>
  <si>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</si>
  <si>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</si>
  <si>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</si>
  <si>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</si>
  <si>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</si>
  <si>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</si>
  <si>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</si>
  <si>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</si>
  <si>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</si>
  <si>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</si>
  <si>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</si>
  <si>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</si>
  <si>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</si>
  <si>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</si>
  <si>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</si>
  <si>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</si>
  <si>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</si>
  <si>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</si>
  <si>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</si>
  <si>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</si>
  <si>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</si>
  <si>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</si>
  <si>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</si>
  <si>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</si>
  <si>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</si>
  <si>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</si>
  <si>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</si>
  <si>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</si>
  <si>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</si>
  <si>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</si>
  <si>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</si>
  <si>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</si>
  <si>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</si>
  <si>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</si>
  <si>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</si>
  <si>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</si>
  <si>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</si>
  <si>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</si>
  <si>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</si>
  <si>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</si>
  <si>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</si>
  <si>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</si>
  <si>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</si>
  <si>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</si>
  <si>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</si>
  <si>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</si>
  <si>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</si>
  <si>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</si>
  <si>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</si>
  <si>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</si>
  <si>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</si>
  <si>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</si>
  <si>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</si>
  <si>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</si>
  <si>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</si>
  <si>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</si>
  <si>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</si>
  <si>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</si>
  <si>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</si>
  <si>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</si>
  <si>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</si>
  <si>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</si>
  <si>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</si>
  <si>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</si>
  <si>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</si>
  <si>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</si>
  <si>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</si>
  <si>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</si>
  <si>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</si>
  <si>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</si>
  <si>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</si>
  <si>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</si>
  <si>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</si>
  <si>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</si>
  <si>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</si>
  <si>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</si>
  <si>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</si>
  <si>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</si>
  <si>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</si>
  <si>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</si>
  <si>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</si>
  <si>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</si>
  <si>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</si>
  <si>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</si>
  <si>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</si>
  <si>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</si>
  <si>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</si>
  <si>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</si>
  <si>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</si>
  <si>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</si>
  <si>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</si>
  <si>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</si>
  <si>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</si>
  <si>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</si>
  <si>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</si>
  <si>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</si>
  <si>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</si>
  <si>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</si>
  <si>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</si>
  <si>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</si>
  <si>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</si>
  <si>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</si>
  <si>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</si>
  <si>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</si>
  <si>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</si>
  <si>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</si>
  <si>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</si>
  <si>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</si>
  <si>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</si>
  <si>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</si>
  <si>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</si>
  <si>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</si>
  <si>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</si>
  <si>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</si>
  <si>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</si>
  <si>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</si>
  <si>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</si>
  <si>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</si>
  <si>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</si>
  <si>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</si>
  <si>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</si>
  <si>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</si>
  <si>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</si>
  <si>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</si>
  <si>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</si>
  <si>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</si>
  <si>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</si>
  <si>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</si>
  <si>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</si>
  <si>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</si>
  <si>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</si>
  <si>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</si>
  <si>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</si>
  <si>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</si>
  <si>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</si>
  <si>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</si>
  <si>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</si>
  <si>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</si>
  <si>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</si>
  <si>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</si>
  <si>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</si>
  <si>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</si>
  <si>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</si>
  <si>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</si>
  <si>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</si>
  <si>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</si>
  <si>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</si>
  <si>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</si>
  <si>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</si>
  <si>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</si>
  <si>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</si>
  <si>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</si>
  <si>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</si>
  <si>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</si>
  <si>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</si>
  <si>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</si>
  <si>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</si>
  <si>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</si>
  <si>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</si>
  <si>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</si>
  <si>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</si>
  <si>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</si>
  <si>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</si>
  <si>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</si>
  <si>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</si>
  <si>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</si>
  <si>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</si>
  <si>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</si>
  <si>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</si>
  <si>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</si>
  <si>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</si>
  <si>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</si>
  <si>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</si>
  <si>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</si>
  <si>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</si>
  <si>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</si>
  <si>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</si>
  <si>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</si>
  <si>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</si>
  <si>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</si>
  <si>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</si>
  <si>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</si>
  <si>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</si>
  <si>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</si>
  <si>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</si>
  <si>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</si>
  <si>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</si>
  <si>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</si>
  <si>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</si>
  <si>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</si>
  <si>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</si>
  <si>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</si>
  <si>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</si>
  <si>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</si>
  <si>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</si>
  <si>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</si>
  <si>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</si>
  <si>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</si>
  <si>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</si>
  <si>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</si>
  <si>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</si>
  <si>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</si>
  <si>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</si>
  <si>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</si>
  <si>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</si>
  <si>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</si>
  <si>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</si>
  <si>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</si>
  <si>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</si>
  <si>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</si>
  <si>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</si>
  <si>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</si>
  <si>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</si>
  <si>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</si>
  <si>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</si>
  <si>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</si>
  <si>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</si>
  <si>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</si>
  <si>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</si>
  <si>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</si>
  <si>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</si>
  <si>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</si>
  <si>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</si>
  <si>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</si>
  <si>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</si>
  <si>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</si>
  <si>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</si>
  <si>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</si>
  <si>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</si>
  <si>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</si>
  <si>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</si>
  <si>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</si>
  <si>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</si>
  <si>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</si>
  <si>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</si>
  <si>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</si>
  <si>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</si>
  <si>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</si>
  <si>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</si>
  <si>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</si>
  <si>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</si>
  <si>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</si>
  <si>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</si>
  <si>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</si>
  <si>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</si>
  <si>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</si>
  <si>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</si>
  <si>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</si>
  <si>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</si>
  <si>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</si>
  <si>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</si>
  <si>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</si>
  <si>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</si>
  <si>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</si>
  <si>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</si>
  <si>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</si>
  <si>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</si>
  <si>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</si>
  <si>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</si>
  <si>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</si>
  <si>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</si>
  <si>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</si>
  <si>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</si>
  <si>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</si>
  <si>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</si>
  <si>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</si>
  <si>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</si>
  <si>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</si>
  <si>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</si>
  <si>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</si>
  <si>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</si>
  <si>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</si>
  <si>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</si>
  <si>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</si>
  <si>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</si>
  <si>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</si>
  <si>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</si>
  <si>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</si>
  <si>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</si>
  <si>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</si>
  <si>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</si>
  <si>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</si>
  <si>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</si>
  <si>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</si>
  <si>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</si>
  <si>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</si>
  <si>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</si>
  <si>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</si>
  <si>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</si>
  <si>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</si>
  <si>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</si>
  <si>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</si>
  <si>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</si>
  <si>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</si>
  <si>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</si>
  <si>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</si>
  <si>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</si>
  <si>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</si>
  <si>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</si>
  <si>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</si>
  <si>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</si>
  <si>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</si>
  <si>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</si>
  <si>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</si>
  <si>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</si>
  <si>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</si>
  <si>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</si>
  <si>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</si>
  <si>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</si>
  <si>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</si>
  <si>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</si>
  <si>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</si>
  <si>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</si>
  <si>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</si>
  <si>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</si>
  <si>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</si>
  <si>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</si>
  <si>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</si>
  <si>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</si>
  <si>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</si>
  <si>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</si>
  <si>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</si>
  <si>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</si>
  <si>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</si>
  <si>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</si>
  <si>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</si>
  <si>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</si>
  <si>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</si>
  <si>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</si>
  <si>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</si>
  <si>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</si>
  <si>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</si>
  <si>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</si>
  <si>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</si>
  <si>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</si>
  <si>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</si>
  <si>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</si>
  <si>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</si>
  <si>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</si>
  <si>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</si>
  <si>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</si>
  <si>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</si>
  <si>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</si>
  <si>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</si>
  <si>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</si>
  <si>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</si>
  <si>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</si>
  <si>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</si>
  <si>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</si>
  <si>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</si>
  <si>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</si>
  <si>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</si>
  <si>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</si>
  <si>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</si>
  <si>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</si>
  <si>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</si>
  <si>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</si>
  <si>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</si>
  <si>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</si>
  <si>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</si>
  <si>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</si>
  <si>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</si>
  <si>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</si>
  <si>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</si>
  <si>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</si>
  <si>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</si>
  <si>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</si>
  <si>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</si>
  <si>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</si>
  <si>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</si>
  <si>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</si>
  <si>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</si>
  <si>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</si>
  <si>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</si>
  <si>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</si>
  <si>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</si>
  <si>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</si>
  <si>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</si>
  <si>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</si>
  <si>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</si>
  <si>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</si>
  <si>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</si>
  <si>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</si>
  <si>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</si>
  <si>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</si>
  <si>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</si>
  <si>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</si>
  <si>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</si>
  <si>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</si>
  <si>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</si>
  <si>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</si>
  <si>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</si>
  <si>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</si>
  <si>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</si>
  <si>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</si>
  <si>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</si>
  <si>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</si>
  <si>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</si>
  <si>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</si>
  <si>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</si>
  <si>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</si>
  <si>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</si>
  <si>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</si>
  <si>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</si>
  <si>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</si>
  <si>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</si>
  <si>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</si>
  <si>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</si>
  <si>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</si>
  <si>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</si>
  <si>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</si>
  <si>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</si>
  <si>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</si>
  <si>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</si>
  <si>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</si>
  <si>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</si>
  <si>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</si>
  <si>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</si>
  <si>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</si>
  <si>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</si>
  <si>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</si>
  <si>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</si>
  <si>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</si>
  <si>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</si>
  <si>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</si>
  <si>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</si>
  <si>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</si>
  <si>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</si>
  <si>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</si>
  <si>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</si>
  <si>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</si>
  <si>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</si>
  <si>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</si>
  <si>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</si>
  <si>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</si>
  <si>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</si>
  <si>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</si>
  <si>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</si>
  <si>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</si>
  <si>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</si>
  <si>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</si>
  <si>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</si>
  <si>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</si>
  <si>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</si>
  <si>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</si>
  <si>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</si>
  <si>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</si>
  <si>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</si>
  <si>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</si>
  <si>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</si>
  <si>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</si>
  <si>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</si>
  <si>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</si>
  <si>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</si>
  <si>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</si>
  <si>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</si>
  <si>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</si>
  <si>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</si>
  <si>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</si>
  <si>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</si>
  <si>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</si>
  <si>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</si>
  <si>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</si>
  <si>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</si>
  <si>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</si>
  <si>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</si>
  <si>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</si>
  <si>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</si>
  <si>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</si>
  <si>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</si>
  <si>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</si>
  <si>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</si>
  <si>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</si>
  <si>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</si>
  <si>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</si>
  <si>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</si>
  <si>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</si>
  <si>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</si>
  <si>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</si>
  <si>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</si>
  <si>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</si>
  <si>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</si>
  <si>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</si>
  <si>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</si>
  <si>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</si>
  <si>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</si>
  <si>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</si>
  <si>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</si>
  <si>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</si>
  <si>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</si>
  <si>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</si>
  <si>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</si>
  <si>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</si>
  <si>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</si>
  <si>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</si>
  <si>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</si>
  <si>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</si>
  <si>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</si>
  <si>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</si>
  <si>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</si>
  <si>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</si>
  <si>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</si>
  <si>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</si>
  <si>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</si>
  <si>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</si>
  <si>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</si>
  <si>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</si>
  <si>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</si>
  <si>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</si>
  <si>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</si>
  <si>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</si>
  <si>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</si>
  <si>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</si>
  <si>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</si>
  <si>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</si>
  <si>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</si>
  <si>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</si>
  <si>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</si>
  <si>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</si>
  <si>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</si>
  <si>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</si>
  <si>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</si>
  <si>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</si>
  <si>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</si>
  <si>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</si>
  <si>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</si>
  <si>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</si>
  <si>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</si>
  <si>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</si>
  <si>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</si>
  <si>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</si>
  <si>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</si>
  <si>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</si>
  <si>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</si>
  <si>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</si>
  <si>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</si>
  <si>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</si>
  <si>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</si>
  <si>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</si>
  <si>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</si>
  <si>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</si>
  <si>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</si>
  <si>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</si>
  <si>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</si>
  <si>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</si>
  <si>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</si>
  <si>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</si>
  <si>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</si>
  <si>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</si>
  <si>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</si>
  <si>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</si>
  <si>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</si>
  <si>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</si>
  <si>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</si>
  <si>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</si>
  <si>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</si>
  <si>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</si>
  <si>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</si>
  <si>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</si>
  <si>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</si>
  <si>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</si>
  <si>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</si>
  <si>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</si>
  <si>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</si>
  <si>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</si>
  <si>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</si>
  <si>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</si>
  <si>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</si>
  <si>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</si>
  <si>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</si>
  <si>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</si>
  <si>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</si>
  <si>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</si>
  <si>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</si>
  <si>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</si>
  <si>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</si>
  <si>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</si>
  <si>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</si>
  <si>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</si>
  <si>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</si>
  <si>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</si>
  <si>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</si>
  <si>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</si>
  <si>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</si>
  <si>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</si>
  <si>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</si>
  <si>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</si>
  <si>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</si>
  <si>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</si>
  <si>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</si>
  <si>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</si>
  <si>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</si>
  <si>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</si>
  <si>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</si>
  <si>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</si>
  <si>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</si>
  <si>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</si>
  <si>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</si>
  <si>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</si>
  <si>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</si>
  <si>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</si>
  <si>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</si>
  <si>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</si>
  <si>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</si>
  <si>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</si>
  <si>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</si>
  <si>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</si>
  <si>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</si>
  <si>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</si>
  <si>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</si>
  <si>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</si>
  <si>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</si>
  <si>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</si>
  <si>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</si>
  <si>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</si>
  <si>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</si>
  <si>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</si>
  <si>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</si>
  <si>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</si>
  <si>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</si>
  <si>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</si>
  <si>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</si>
  <si>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</si>
  <si>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</si>
  <si>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</si>
  <si>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</si>
  <si>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</si>
  <si>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</si>
  <si>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</si>
  <si>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</si>
  <si>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</si>
  <si>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</si>
  <si>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</si>
  <si>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</si>
  <si>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</si>
  <si>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</si>
  <si>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</si>
  <si>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</si>
  <si>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</si>
  <si>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</si>
  <si>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</si>
  <si>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</si>
  <si>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</si>
  <si>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</si>
  <si>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</si>
  <si>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</si>
  <si>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办公用房</t>
  </si>
  <si>
    <t>办公用房</t>
    <phoneticPr fontId="16" type="noConversion"/>
  </si>
  <si>
    <t>商业用房</t>
  </si>
  <si>
    <t>商业用房</t>
    <phoneticPr fontId="16" type="noConversion"/>
  </si>
  <si>
    <t>酒店用房</t>
  </si>
  <si>
    <t>酒店用房</t>
    <phoneticPr fontId="16" type="noConversion"/>
  </si>
  <si>
    <t>崔锴</t>
  </si>
  <si>
    <t>郑燚</t>
  </si>
  <si>
    <t>抵押</t>
  </si>
  <si>
    <t>房地产抵押价值</t>
  </si>
  <si>
    <t>已注销及未注销</t>
  </si>
  <si>
    <t>北京市</t>
  </si>
  <si>
    <t>企业</t>
  </si>
  <si>
    <r>
      <rPr>
        <sz val="12"/>
        <color theme="9" tint="-0.249977111117893"/>
        <rFont val="宋体"/>
        <family val="3"/>
        <charset val="134"/>
      </rPr>
      <t>北京经济技术开发区东区</t>
    </r>
    <r>
      <rPr>
        <sz val="12"/>
        <color theme="9" tint="-0.249977111117893"/>
        <rFont val="Arial"/>
        <family val="2"/>
      </rPr>
      <t>A18</t>
    </r>
    <r>
      <rPr>
        <sz val="12"/>
        <color theme="9" tint="-0.249977111117893"/>
        <rFont val="宋体"/>
        <family val="3"/>
        <charset val="134"/>
      </rPr>
      <t>街区</t>
    </r>
    <phoneticPr fontId="6" type="noConversion"/>
  </si>
  <si>
    <t>地下室</t>
  </si>
  <si>
    <t>地下室</t>
    <phoneticPr fontId="3" type="noConversion"/>
  </si>
  <si>
    <r>
      <t>2</t>
    </r>
    <r>
      <rPr>
        <sz val="11"/>
        <color indexed="8"/>
        <rFont val="宋体"/>
        <family val="3"/>
        <charset val="134"/>
      </rPr>
      <t>号地下车库及附属用房</t>
    </r>
    <phoneticPr fontId="3" type="noConversion"/>
  </si>
  <si>
    <r>
      <t>Q3</t>
    </r>
    <r>
      <rPr>
        <sz val="11"/>
        <color indexed="8"/>
        <rFont val="宋体"/>
        <family val="3"/>
        <charset val="134"/>
      </rPr>
      <t>共享大厅</t>
    </r>
    <phoneticPr fontId="3" type="noConversion"/>
  </si>
  <si>
    <r>
      <t>Q4</t>
    </r>
    <r>
      <rPr>
        <sz val="11"/>
        <color indexed="8"/>
        <rFont val="宋体"/>
        <family val="3"/>
        <charset val="134"/>
      </rPr>
      <t>商业裙房</t>
    </r>
    <phoneticPr fontId="3" type="noConversion"/>
  </si>
  <si>
    <t>地上</t>
  </si>
  <si>
    <t>地下</t>
  </si>
  <si>
    <t>车库</t>
  </si>
  <si>
    <t>地下车库用房</t>
  </si>
  <si>
    <t>地下车库用房</t>
    <phoneticPr fontId="16" type="noConversion"/>
  </si>
  <si>
    <t>是</t>
  </si>
  <si>
    <r>
      <t>T1</t>
    </r>
    <r>
      <rPr>
        <sz val="10"/>
        <color indexed="8"/>
        <rFont val="宋体"/>
        <family val="3"/>
        <charset val="134"/>
      </rPr>
      <t>酒店</t>
    </r>
    <phoneticPr fontId="3" type="noConversion"/>
  </si>
  <si>
    <r>
      <t>T2</t>
    </r>
    <r>
      <rPr>
        <sz val="10"/>
        <color indexed="8"/>
        <rFont val="宋体"/>
        <family val="3"/>
        <charset val="134"/>
      </rPr>
      <t>商务综合楼</t>
    </r>
    <phoneticPr fontId="3" type="noConversion"/>
  </si>
  <si>
    <r>
      <t>T3</t>
    </r>
    <r>
      <rPr>
        <sz val="10"/>
        <color indexed="8"/>
        <rFont val="宋体"/>
        <family val="3"/>
        <charset val="134"/>
      </rPr>
      <t>商务综合楼</t>
    </r>
    <phoneticPr fontId="3" type="noConversion"/>
  </si>
  <si>
    <r>
      <t>T4</t>
    </r>
    <r>
      <rPr>
        <sz val="10"/>
        <color indexed="8"/>
        <rFont val="宋体"/>
        <family val="3"/>
        <charset val="134"/>
      </rPr>
      <t>商务综合楼</t>
    </r>
    <phoneticPr fontId="3" type="noConversion"/>
  </si>
  <si>
    <r>
      <t>T5</t>
    </r>
    <r>
      <rPr>
        <sz val="11"/>
        <color indexed="8"/>
        <rFont val="宋体"/>
        <family val="3"/>
        <charset val="134"/>
      </rPr>
      <t>商务综合楼</t>
    </r>
    <phoneticPr fontId="3" type="noConversion"/>
  </si>
  <si>
    <r>
      <t>T6</t>
    </r>
    <r>
      <rPr>
        <sz val="11"/>
        <color indexed="8"/>
        <rFont val="宋体"/>
        <family val="3"/>
        <charset val="134"/>
      </rPr>
      <t>商务综合楼</t>
    </r>
    <phoneticPr fontId="3" type="noConversion"/>
  </si>
  <si>
    <r>
      <t>T7</t>
    </r>
    <r>
      <rPr>
        <sz val="11"/>
        <color indexed="8"/>
        <rFont val="宋体"/>
        <family val="3"/>
        <charset val="134"/>
      </rPr>
      <t>商务综合楼</t>
    </r>
    <phoneticPr fontId="3" type="noConversion"/>
  </si>
  <si>
    <r>
      <t>Q1</t>
    </r>
    <r>
      <rPr>
        <sz val="10"/>
        <color indexed="8"/>
        <rFont val="宋体"/>
        <family val="3"/>
        <charset val="134"/>
      </rPr>
      <t>酒店配套</t>
    </r>
    <phoneticPr fontId="3" type="noConversion"/>
  </si>
  <si>
    <r>
      <t>Q2</t>
    </r>
    <r>
      <rPr>
        <sz val="11"/>
        <color indexed="8"/>
        <rFont val="宋体"/>
        <family val="3"/>
        <charset val="134"/>
      </rPr>
      <t>商业裙房</t>
    </r>
    <phoneticPr fontId="3" type="noConversion"/>
  </si>
  <si>
    <t>项目全部</t>
  </si>
  <si>
    <t>出让</t>
  </si>
  <si>
    <t>规证</t>
    <phoneticPr fontId="3" type="noConversion"/>
  </si>
  <si>
    <t>提供资料</t>
    <phoneticPr fontId="3" type="noConversion"/>
  </si>
  <si>
    <t>《国有土地使用证》</t>
  </si>
  <si>
    <t>否</t>
  </si>
  <si>
    <t>综合项目（商业、办公）</t>
  </si>
  <si>
    <t>无</t>
  </si>
  <si>
    <t>在建</t>
  </si>
  <si>
    <t>通路</t>
  </si>
  <si>
    <t>通电</t>
  </si>
  <si>
    <t>通讯</t>
  </si>
  <si>
    <t>通上水</t>
  </si>
  <si>
    <t>通下水</t>
  </si>
  <si>
    <t>通热</t>
  </si>
  <si>
    <t>燃气</t>
  </si>
  <si>
    <t>较一致</t>
  </si>
  <si>
    <t>较一致</t>
    <phoneticPr fontId="25" type="noConversion"/>
  </si>
  <si>
    <t>多面临街</t>
  </si>
  <si>
    <t>Ⅶ-亦1</t>
  </si>
  <si>
    <t>容积率修正</t>
  </si>
  <si>
    <t>按公示增长率计算</t>
  </si>
  <si>
    <t>T1酒店</t>
  </si>
  <si>
    <t>T2商务综合楼</t>
  </si>
  <si>
    <t>T3商务综合楼</t>
  </si>
  <si>
    <t>T4商务综合楼</t>
  </si>
  <si>
    <t>Q1酒店配套</t>
  </si>
  <si>
    <t>Q2商业裙房</t>
  </si>
  <si>
    <t>T5商务综合楼</t>
  </si>
  <si>
    <t>T6商务综合楼</t>
  </si>
  <si>
    <t>T7商务综合楼</t>
  </si>
  <si>
    <t>Q3共享大厅</t>
  </si>
  <si>
    <t>Q4商业裙房</t>
  </si>
  <si>
    <t>2号地下车库及附属用房</t>
  </si>
  <si>
    <t>建筑面积</t>
    <phoneticPr fontId="143" type="noConversion"/>
  </si>
  <si>
    <t>设备用房</t>
    <phoneticPr fontId="143" type="noConversion"/>
  </si>
  <si>
    <t>公共配套设施</t>
  </si>
  <si>
    <t>物业管理用房</t>
  </si>
  <si>
    <t>设备及其他</t>
  </si>
  <si>
    <t>（住宅）</t>
  </si>
  <si>
    <t>（住宅、计出让金）</t>
  </si>
  <si>
    <t>总值</t>
  </si>
  <si>
    <t>扣减值</t>
  </si>
  <si>
    <t>工程进度</t>
    <phoneticPr fontId="143" type="noConversion"/>
  </si>
  <si>
    <t>完工进度</t>
    <phoneticPr fontId="143" type="noConversion"/>
  </si>
  <si>
    <t>成本法</t>
  </si>
  <si>
    <t>假设开发法</t>
  </si>
  <si>
    <t>地块名称</t>
  </si>
  <si>
    <t>城市</t>
  </si>
  <si>
    <t>用地性质</t>
  </si>
  <si>
    <t>区县</t>
  </si>
  <si>
    <t>建设用地面积(㎡)</t>
  </si>
  <si>
    <t>容积率</t>
  </si>
  <si>
    <t>成交日期</t>
  </si>
  <si>
    <t>成交楼面价(元/㎡)</t>
  </si>
  <si>
    <t>北京经济技术开发区路东区E16街区E16C-3、E16C-5、E16S-1地块</t>
  </si>
  <si>
    <t>商业/办公用地</t>
  </si>
  <si>
    <t>大兴区</t>
  </si>
  <si>
    <t>2018-06-14</t>
  </si>
  <si>
    <t>北京经济技术开发区路东区C14C-1、C14C-2、C14S-1地块B4综合性商业金融服务业用地及S41公用停车场用地</t>
  </si>
  <si>
    <t>2017-08-08</t>
  </si>
  <si>
    <t>大兴开发区北区1号地DX00-0301-0145地块</t>
  </si>
  <si>
    <t>2017-04-06</t>
  </si>
  <si>
    <t>大兴区北臧村生物医药基地DX00-0502-0008地块</t>
  </si>
  <si>
    <t>2017-03-30</t>
  </si>
  <si>
    <t>大兴开发区北区1号地DX00-0301-0144地块</t>
  </si>
  <si>
    <t>2016-12-20</t>
  </si>
  <si>
    <t>大兴区黄村镇兴华大街DX00-0202-0307地块</t>
  </si>
  <si>
    <t>2016-05-05</t>
  </si>
  <si>
    <t>大兴区北臧村生物医药基地DX00-0501-6003地块</t>
  </si>
  <si>
    <t>2016-02-26</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</si>
  <si>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</si>
  <si>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</si>
  <si>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</si>
  <si>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</si>
  <si>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</si>
  <si>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</si>
  <si>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</si>
  <si>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大兴区新城北区DX00-0301-6001地块</t>
  </si>
  <si>
    <t>2015-06-30</t>
  </si>
  <si>
    <t>大兴区采育镇区六号地-1土地一级开发项目01-0044地块</t>
  </si>
  <si>
    <t>2015-06-26</t>
  </si>
  <si>
    <t>大兴区三合庄改造区A组团0202-0907地块商业用地</t>
  </si>
  <si>
    <t>2015-01-07</t>
  </si>
  <si>
    <t>大兴区西红门0302-010-2地块F3其它类多功能用地</t>
  </si>
  <si>
    <t>2014-05-06</t>
  </si>
  <si>
    <t>A</t>
    <phoneticPr fontId="143" type="noConversion"/>
  </si>
  <si>
    <t>B</t>
    <phoneticPr fontId="143" type="noConversion"/>
  </si>
  <si>
    <t>C</t>
    <phoneticPr fontId="143" type="noConversion"/>
  </si>
  <si>
    <t>城市次干道</t>
  </si>
  <si>
    <t>城市次干道-经海五路</t>
    <phoneticPr fontId="31" type="noConversion"/>
  </si>
  <si>
    <t>——</t>
    <phoneticPr fontId="31" type="noConversion"/>
  </si>
  <si>
    <t>城市主干道</t>
  </si>
  <si>
    <t>城市主干道</t>
    <phoneticPr fontId="31" type="noConversion"/>
  </si>
  <si>
    <t>城市次干道</t>
    <phoneticPr fontId="31" type="noConversion"/>
  </si>
  <si>
    <t>城市支路</t>
    <phoneticPr fontId="31" type="noConversion"/>
  </si>
  <si>
    <t>较规则</t>
  </si>
  <si>
    <t>较规则</t>
    <phoneticPr fontId="31" type="noConversion"/>
  </si>
  <si>
    <t>较好</t>
  </si>
  <si>
    <t>较好</t>
    <phoneticPr fontId="31" type="noConversion"/>
  </si>
  <si>
    <t>七通</t>
  </si>
  <si>
    <t>六通</t>
  </si>
  <si>
    <t>五通</t>
  </si>
  <si>
    <t>四通</t>
  </si>
  <si>
    <t>三通</t>
  </si>
  <si>
    <t>综合、商业</t>
  </si>
  <si>
    <t>综合、商业</t>
    <phoneticPr fontId="31" type="noConversion"/>
  </si>
  <si>
    <t>收益法-办公</t>
  </si>
  <si>
    <t>收益法-办公</t>
    <phoneticPr fontId="16" type="noConversion"/>
  </si>
  <si>
    <t>收益法-商业</t>
  </si>
  <si>
    <t>收益法-商业</t>
    <phoneticPr fontId="16" type="noConversion"/>
  </si>
  <si>
    <t>收益法-酒店</t>
  </si>
  <si>
    <t>收益法-酒店</t>
    <phoneticPr fontId="16" type="noConversion"/>
  </si>
  <si>
    <t>收益法-地下车库</t>
  </si>
  <si>
    <t>收益法-地下车库</t>
    <phoneticPr fontId="16" type="noConversion"/>
  </si>
  <si>
    <r>
      <rPr>
        <b/>
        <sz val="11"/>
        <rFont val="宋体"/>
        <family val="3"/>
        <charset val="134"/>
      </rPr>
      <t>估价对象综合、商业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</si>
  <si>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《国有土地使用证》</t>
    <phoneticPr fontId="6" type="noConversion"/>
  </si>
  <si>
    <t>规证</t>
    <phoneticPr fontId="6" type="noConversion"/>
  </si>
  <si>
    <t>估价对象位于经济开发区，周边商业氛围成熟度一般，人流量一般，商业繁华度一般</t>
  </si>
  <si>
    <t>估价对象位于经济开发区，周边商业氛围成熟度一般，人流量一般，商业繁华度一般</t>
    <phoneticPr fontId="25" type="noConversion"/>
  </si>
  <si>
    <t>估价对象位于经济开发区，周边办公楼项目较多，有中荣科技大厦等，入驻率高，办公集聚程度较好</t>
  </si>
  <si>
    <t>估价对象位于经济开发区，周边办公楼项目较多，有中荣科技大厦等，入驻率高，办公集聚程度较好</t>
    <phoneticPr fontId="25" type="noConversion"/>
  </si>
  <si>
    <t>估价对象周边道路状况一般、公共交通通达情况一般、停车便捷程度一般，周边有开发区2路等公交线路，综合评价交通便捷度一般</t>
    <phoneticPr fontId="41" type="noConversion"/>
  </si>
  <si>
    <t>估价对象所在区域基础设施水平较好</t>
  </si>
  <si>
    <t>估价对象所在区域基础设施水平较好</t>
    <phoneticPr fontId="25" type="noConversion"/>
  </si>
  <si>
    <t>区域自然环境一般；人文环境一般；综合评价环境状况一般</t>
  </si>
  <si>
    <t>区域自然环境一般；人文环境一般；综合评价环境状况一般</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</si>
  <si>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科创五街</t>
    </r>
    <phoneticPr fontId="25" type="noConversion"/>
  </si>
  <si>
    <t>——</t>
    <phoneticPr fontId="25" type="noConversion"/>
  </si>
  <si>
    <t>居住社区成熟度</t>
  </si>
  <si>
    <t>一般</t>
  </si>
  <si>
    <t>估价对象所在区域公共配套设施齐备情况一般</t>
  </si>
  <si>
    <t>估价对象所在区域公共配套设施齐备情况一般</t>
    <phoneticPr fontId="41" type="noConversion"/>
  </si>
  <si>
    <t>正常</t>
  </si>
  <si>
    <r>
      <t>F3</t>
    </r>
    <r>
      <rPr>
        <sz val="11"/>
        <rFont val="宋体"/>
        <family val="3"/>
        <charset val="134"/>
      </rPr>
      <t>多功能</t>
    </r>
    <phoneticPr fontId="31" type="noConversion"/>
  </si>
  <si>
    <t>F3多功能</t>
  </si>
  <si>
    <t>——</t>
    <phoneticPr fontId="31" type="noConversion"/>
  </si>
  <si>
    <t>估价对象周边道路状况一般、公共交通通达情况较好、停车便捷程度一般，周边有开发区8路等公交线路，地铁亦庄线经海路站，综合评价交通便捷度较好</t>
    <phoneticPr fontId="31" type="noConversion"/>
  </si>
  <si>
    <t>城市次干道-经海路</t>
    <phoneticPr fontId="31" type="noConversion"/>
  </si>
  <si>
    <t>城市次干道-芦求路</t>
    <phoneticPr fontId="31" type="noConversion"/>
  </si>
  <si>
    <r>
      <rPr>
        <sz val="11"/>
        <rFont val="宋体"/>
        <family val="3"/>
        <charset val="134"/>
      </rPr>
      <t>估价对象周边道路状况一般、公共交通通达情况一般、停车便捷程度一般，周边有兴</t>
    </r>
    <r>
      <rPr>
        <sz val="11"/>
        <rFont val="Arial"/>
        <family val="2"/>
      </rPr>
      <t>39</t>
    </r>
    <r>
      <rPr>
        <sz val="11"/>
        <rFont val="宋体"/>
        <family val="3"/>
        <charset val="134"/>
      </rPr>
      <t>路等公交线路，综合评价交通便捷度一般</t>
    </r>
    <phoneticPr fontId="31" type="noConversion"/>
  </si>
  <si>
    <t>估价对象位于生物医药基地，周边商业氛围成熟度一般，人流量一般，商业繁华度一般</t>
    <phoneticPr fontId="31" type="noConversion"/>
  </si>
  <si>
    <t>估价对象位于生物医药基地，周边办公楼项目一般，有中荣科技大厦等，入驻率一般，办公集聚程度一般</t>
    <phoneticPr fontId="31" type="noConversion"/>
  </si>
  <si>
    <t>未包含在土地购买价格中</t>
  </si>
  <si>
    <t>已包含在土地取得成本中</t>
  </si>
  <si>
    <t>押一</t>
  </si>
  <si>
    <t>按租金收入计税</t>
  </si>
  <si>
    <t>非生产用房</t>
  </si>
  <si>
    <t>钢混</t>
  </si>
  <si>
    <t>在建（套用方法）</t>
  </si>
  <si>
    <t>住宅</t>
  </si>
  <si>
    <t>已全部缴纳</t>
  </si>
  <si>
    <r>
      <rPr>
        <sz val="10"/>
        <color indexed="8"/>
        <rFont val="宋体"/>
        <family val="3"/>
        <charset val="134"/>
      </rPr>
      <t>万</t>
    </r>
    <r>
      <rPr>
        <sz val="10"/>
        <color indexed="8"/>
        <rFont val="Arial"/>
        <family val="2"/>
      </rPr>
      <t>/</t>
    </r>
    <r>
      <rPr>
        <sz val="10"/>
        <color indexed="8"/>
        <rFont val="宋体"/>
        <family val="3"/>
        <charset val="134"/>
      </rPr>
      <t>个</t>
    </r>
    <phoneticPr fontId="143" type="noConversion"/>
  </si>
  <si>
    <t>自定义</t>
  </si>
  <si>
    <t>是否自持</t>
    <phoneticPr fontId="31" type="noConversion"/>
  </si>
  <si>
    <t>是</t>
    <phoneticPr fontId="31" type="noConversion"/>
  </si>
  <si>
    <t>否</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</si>
</sst>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208"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10" fontId="0" fillId="0" borderId="0" xfId="17" applyNumberFormat="1" applyFont="1">
      <alignment vertical="center"/>
    </xf>
    <xf numFmtId="49" fontId="98" fillId="0" borderId="35" xfId="0" applyNumberFormat="1" applyFont="1" applyFill="1" applyBorder="1" applyAlignment="1" applyProtection="1">
      <alignment horizontal="center" vertical="center" wrapText="1"/>
      <protection locked="0"/>
    </xf>
    <xf numFmtId="0" fontId="99" fillId="5" borderId="0" xfId="0" applyFont="1" applyFill="1">
      <alignment vertical="center"/>
    </xf>
    <xf numFmtId="0" fontId="0" fillId="5" borderId="0" xfId="0" applyFill="1" applyAlignment="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49" fontId="224" fillId="7" borderId="85" xfId="0" applyNumberFormat="1" applyFont="1" applyFill="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208" fontId="50" fillId="7" borderId="0" xfId="0" applyNumberFormat="1" applyFont="1" applyFill="1" applyAlignment="1" applyProtection="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18</xdr:row>
      <xdr:rowOff>142875</xdr:rowOff>
    </xdr:from>
    <xdr:to>
      <xdr:col>5</xdr:col>
      <xdr:colOff>866775</xdr:colOff>
      <xdr:row>51</xdr:row>
      <xdr:rowOff>85725</xdr:rowOff>
    </xdr:to>
    <xdr:pic>
      <xdr:nvPicPr>
        <xdr:cNvPr id="3" name="图片 2" descr="C:\Documents and Settings\Administrator\Application Data\Tencent\Users\2416965547\QQ\WinTemp\RichOle\1M9UY3EPI8ES`K8Z[M@{01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228975"/>
          <a:ext cx="823912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390525</xdr:colOff>
      <xdr:row>2</xdr:row>
      <xdr:rowOff>47625</xdr:rowOff>
    </xdr:from>
    <xdr:to>
      <xdr:col>9</xdr:col>
      <xdr:colOff>133350</xdr:colOff>
      <xdr:row>27</xdr:row>
      <xdr:rowOff>0</xdr:rowOff>
    </xdr:to>
    <xdr:pic>
      <xdr:nvPicPr>
        <xdr:cNvPr id="2" name="图片 1" descr="C:\Documents and Settings\Administrator\Application Data\Tencent\Users\2416965547\QQ\WinTemp\RichOle\5LUKU1)A`0]HHEY]YOAZ(2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390525"/>
          <a:ext cx="5229225" cy="423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142875</xdr:colOff>
      <xdr:row>4</xdr:row>
      <xdr:rowOff>9525</xdr:rowOff>
    </xdr:from>
    <xdr:to>
      <xdr:col>17</xdr:col>
      <xdr:colOff>428625</xdr:colOff>
      <xdr:row>31</xdr:row>
      <xdr:rowOff>57150</xdr:rowOff>
    </xdr:to>
    <xdr:pic>
      <xdr:nvPicPr>
        <xdr:cNvPr id="3" name="图片 2" descr="C:\Documents and Settings\Administrator\Application Data\Tencent\Users\2416965547\QQ\WinTemp\RichOle\KTVAZUI`S)N7K(AACH`E{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695325"/>
          <a:ext cx="508635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1</xdr:row>
      <xdr:rowOff>19050</xdr:rowOff>
    </xdr:from>
    <xdr:to>
      <xdr:col>8</xdr:col>
      <xdr:colOff>618480</xdr:colOff>
      <xdr:row>27</xdr:row>
      <xdr:rowOff>132779</xdr:rowOff>
    </xdr:to>
    <xdr:pic>
      <xdr:nvPicPr>
        <xdr:cNvPr id="2" name="图片 1"/>
        <xdr:cNvPicPr>
          <a:picLocks noChangeAspect="1"/>
        </xdr:cNvPicPr>
      </xdr:nvPicPr>
      <xdr:blipFill>
        <a:blip xmlns:r="http://schemas.openxmlformats.org/officeDocument/2006/relationships" r:embed="rId1"/>
        <a:stretch>
          <a:fillRect/>
        </a:stretch>
      </xdr:blipFill>
      <xdr:spPr>
        <a:xfrm>
          <a:off x="942975" y="190500"/>
          <a:ext cx="5161905" cy="4571429"/>
        </a:xfrm>
        <a:prstGeom prst="rect">
          <a:avLst/>
        </a:prstGeom>
      </xdr:spPr>
    </xdr:pic>
    <xdr:clientData/>
  </xdr:twoCellAnchor>
  <xdr:twoCellAnchor editAs="oneCell">
    <xdr:from>
      <xdr:col>9</xdr:col>
      <xdr:colOff>523875</xdr:colOff>
      <xdr:row>1</xdr:row>
      <xdr:rowOff>95250</xdr:rowOff>
    </xdr:from>
    <xdr:to>
      <xdr:col>17</xdr:col>
      <xdr:colOff>581025</xdr:colOff>
      <xdr:row>24</xdr:row>
      <xdr:rowOff>123825</xdr:rowOff>
    </xdr:to>
    <xdr:pic>
      <xdr:nvPicPr>
        <xdr:cNvPr id="3" name="图片 2" descr="C:\Documents and Settings\Administrator\Application Data\Tencent\Users\2416965547\QQ\WinTemp\RichOle\V0}5K]DQ3HV30F[5`4)2GMX.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96075" y="266700"/>
          <a:ext cx="5543550"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29</xdr:row>
      <xdr:rowOff>142875</xdr:rowOff>
    </xdr:from>
    <xdr:to>
      <xdr:col>12</xdr:col>
      <xdr:colOff>561975</xdr:colOff>
      <xdr:row>58</xdr:row>
      <xdr:rowOff>85725</xdr:rowOff>
    </xdr:to>
    <xdr:pic>
      <xdr:nvPicPr>
        <xdr:cNvPr id="4" name="图片 3" descr="C:\Documents and Settings\Administrator\Application Data\Tencent\Users\2416965547\QQ\WinTemp\RichOle\2S)0M}QG{Y9JWBMW`]PM)YF.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7275" y="5114925"/>
          <a:ext cx="7734300"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1</xdr:row>
      <xdr:rowOff>9525</xdr:rowOff>
    </xdr:from>
    <xdr:to>
      <xdr:col>13</xdr:col>
      <xdr:colOff>476250</xdr:colOff>
      <xdr:row>32</xdr:row>
      <xdr:rowOff>123825</xdr:rowOff>
    </xdr:to>
    <xdr:pic>
      <xdr:nvPicPr>
        <xdr:cNvPr id="2" name="图片 1" descr="C:\Documents and Settings\Administrator\Application Data\Tencent\Users\2416965547\QQ\WinTemp\RichOle\0)9%X9PGU0$EENMZ{@K~OM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180975"/>
          <a:ext cx="882967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北京市北京经济技术开发区东区A18街区出让国有建设用地使用权及在建建筑物房地产抵押价值预评估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崔锴（注册号：1120100036)、郑燚（注册号：1120070131)</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受贵公司委托，我公司对北京市北京经济技术开发区东区A18街区出让国有建设用地使用权及在建建筑物房地产抵押价值进行了预评估。</v>
      </c>
    </row>
    <row r="7" spans="1:2" s="1592" customFormat="1">
      <c r="A7" s="1590" t="s">
        <v>1256</v>
      </c>
      <c r="B7" s="1591" t="str">
        <f>'预评函-1'!A7</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2019年3月13日（评估专业人员实地查勘之日）</v>
      </c>
    </row>
    <row r="13" spans="1:2" s="1592" customFormat="1">
      <c r="A13" s="1590" t="s">
        <v>1219</v>
      </c>
      <c r="B13" s="1591" t="str">
        <f>'预评函-1'!A18</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本次评估采用的主估价方法为成本法和假设开发法。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227999</v>
      </c>
    </row>
    <row r="21" spans="1:2" s="1592" customFormat="1">
      <c r="A21" s="1590" t="s">
        <v>1227</v>
      </c>
      <c r="B21" s="1591">
        <f ca="1">'预评函-2'!D7</f>
        <v>8364</v>
      </c>
    </row>
    <row r="22" spans="1:2" s="1592" customFormat="1">
      <c r="A22" s="1590" t="s">
        <v>1228</v>
      </c>
      <c r="B22" s="1591" t="str">
        <f ca="1">'预评函-2'!D6</f>
        <v>贰拾贰亿柒仟玖佰玖拾玖万元整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227999</v>
      </c>
    </row>
    <row r="31" spans="1:2" s="1592" customFormat="1">
      <c r="A31" s="1590" t="s">
        <v>1266</v>
      </c>
      <c r="B31" s="1591">
        <f ca="1">'预评函-2'!D15</f>
        <v>8364</v>
      </c>
    </row>
    <row r="32" spans="1:2" s="1592" customFormat="1">
      <c r="A32" s="1590" t="s">
        <v>1233</v>
      </c>
      <c r="B32" s="1591" t="str">
        <f ca="1">'预评函-2'!D14</f>
        <v>贰拾贰亿柒仟玖佰玖拾玖万元整</v>
      </c>
    </row>
    <row r="33" spans="1:2" s="1592" customFormat="1">
      <c r="A33" s="1590" t="s">
        <v>1268</v>
      </c>
      <c r="B33" s="1591" t="str">
        <f>'预评函-2'!B16</f>
        <v>4.抵押担保权已注销时的房地产抵押价值</v>
      </c>
    </row>
    <row r="34" spans="1:2" s="1592" customFormat="1">
      <c r="A34" s="1590" t="s">
        <v>1286</v>
      </c>
      <c r="B34" s="1591">
        <f ca="1">'预评函-2'!D16</f>
        <v>227999</v>
      </c>
    </row>
    <row r="35" spans="1:2" s="1592" customFormat="1">
      <c r="A35" s="1590" t="s">
        <v>1267</v>
      </c>
      <c r="B35" s="1591">
        <f ca="1">'预评函-2'!D18</f>
        <v>8364</v>
      </c>
    </row>
    <row r="36" spans="1:2" s="1592" customFormat="1">
      <c r="A36" s="1590" t="s">
        <v>1234</v>
      </c>
      <c r="B36" s="1591" t="str">
        <f ca="1">'预评函-2'!D17</f>
        <v>贰拾贰亿柒仟玖佰玖拾玖万元整</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北京市北京经济技术开发区东区A18街区出让国有建设用地使用权及在建建筑物房地产</v>
      </c>
    </row>
    <row r="42" spans="1:2" s="1592" customFormat="1">
      <c r="A42" s="1590" t="s">
        <v>1280</v>
      </c>
      <c r="B42" s="1591" t="str">
        <f>'预评函-3'!B2</f>
        <v>建筑面积</v>
      </c>
    </row>
    <row r="43" spans="1:2" s="1592" customFormat="1">
      <c r="A43" s="1590" t="s">
        <v>1281</v>
      </c>
      <c r="B43" s="1591">
        <f>'预评函-3'!B4</f>
        <v>272582</v>
      </c>
    </row>
    <row r="44" spans="1:2" s="1592" customFormat="1">
      <c r="A44" s="1590" t="s">
        <v>1265</v>
      </c>
      <c r="B44" s="1591" t="str">
        <f>'预评函-3'!C2</f>
        <v>(分摊)土地面积</v>
      </c>
    </row>
    <row r="45" spans="1:2" s="1592" customFormat="1">
      <c r="A45" s="1590" t="s">
        <v>1237</v>
      </c>
      <c r="B45" s="1591">
        <f>'预评函-3'!C4</f>
        <v>54579.4</v>
      </c>
    </row>
    <row r="46" spans="1:2" s="1592" customFormat="1">
      <c r="A46" s="1590" t="s">
        <v>1263</v>
      </c>
      <c r="B46" s="1591" t="str">
        <f>'预评函-3'!D2</f>
        <v>出让国有建设用地使用权价值</v>
      </c>
    </row>
    <row r="47" spans="1:2" s="1592" customFormat="1">
      <c r="A47" s="1590" t="s">
        <v>1238</v>
      </c>
      <c r="B47" s="1591" t="e">
        <f ca="1">'预评函-3'!D4</f>
        <v>#REF!</v>
      </c>
    </row>
    <row r="48" spans="1:2" s="1592" customFormat="1">
      <c r="A48" s="1590" t="s">
        <v>1239</v>
      </c>
      <c r="B48" s="1591" t="e">
        <f ca="1">'预评函-3'!E4</f>
        <v>#REF!</v>
      </c>
    </row>
    <row r="49" spans="1:2" s="1592" customFormat="1">
      <c r="A49" s="1590" t="s">
        <v>1240</v>
      </c>
      <c r="B49" s="1591" t="e">
        <f ca="1">'预评函-3'!D5</f>
        <v>#REF!</v>
      </c>
    </row>
    <row r="50" spans="1:2" s="1592" customFormat="1">
      <c r="A50" s="1590" t="s">
        <v>1264</v>
      </c>
      <c r="B50" s="1591" t="str">
        <f>'预评函-3'!F2</f>
        <v>在建建筑物价值</v>
      </c>
    </row>
    <row r="51" spans="1:2" s="1592" customFormat="1">
      <c r="A51" s="1590" t="s">
        <v>1241</v>
      </c>
      <c r="B51" s="1591" t="e">
        <f ca="1">'预评函-3'!F4</f>
        <v>#REF!</v>
      </c>
    </row>
    <row r="52" spans="1:2" s="1592" customFormat="1">
      <c r="A52" s="1590" t="s">
        <v>1242</v>
      </c>
      <c r="B52" s="1591" t="e">
        <f ca="1">'预评函-3'!G4</f>
        <v>#REF!</v>
      </c>
    </row>
    <row r="53" spans="1:2" s="1592" customFormat="1">
      <c r="A53" s="1590" t="s">
        <v>1270</v>
      </c>
      <c r="B53" s="1591" t="e">
        <f ca="1">'预评函-3'!F5</f>
        <v>#REF!</v>
      </c>
    </row>
    <row r="54" spans="1:2" s="1592" customFormat="1">
      <c r="A54" s="1590" t="s">
        <v>1288</v>
      </c>
      <c r="B54" s="1591" t="str">
        <f>'预评函-3'!A8</f>
        <v>房地产抵押价值</v>
      </c>
    </row>
    <row r="55" spans="1:2" s="1592" customFormat="1">
      <c r="A55" s="1590" t="s">
        <v>1271</v>
      </c>
      <c r="B55" s="1591" t="str">
        <f>'预评函-3'!A10</f>
        <v>抵押担保权已注销时的房地产抵押价值</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崔锴</v>
      </c>
    </row>
    <row r="71" spans="1:2">
      <c r="A71" s="1590" t="s">
        <v>1253</v>
      </c>
      <c r="B71" s="1591">
        <f ca="1">'预评函-4'!B4</f>
        <v>1120100036</v>
      </c>
    </row>
    <row r="72" spans="1:2">
      <c r="A72" s="1590" t="s">
        <v>1254</v>
      </c>
      <c r="B72" s="1599" t="str">
        <f>'预评函-4'!A5</f>
        <v>郑燚</v>
      </c>
    </row>
    <row r="73" spans="1:2" s="1586" customFormat="1" ht="15" thickBot="1">
      <c r="A73" s="1593" t="s">
        <v>1255</v>
      </c>
      <c r="B73" s="1594">
        <f ca="1">'预评函-4'!B5</f>
        <v>1120070131</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013" t="s">
        <v>3000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013" t="s">
        <v>3002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013" t="s">
        <v>3004</v>
      </c>
      <c r="B5" s="2016" t="s">
        <v>3141</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013" t="s">
        <v>3022</v>
      </c>
      <c r="B6" s="2016" t="s">
        <v>3143</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t="s">
        <v>3145</v>
      </c>
      <c r="C7" s="2014" t="s">
        <v>31</v>
      </c>
      <c r="F7" s="2015" t="s">
        <v>1729</v>
      </c>
      <c r="H7" s="2015" t="s">
        <v>1730</v>
      </c>
      <c r="I7" s="2015" t="s">
        <v>1731</v>
      </c>
    </row>
    <row r="8" spans="1:23">
      <c r="A8" s="2013"/>
      <c r="B8" s="2013" t="s">
        <v>3147</v>
      </c>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299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1" t="s">
        <v>860</v>
      </c>
      <c r="C54" s="2018" t="s">
        <v>1273</v>
      </c>
    </row>
    <row r="55" spans="1:4">
      <c r="A55" s="2996"/>
      <c r="B55" s="2021" t="s">
        <v>861</v>
      </c>
      <c r="C55" s="2018" t="s">
        <v>1274</v>
      </c>
    </row>
    <row r="56" spans="1:4">
      <c r="A56" s="2996"/>
      <c r="B56" s="2021" t="s">
        <v>862</v>
      </c>
      <c r="C56" s="2018" t="s">
        <v>1278</v>
      </c>
    </row>
    <row r="57" spans="1:4">
      <c r="A57" s="2996"/>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F37" sqref="F37"/>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1735</v>
      </c>
      <c r="B1" s="3005" t="str">
        <f>IF(B10="北京市","北京市",C10)&amp;F10&amp;IF(结果表!G1="在建","出让国有建设用地使用权及在建建筑物",IF(结果表!G1="土地","出让国有建设用地使用权",))&amp;B9&amp;"预评估"</f>
        <v>北京市北京经济技术开发区东区A18街区出让国有建设用地使用权及在建建筑物房地产抵押价值预评估</v>
      </c>
      <c r="C1" s="3006"/>
      <c r="D1" s="3006"/>
      <c r="E1" s="3006"/>
      <c r="F1" s="3006"/>
      <c r="G1" s="3006"/>
      <c r="H1" s="3006"/>
      <c r="I1" s="30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北京市北京经济技术开发区东区A18街区出让国有建设用地使用权及在建建筑物房地产抵押价值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北京市北京经济技术开发区东区A18街区出让国有建设用地使用权及在建建筑物房地产</v>
      </c>
    </row>
    <row r="3" spans="1:19" ht="18" customHeight="1">
      <c r="A3" s="2034" t="s">
        <v>1737</v>
      </c>
      <c r="B3" s="2035">
        <v>43537</v>
      </c>
      <c r="C3" s="2036" t="s">
        <v>1738</v>
      </c>
      <c r="D3" s="2035">
        <f>B3</f>
        <v>43537</v>
      </c>
      <c r="E3" s="2025"/>
      <c r="F3" s="2025"/>
      <c r="G3" s="2025"/>
      <c r="H3" s="2025"/>
      <c r="I3" s="2025"/>
      <c r="J3" s="2025"/>
      <c r="K3" s="2026"/>
      <c r="L3" s="2027"/>
      <c r="M3" s="2027"/>
      <c r="N3" s="2028"/>
      <c r="O3" s="2029"/>
      <c r="P3" s="2028"/>
      <c r="Q3" s="2028"/>
      <c r="R3" s="2028"/>
      <c r="S3" s="2030"/>
    </row>
    <row r="4" spans="1:19" ht="18" customHeight="1" thickBot="1">
      <c r="A4" s="2037" t="s">
        <v>1739</v>
      </c>
      <c r="B4" s="2038" t="s">
        <v>3005</v>
      </c>
      <c r="C4" s="1037">
        <f ca="1">SUMIF(注册房地产估价师,B4,估价师及机构信息!B3:B24)</f>
        <v>1120100036</v>
      </c>
      <c r="D4" s="2038" t="s">
        <v>3006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3007</v>
      </c>
      <c r="C8" s="2055"/>
      <c r="D8" s="3008" t="s">
        <v>1744</v>
      </c>
      <c r="E8" s="2056" t="s">
        <v>3009</v>
      </c>
      <c r="F8" s="2057"/>
      <c r="G8" s="2025"/>
      <c r="H8" s="2025"/>
      <c r="I8" s="2025"/>
      <c r="J8" s="2041"/>
      <c r="K8" s="2042"/>
      <c r="L8" s="2027"/>
      <c r="M8" s="2027"/>
      <c r="N8" s="2028"/>
      <c r="O8" s="2029"/>
      <c r="P8" s="2028"/>
      <c r="Q8" s="2028"/>
      <c r="R8" s="2028"/>
    </row>
    <row r="9" spans="1:19" ht="18" customHeight="1" thickBot="1">
      <c r="A9" s="2039" t="s">
        <v>1745</v>
      </c>
      <c r="B9" s="2058" t="s">
        <v>3008</v>
      </c>
      <c r="C9" s="2059"/>
      <c r="D9" s="3009"/>
      <c r="E9" s="2058" t="s">
        <v>70</v>
      </c>
      <c r="F9" s="2060"/>
      <c r="G9" s="2061"/>
      <c r="H9" s="2061"/>
      <c r="I9" s="2061"/>
      <c r="J9" s="2041"/>
      <c r="K9" s="2053"/>
      <c r="L9" s="2027"/>
      <c r="M9" s="2027"/>
      <c r="N9" s="2028"/>
      <c r="O9" s="2029"/>
      <c r="P9" s="2028"/>
      <c r="Q9" s="2028"/>
      <c r="R9" s="2028"/>
    </row>
    <row r="10" spans="1:19" ht="18" customHeight="1" thickTop="1">
      <c r="A10" s="2062" t="s">
        <v>1746</v>
      </c>
      <c r="B10" s="2063" t="s">
        <v>3010</v>
      </c>
      <c r="C10" s="2064"/>
      <c r="D10" s="2046"/>
      <c r="E10" s="2065" t="s">
        <v>1747</v>
      </c>
      <c r="F10" s="2066" t="s">
        <v>3012</v>
      </c>
      <c r="G10" s="2067"/>
      <c r="H10" s="2068"/>
      <c r="I10" s="2046"/>
      <c r="J10" s="2041"/>
      <c r="K10" s="2053"/>
      <c r="L10" s="2027"/>
      <c r="M10" s="2027"/>
      <c r="N10" s="2028"/>
      <c r="O10" s="2029"/>
      <c r="P10" s="2028"/>
      <c r="Q10" s="2028"/>
      <c r="R10" s="2028"/>
    </row>
    <row r="11" spans="1:19" ht="18" customHeight="1">
      <c r="A11" s="2069" t="s">
        <v>1748</v>
      </c>
      <c r="B11" s="2070" t="s">
        <v>3011</v>
      </c>
      <c r="C11" s="2071"/>
      <c r="D11" s="2072"/>
      <c r="E11" s="2041"/>
      <c r="F11" s="2041"/>
      <c r="G11" s="2041"/>
      <c r="H11" s="2041"/>
      <c r="I11" s="2041"/>
      <c r="J11" s="2041"/>
      <c r="K11" s="2053"/>
      <c r="L11" s="2027"/>
      <c r="M11" s="2027"/>
      <c r="N11" s="2028"/>
      <c r="O11" s="2029"/>
      <c r="P11" s="2028"/>
      <c r="Q11" s="2028"/>
      <c r="R11" s="2028"/>
    </row>
    <row r="12" spans="1:19" ht="18" customHeight="1">
      <c r="A12" s="2073" t="s">
        <v>1749</v>
      </c>
      <c r="B12" s="2070" t="s">
        <v>3034</v>
      </c>
      <c r="C12" s="2074" t="s">
        <v>1750</v>
      </c>
      <c r="D12" s="2075" t="s">
        <v>1751</v>
      </c>
      <c r="E12" s="2075" t="s">
        <v>1752</v>
      </c>
      <c r="F12" s="2075" t="s">
        <v>1753</v>
      </c>
      <c r="G12" s="2075" t="s">
        <v>1754</v>
      </c>
      <c r="H12" s="2075" t="s">
        <v>1755</v>
      </c>
      <c r="I12" s="2075" t="s">
        <v>1756</v>
      </c>
      <c r="J12" s="2041"/>
      <c r="K12" s="2053"/>
      <c r="L12" s="2027"/>
      <c r="M12" s="2027"/>
      <c r="N12" s="2028"/>
      <c r="O12" s="2029"/>
      <c r="P12" s="2028"/>
      <c r="Q12" s="2028"/>
      <c r="R12" s="2028"/>
    </row>
    <row r="13" spans="1:19" ht="18" customHeight="1">
      <c r="A13" s="2076"/>
      <c r="B13" s="2077"/>
      <c r="C13" s="2078" t="s">
        <v>1757</v>
      </c>
      <c r="D13" s="2079"/>
      <c r="E13" s="2079">
        <v>56377</v>
      </c>
      <c r="F13" s="2079">
        <v>60030</v>
      </c>
      <c r="G13" s="2079">
        <v>60030</v>
      </c>
      <c r="H13" s="2079"/>
      <c r="I13" s="1047"/>
      <c r="J13" s="2041"/>
      <c r="K13" s="2053"/>
      <c r="L13" s="2027"/>
      <c r="M13" s="2027"/>
      <c r="N13" s="2028"/>
      <c r="O13" s="2029"/>
      <c r="P13" s="2028"/>
      <c r="Q13" s="2028"/>
      <c r="R13" s="2028"/>
    </row>
    <row r="14" spans="1:19" ht="18" customHeight="1">
      <c r="A14" s="2076"/>
      <c r="B14" s="2077"/>
      <c r="C14" s="2078" t="s">
        <v>1758</v>
      </c>
      <c r="D14" s="1050"/>
      <c r="E14" s="1050">
        <v>40</v>
      </c>
      <c r="F14" s="1050">
        <v>50</v>
      </c>
      <c r="G14" s="1050">
        <v>50</v>
      </c>
      <c r="H14" s="1050"/>
      <c r="I14" s="1050"/>
      <c r="J14" s="2041"/>
      <c r="K14" s="2080"/>
      <c r="L14" s="2027"/>
      <c r="M14" s="2027"/>
      <c r="N14" s="2028"/>
      <c r="O14" s="2029"/>
      <c r="P14" s="2028"/>
      <c r="Q14" s="2028"/>
      <c r="R14" s="2028"/>
    </row>
    <row r="15" spans="1:19" ht="18" customHeight="1">
      <c r="A15" s="2062"/>
      <c r="B15" s="2081"/>
      <c r="C15" s="2078" t="s">
        <v>1759</v>
      </c>
      <c r="D15" s="1049" t="str">
        <f>IF(B12="出让",IF(D13="","",ROUNDDOWN(MIN((D13-$D$3)/365,D14),2)),D14)</f>
        <v/>
      </c>
      <c r="E15" s="1049">
        <f>IF(B12="出让",IF(E13="","",ROUNDDOWN(MIN((E13-$D$3)/365,E14),2)),E14)</f>
        <v>35.17</v>
      </c>
      <c r="F15" s="1049">
        <f>IF(B12="出让",IF(F13="","",ROUNDDOWN(MIN((F13-$D$3)/365,F14),2)),F14)</f>
        <v>45.18</v>
      </c>
      <c r="G15" s="1049">
        <f>IF(B12="出让",IF(G13="","",ROUNDDOWN(MIN((G13-$D$3)/365,G14),2)),G14)</f>
        <v>45.18</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1760</v>
      </c>
      <c r="B16" s="3015"/>
      <c r="C16" s="3016"/>
      <c r="D16" s="3017"/>
      <c r="E16" s="2085" t="s">
        <v>1761</v>
      </c>
      <c r="F16" s="3018"/>
      <c r="G16" s="3019"/>
      <c r="H16" s="3019"/>
      <c r="I16" s="3020"/>
      <c r="J16" s="2028"/>
      <c r="K16" s="2082"/>
      <c r="L16" s="2083"/>
      <c r="M16" s="2083"/>
      <c r="N16" s="2084"/>
      <c r="O16" s="2083"/>
      <c r="P16" s="2084"/>
      <c r="Q16" s="2028"/>
      <c r="R16" s="2028"/>
    </row>
    <row r="17" spans="1:22" ht="18" customHeight="1">
      <c r="A17" s="2086" t="s">
        <v>1762</v>
      </c>
      <c r="B17" s="2034" t="s">
        <v>1763</v>
      </c>
      <c r="C17" s="1054">
        <f>'数据-汇总表'!E3</f>
        <v>272582</v>
      </c>
      <c r="D17" s="2087" t="s">
        <v>1764</v>
      </c>
      <c r="E17" s="3292" t="s">
        <v>3150</v>
      </c>
      <c r="F17" s="3021"/>
      <c r="G17" s="3021"/>
      <c r="H17" s="3021"/>
      <c r="I17" s="3022"/>
      <c r="J17" s="2028"/>
      <c r="K17" s="2088"/>
      <c r="L17" s="2083"/>
      <c r="M17" s="2083"/>
      <c r="N17" s="2084"/>
      <c r="O17" s="2083"/>
      <c r="P17" s="2084"/>
      <c r="Q17" s="2028"/>
      <c r="R17" s="2028"/>
      <c r="S17" s="2028"/>
      <c r="T17" s="2028"/>
      <c r="U17" s="2028"/>
      <c r="V17" s="2028"/>
    </row>
    <row r="18" spans="1:22" ht="36" customHeight="1" thickBot="1">
      <c r="A18" s="2089" t="s">
        <v>1765</v>
      </c>
      <c r="B18" s="2037" t="s">
        <v>1766</v>
      </c>
      <c r="C18" s="1444">
        <f>'数据-汇总表'!D3</f>
        <v>54579.4</v>
      </c>
      <c r="D18" s="2090" t="s">
        <v>1764</v>
      </c>
      <c r="E18" s="3291" t="s">
        <v>3149</v>
      </c>
      <c r="F18" s="3023"/>
      <c r="G18" s="3023"/>
      <c r="H18" s="3023"/>
      <c r="I18" s="3024"/>
      <c r="J18" s="2028"/>
      <c r="K18" s="2088"/>
      <c r="L18" s="2083"/>
      <c r="M18" s="2083"/>
      <c r="N18" s="2084"/>
      <c r="O18" s="2083"/>
      <c r="P18" s="2084"/>
      <c r="Q18" s="2028"/>
      <c r="R18" s="2028"/>
      <c r="S18" s="2028"/>
      <c r="T18" s="2028"/>
      <c r="U18" s="2028"/>
      <c r="V18" s="2028"/>
    </row>
    <row r="19" spans="1:22" ht="37.5" customHeight="1" thickTop="1" thickBot="1">
      <c r="A19" s="373" t="s">
        <v>1767</v>
      </c>
      <c r="B19" s="352" t="s">
        <v>1768</v>
      </c>
      <c r="C19" s="2091" t="s">
        <v>3023</v>
      </c>
      <c r="D19" s="2092" t="s">
        <v>1769</v>
      </c>
      <c r="E19" s="2093" t="s">
        <v>3038</v>
      </c>
      <c r="F19" s="2094" t="str">
        <f>IF(AND(C19="是",E19="否"),"是否提供他项权证或相关说明","")</f>
        <v>是否提供他项权证或相关说明</v>
      </c>
      <c r="G19" s="2095" t="s">
        <v>70</v>
      </c>
      <c r="H19" s="2041"/>
      <c r="I19" s="2041"/>
      <c r="J19" s="2041"/>
      <c r="K19" s="2053"/>
      <c r="L19" s="2027"/>
      <c r="M19" s="2027"/>
      <c r="N19" s="2084"/>
      <c r="O19" s="2083"/>
      <c r="P19" s="2084"/>
      <c r="Q19" s="2028"/>
      <c r="R19" s="2028"/>
      <c r="S19" s="2028"/>
      <c r="T19" s="2028"/>
      <c r="U19" s="2028"/>
      <c r="V19" s="2028"/>
    </row>
    <row r="20" spans="1:22" ht="18" customHeight="1">
      <c r="A20" s="2096" t="s">
        <v>1770</v>
      </c>
      <c r="B20" s="3011" t="s">
        <v>1771</v>
      </c>
      <c r="C20" s="3012"/>
      <c r="D20" s="3013" t="s">
        <v>1772</v>
      </c>
      <c r="E20" s="3014"/>
      <c r="F20" s="2097" t="s">
        <v>1773</v>
      </c>
      <c r="G20" s="2041"/>
      <c r="H20" s="2041"/>
      <c r="I20" s="2041"/>
      <c r="J20" s="2041"/>
      <c r="K20" s="3010" t="s">
        <v>1774</v>
      </c>
      <c r="L20" s="748"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27"/>
      <c r="N20" s="2084"/>
      <c r="O20" s="2083"/>
      <c r="P20" s="2084"/>
      <c r="Q20" s="2028"/>
      <c r="R20" s="2028"/>
      <c r="S20" s="2028"/>
      <c r="T20" s="2028"/>
      <c r="U20" s="2028"/>
      <c r="V20" s="2028"/>
    </row>
    <row r="21" spans="1:22" ht="24.75" customHeight="1">
      <c r="A21" s="2096"/>
      <c r="B21" s="2098" t="s">
        <v>3037</v>
      </c>
      <c r="C21" s="2099" t="s">
        <v>1775</v>
      </c>
      <c r="D21" s="2100"/>
      <c r="E21" s="2101" t="s">
        <v>70</v>
      </c>
      <c r="F21" s="2102"/>
      <c r="G21" s="2041"/>
      <c r="H21" s="2041"/>
      <c r="I21" s="2041"/>
      <c r="J21" s="2041"/>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70</v>
      </c>
      <c r="C22" s="2099"/>
      <c r="D22" s="2025"/>
      <c r="E22" s="2025"/>
      <c r="F22" s="2104"/>
      <c r="G22" s="2041"/>
      <c r="H22" s="2041"/>
      <c r="I22" s="2041"/>
      <c r="J22" s="2041"/>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1776</v>
      </c>
      <c r="B23" s="183" t="s">
        <v>1777</v>
      </c>
      <c r="C23" s="2106"/>
      <c r="D23" s="2107" t="s">
        <v>1777</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1778</v>
      </c>
      <c r="C24" s="2111"/>
      <c r="D24" s="2105" t="s">
        <v>1778</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1779</v>
      </c>
      <c r="C25" s="2111"/>
      <c r="D25" s="2105" t="s">
        <v>1779</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1780</v>
      </c>
      <c r="C26" s="2115"/>
      <c r="D26" s="2116" t="s">
        <v>1781</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2998" t="s">
        <v>1782</v>
      </c>
      <c r="B27" s="2062" t="s">
        <v>1783</v>
      </c>
      <c r="C27" s="2119" t="s">
        <v>3039</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2998"/>
      <c r="B28" s="2034" t="s">
        <v>1784</v>
      </c>
      <c r="C28" s="2121" t="s">
        <v>3040</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2998"/>
      <c r="B29" s="2034" t="s">
        <v>1785</v>
      </c>
      <c r="C29" s="2124" t="s">
        <v>3038</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2999"/>
      <c r="B30" s="2034" t="s">
        <v>1786</v>
      </c>
      <c r="C30" s="3000"/>
      <c r="D30" s="3001"/>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02" t="s">
        <v>1787</v>
      </c>
      <c r="B31" s="2126" t="s">
        <v>3041</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03"/>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03"/>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1788</v>
      </c>
      <c r="B34" s="2133" t="s">
        <v>3042</v>
      </c>
      <c r="C34" s="2133" t="s">
        <v>3043</v>
      </c>
      <c r="D34" s="2133" t="s">
        <v>3044</v>
      </c>
      <c r="E34" s="2133" t="s">
        <v>3045</v>
      </c>
      <c r="F34" s="2133" t="s">
        <v>3046</v>
      </c>
      <c r="G34" s="2133" t="s">
        <v>3047</v>
      </c>
      <c r="H34" s="2133" t="s">
        <v>3048</v>
      </c>
      <c r="I34" s="2041"/>
      <c r="J34" s="2041"/>
      <c r="K34" s="1794">
        <f>COUNTIF(B34:H34,"——")</f>
        <v>0</v>
      </c>
      <c r="L34" s="2074" t="s">
        <v>1789</v>
      </c>
      <c r="M34" s="2074" t="s">
        <v>1790</v>
      </c>
      <c r="N34" s="2074" t="s">
        <v>1791</v>
      </c>
      <c r="O34" s="2074" t="s">
        <v>1792</v>
      </c>
      <c r="P34" s="2074" t="s">
        <v>1793</v>
      </c>
      <c r="Q34" s="2074" t="s">
        <v>1794</v>
      </c>
      <c r="R34" s="2074" t="s">
        <v>1795</v>
      </c>
      <c r="S34" s="2997" t="s">
        <v>1796</v>
      </c>
      <c r="T34" s="2134" t="str">
        <f>NUMBERSTRING(7-K34,1)&amp;"通"</f>
        <v>七通</v>
      </c>
      <c r="U34" s="2028"/>
      <c r="V34" s="2028"/>
    </row>
    <row r="35" spans="1:22" ht="18" customHeight="1">
      <c r="A35" s="2135"/>
      <c r="B35" s="3004" t="s">
        <v>1797</v>
      </c>
      <c r="C35" s="3004"/>
      <c r="D35" s="3004"/>
      <c r="E35" s="3004"/>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97"/>
      <c r="T35" s="48" t="str">
        <f>IF(T34="一通",L35,IF(T34="二通",M35,IF(T34="三通",N35,IF(T34="四通",O35,IF(T34="五通",P35,IF(T34="六通",Q35,R35))))))</f>
        <v>通路、通电、通讯、通上水、通下水、通热、燃气</v>
      </c>
      <c r="U35" s="2028"/>
      <c r="V35" s="2028"/>
    </row>
    <row r="36" spans="1:22" ht="18" customHeight="1">
      <c r="A36" s="2137"/>
      <c r="B36" s="2136" t="s">
        <v>1798</v>
      </c>
      <c r="C36" s="2136" t="s">
        <v>1799</v>
      </c>
      <c r="D36" s="2136" t="s">
        <v>1800</v>
      </c>
      <c r="E36" s="2136" t="s">
        <v>1801</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1802</v>
      </c>
      <c r="B37" s="2140" t="s">
        <v>526</v>
      </c>
      <c r="C37" s="2140" t="s">
        <v>526</v>
      </c>
      <c r="D37" s="2140" t="s">
        <v>526</v>
      </c>
      <c r="E37" s="2140" t="s">
        <v>526</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1803</v>
      </c>
      <c r="B38" s="2142" t="s">
        <v>3052</v>
      </c>
      <c r="C38" s="2142" t="s">
        <v>3052</v>
      </c>
      <c r="D38" s="2142" t="s">
        <v>3052</v>
      </c>
      <c r="E38" s="2142" t="s">
        <v>3052</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1805</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1806</v>
      </c>
      <c r="B42" s="1794" t="s">
        <v>1807</v>
      </c>
      <c r="C42" s="1794" t="s">
        <v>1808</v>
      </c>
      <c r="D42" s="1794" t="s">
        <v>1809</v>
      </c>
      <c r="E42" s="1794" t="s">
        <v>1810</v>
      </c>
      <c r="F42" s="1794" t="s">
        <v>1811</v>
      </c>
      <c r="G42" s="1794" t="s">
        <v>1812</v>
      </c>
      <c r="H42" s="1794" t="s">
        <v>1813</v>
      </c>
      <c r="I42" s="1794" t="s">
        <v>1814</v>
      </c>
      <c r="J42" s="2152" t="s">
        <v>1815</v>
      </c>
      <c r="K42" s="2075" t="s">
        <v>1816</v>
      </c>
      <c r="L42" s="2075" t="s">
        <v>1817</v>
      </c>
      <c r="M42" s="2075" t="s">
        <v>1818</v>
      </c>
      <c r="N42" s="1794" t="s">
        <v>1819</v>
      </c>
      <c r="O42" s="1794" t="s">
        <v>1820</v>
      </c>
      <c r="P42" s="1794" t="s">
        <v>1821</v>
      </c>
      <c r="Q42" s="2074" t="s">
        <v>1822</v>
      </c>
      <c r="R42" s="2074" t="s">
        <v>1823</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D13" activePane="bottomRight" state="frozen"/>
      <selection activeCell="C50" sqref="C50"/>
      <selection pane="topRight" activeCell="C50" sqref="C50"/>
      <selection pane="bottomLeft" activeCell="C50" sqref="C50"/>
      <selection pane="bottomRight" activeCell="Q1" sqref="Q1:AB1048576"/>
    </sheetView>
  </sheetViews>
  <sheetFormatPr defaultColWidth="8.875" defaultRowHeight="14.25"/>
  <cols>
    <col min="1" max="1" width="8.375" style="2159" customWidth="1"/>
    <col min="2" max="2" width="10.125" style="2159" customWidth="1"/>
    <col min="3" max="3" width="20.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11.2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1824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1826</v>
      </c>
      <c r="B2" s="11" t="s">
        <v>1827</v>
      </c>
      <c r="C2" s="11" t="s">
        <v>1828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1829</v>
      </c>
      <c r="AZ2" s="1270" t="s">
        <v>1830</v>
      </c>
      <c r="BA2" s="11" t="s">
        <v>1831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54579.4</v>
      </c>
      <c r="B3" s="14">
        <f>IF(C3="否",G5-AT5,G5)</f>
        <v>272582</v>
      </c>
      <c r="C3" s="2168" t="s">
        <v>1832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1833</v>
      </c>
      <c r="B5" s="1802"/>
      <c r="C5" s="1802"/>
      <c r="D5" s="1805"/>
      <c r="E5" s="16" t="s">
        <v>1</v>
      </c>
      <c r="F5" s="16">
        <f>SUM(F13:F587)</f>
        <v>0</v>
      </c>
      <c r="G5" s="16">
        <f>SUM(G13:G587)</f>
        <v>272582</v>
      </c>
      <c r="H5" s="16">
        <f t="shared" ref="H5:AT5" si="0">SUM(H13:H656)</f>
        <v>225447.34</v>
      </c>
      <c r="I5" s="16">
        <f t="shared" si="0"/>
        <v>125562.38</v>
      </c>
      <c r="J5" s="16">
        <f t="shared" si="0"/>
        <v>0</v>
      </c>
      <c r="K5" s="16">
        <f t="shared" si="0"/>
        <v>11376.42</v>
      </c>
      <c r="L5" s="16">
        <f t="shared" si="0"/>
        <v>0</v>
      </c>
      <c r="M5" s="16">
        <f t="shared" si="0"/>
        <v>18832.939999999999</v>
      </c>
      <c r="N5" s="16">
        <f t="shared" si="0"/>
        <v>0</v>
      </c>
      <c r="O5" s="16">
        <f t="shared" si="0"/>
        <v>69675.600000000006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47134.659999999996</v>
      </c>
      <c r="AD5" s="16">
        <f t="shared" si="0"/>
        <v>35256.26</v>
      </c>
      <c r="AE5" s="16">
        <f t="shared" si="0"/>
        <v>0</v>
      </c>
      <c r="AF5" s="16">
        <f t="shared" si="0"/>
        <v>6166.9</v>
      </c>
      <c r="AG5" s="16">
        <f t="shared" si="0"/>
        <v>0</v>
      </c>
      <c r="AH5" s="16">
        <f t="shared" si="0"/>
        <v>0</v>
      </c>
      <c r="AI5" s="16">
        <f t="shared" si="0"/>
        <v>0</v>
      </c>
      <c r="AJ5" s="16">
        <f t="shared" si="0"/>
        <v>0</v>
      </c>
      <c r="AK5" s="16">
        <f t="shared" si="0"/>
        <v>0</v>
      </c>
      <c r="AL5" s="16">
        <f t="shared" si="0"/>
        <v>0</v>
      </c>
      <c r="AM5" s="16">
        <f t="shared" si="0"/>
        <v>0</v>
      </c>
      <c r="AN5" s="16">
        <f t="shared" si="0"/>
        <v>5711.5</v>
      </c>
      <c r="AO5" s="16">
        <f t="shared" si="0"/>
        <v>0</v>
      </c>
      <c r="AP5" s="16">
        <f t="shared" si="0"/>
        <v>0</v>
      </c>
      <c r="AQ5" s="16">
        <f t="shared" si="0"/>
        <v>0</v>
      </c>
      <c r="AR5" s="16">
        <f t="shared" si="0"/>
        <v>0</v>
      </c>
      <c r="AS5" s="16">
        <f t="shared" si="0"/>
        <v>0</v>
      </c>
      <c r="AT5" s="16">
        <f t="shared" si="0"/>
        <v>0</v>
      </c>
      <c r="AU5" s="1801"/>
      <c r="AV5" s="15" t="s">
        <v>1833</v>
      </c>
      <c r="AW5" s="1802"/>
      <c r="AX5" s="1802"/>
      <c r="AY5" s="17" t="s">
        <v>3</v>
      </c>
      <c r="AZ5" s="18">
        <f t="shared" ref="AZ5:BT5" si="1">SUM(AZ13:AZ656)</f>
        <v>272582</v>
      </c>
      <c r="BA5" s="18">
        <f t="shared" si="1"/>
        <v>225447.34</v>
      </c>
      <c r="BB5" s="18">
        <f t="shared" si="1"/>
        <v>125562.38</v>
      </c>
      <c r="BC5" s="18">
        <f t="shared" si="1"/>
        <v>11376.42</v>
      </c>
      <c r="BD5" s="18">
        <f t="shared" si="1"/>
        <v>18832.939999999999</v>
      </c>
      <c r="BE5" s="18">
        <f t="shared" si="1"/>
        <v>69675.600000000006</v>
      </c>
      <c r="BF5" s="18">
        <f t="shared" si="1"/>
        <v>0</v>
      </c>
      <c r="BG5" s="18">
        <f t="shared" si="1"/>
        <v>0</v>
      </c>
      <c r="BH5" s="18">
        <f t="shared" si="1"/>
        <v>0</v>
      </c>
      <c r="BI5" s="18">
        <f t="shared" si="1"/>
        <v>0</v>
      </c>
      <c r="BJ5" s="18">
        <f t="shared" si="1"/>
        <v>0</v>
      </c>
      <c r="BK5" s="18">
        <f t="shared" si="1"/>
        <v>0</v>
      </c>
      <c r="BL5" s="18">
        <f t="shared" si="1"/>
        <v>47134.659999999996</v>
      </c>
      <c r="BM5" s="18">
        <f t="shared" si="1"/>
        <v>35256.26</v>
      </c>
      <c r="BN5" s="18">
        <f t="shared" si="1"/>
        <v>6166.9</v>
      </c>
      <c r="BO5" s="18">
        <f t="shared" si="1"/>
        <v>0</v>
      </c>
      <c r="BP5" s="18">
        <f t="shared" si="1"/>
        <v>0</v>
      </c>
      <c r="BQ5" s="18">
        <f t="shared" si="1"/>
        <v>0</v>
      </c>
      <c r="BR5" s="18">
        <f t="shared" si="1"/>
        <v>5711.5</v>
      </c>
      <c r="BS5" s="18">
        <f t="shared" si="1"/>
        <v>0</v>
      </c>
      <c r="BT5" s="19">
        <f t="shared" si="1"/>
        <v>0</v>
      </c>
    </row>
    <row r="6" spans="1:72" s="2177" customFormat="1" ht="12.75">
      <c r="A6" s="15" t="s">
        <v>1834</v>
      </c>
      <c r="B6" s="2174"/>
      <c r="C6" s="2174"/>
      <c r="D6" s="2175"/>
      <c r="E6" s="16">
        <f>H6+AC6+AT6</f>
        <v>54579.399999999994</v>
      </c>
      <c r="F6" s="16" t="s">
        <v>1</v>
      </c>
      <c r="G6" s="16" t="s">
        <v>2</v>
      </c>
      <c r="H6" s="20">
        <f>SUMIF(I$12:AB$12,"总值",I6:AB6)</f>
        <v>45141.57</v>
      </c>
      <c r="I6" s="16">
        <f t="shared" ref="I6:AB6" si="2">ROUND($A$3*I5/$B$3,2)</f>
        <v>25141.5</v>
      </c>
      <c r="J6" s="16">
        <f t="shared" si="2"/>
        <v>0</v>
      </c>
      <c r="K6" s="16">
        <f t="shared" si="2"/>
        <v>2277.91</v>
      </c>
      <c r="L6" s="16">
        <f t="shared" si="2"/>
        <v>0</v>
      </c>
      <c r="M6" s="16">
        <f t="shared" si="2"/>
        <v>3770.94</v>
      </c>
      <c r="N6" s="16">
        <f t="shared" si="2"/>
        <v>0</v>
      </c>
      <c r="O6" s="16">
        <f t="shared" si="2"/>
        <v>13951.22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9437.8299999999981</v>
      </c>
      <c r="AD6" s="16">
        <f t="shared" ref="AD6:AS6" si="3">ROUND($A$3*AD5/$B$3,2)</f>
        <v>7059.4</v>
      </c>
      <c r="AE6" s="16">
        <f t="shared" si="3"/>
        <v>0</v>
      </c>
      <c r="AF6" s="16">
        <f t="shared" si="3"/>
        <v>1234.81</v>
      </c>
      <c r="AG6" s="16">
        <f t="shared" si="3"/>
        <v>0</v>
      </c>
      <c r="AH6" s="16">
        <f t="shared" si="3"/>
        <v>0</v>
      </c>
      <c r="AI6" s="16">
        <f t="shared" si="3"/>
        <v>0</v>
      </c>
      <c r="AJ6" s="16">
        <f t="shared" si="3"/>
        <v>0</v>
      </c>
      <c r="AK6" s="16">
        <f t="shared" si="3"/>
        <v>0</v>
      </c>
      <c r="AL6" s="16">
        <f t="shared" si="3"/>
        <v>0</v>
      </c>
      <c r="AM6" s="16">
        <f t="shared" si="3"/>
        <v>0</v>
      </c>
      <c r="AN6" s="16">
        <f t="shared" si="3"/>
        <v>1143.6199999999999</v>
      </c>
      <c r="AO6" s="16">
        <f t="shared" si="3"/>
        <v>0</v>
      </c>
      <c r="AP6" s="16">
        <f t="shared" si="3"/>
        <v>0</v>
      </c>
      <c r="AQ6" s="16">
        <f t="shared" si="3"/>
        <v>0</v>
      </c>
      <c r="AR6" s="16">
        <f t="shared" si="3"/>
        <v>0</v>
      </c>
      <c r="AS6" s="16">
        <f t="shared" si="3"/>
        <v>0</v>
      </c>
      <c r="AT6" s="20">
        <f>IF(C3="是",ROUND($A$3*AT5/$B$3,2),0)</f>
        <v>0</v>
      </c>
      <c r="AU6" s="2176"/>
      <c r="AV6" s="15" t="s">
        <v>1834</v>
      </c>
      <c r="AW6" s="2174"/>
      <c r="AX6" s="2174"/>
      <c r="AY6" s="21">
        <f>IF(AY3&gt;0,AY3,ROUND($A$3*AZ5/$B$3,2))</f>
        <v>54579.4</v>
      </c>
      <c r="AZ6" s="16" t="s">
        <v>3</v>
      </c>
      <c r="BA6" s="16">
        <f>ROUND($AY$6*BA5/$AZ$5,2)</f>
        <v>45141.57</v>
      </c>
      <c r="BB6" s="16">
        <f>ROUND($AY$6*BB5/$AZ$5,2)</f>
        <v>25141.5</v>
      </c>
      <c r="BC6" s="16">
        <f t="shared" ref="BC6:BH6" si="4">ROUND($AY$6*BC5/$AZ$5,2)</f>
        <v>2277.91</v>
      </c>
      <c r="BD6" s="16">
        <f t="shared" si="4"/>
        <v>3770.94</v>
      </c>
      <c r="BE6" s="16">
        <f t="shared" si="4"/>
        <v>13951.22</v>
      </c>
      <c r="BF6" s="16">
        <f t="shared" si="4"/>
        <v>0</v>
      </c>
      <c r="BG6" s="16">
        <f t="shared" si="4"/>
        <v>0</v>
      </c>
      <c r="BH6" s="16">
        <f t="shared" si="4"/>
        <v>0</v>
      </c>
      <c r="BI6" s="16">
        <f t="shared" ref="BI6:BT6" si="5">ROUND($AY$6*BI5/$AZ$5,2)</f>
        <v>0</v>
      </c>
      <c r="BJ6" s="16">
        <f t="shared" si="5"/>
        <v>0</v>
      </c>
      <c r="BK6" s="16">
        <f t="shared" si="5"/>
        <v>0</v>
      </c>
      <c r="BL6" s="16">
        <f t="shared" si="5"/>
        <v>9437.83</v>
      </c>
      <c r="BM6" s="16">
        <f t="shared" si="5"/>
        <v>7059.4</v>
      </c>
      <c r="BN6" s="16">
        <f t="shared" si="5"/>
        <v>1234.81</v>
      </c>
      <c r="BO6" s="16">
        <f t="shared" si="5"/>
        <v>0</v>
      </c>
      <c r="BP6" s="16">
        <f t="shared" si="5"/>
        <v>0</v>
      </c>
      <c r="BQ6" s="16">
        <f t="shared" si="5"/>
        <v>0</v>
      </c>
      <c r="BR6" s="16">
        <f t="shared" si="5"/>
        <v>1143.6199999999999</v>
      </c>
      <c r="BS6" s="16">
        <f t="shared" si="5"/>
        <v>0</v>
      </c>
      <c r="BT6" s="22">
        <f t="shared" si="5"/>
        <v>0</v>
      </c>
    </row>
    <row r="7" spans="1:72" s="2167" customFormat="1" ht="24.75">
      <c r="A7" s="2109" t="s">
        <v>1835</v>
      </c>
      <c r="B7" s="2109" t="s">
        <v>1836</v>
      </c>
      <c r="C7" s="2109" t="s">
        <v>1837</v>
      </c>
      <c r="D7" s="2109" t="s">
        <v>1838</v>
      </c>
      <c r="E7" s="2109" t="s">
        <v>1839</v>
      </c>
      <c r="F7" s="2109" t="s">
        <v>1840</v>
      </c>
      <c r="G7" s="2178" t="s">
        <v>1841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1842</v>
      </c>
      <c r="AV7" s="23" t="s">
        <v>1843</v>
      </c>
      <c r="AW7" s="2166" t="s">
        <v>1844</v>
      </c>
      <c r="AX7" s="23" t="s">
        <v>1837</v>
      </c>
      <c r="AY7" s="1802" t="s">
        <v>1845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1846</v>
      </c>
      <c r="H8" s="2184" t="s">
        <v>1847</v>
      </c>
      <c r="I8" s="2185"/>
      <c r="J8" s="1817"/>
      <c r="K8" s="1817"/>
      <c r="L8" s="1817"/>
      <c r="M8" s="1817"/>
      <c r="N8" s="1817"/>
      <c r="O8" s="1817"/>
      <c r="P8" s="1817"/>
      <c r="Q8" s="1817"/>
      <c r="R8" s="1817"/>
      <c r="S8" s="1817"/>
      <c r="T8" s="1817"/>
      <c r="U8" s="1817"/>
      <c r="V8" s="2186"/>
      <c r="W8" s="1817"/>
      <c r="X8" s="1817"/>
      <c r="Y8" s="1817"/>
      <c r="Z8" s="1817"/>
      <c r="AA8" s="2186"/>
      <c r="AB8" s="2187"/>
      <c r="AC8" s="981" t="s">
        <v>1848</v>
      </c>
      <c r="AD8" s="2188"/>
      <c r="AE8" s="2180"/>
      <c r="AF8" s="1817"/>
      <c r="AG8" s="1817"/>
      <c r="AH8" s="1817"/>
      <c r="AI8" s="1817"/>
      <c r="AJ8" s="1817"/>
      <c r="AK8" s="1817"/>
      <c r="AL8" s="1817"/>
      <c r="AM8" s="1817"/>
      <c r="AN8" s="1817"/>
      <c r="AO8" s="1817"/>
      <c r="AP8" s="1817"/>
      <c r="AQ8" s="1817"/>
      <c r="AR8" s="1817"/>
      <c r="AS8" s="1817"/>
      <c r="AT8" s="1292" t="s">
        <v>1849</v>
      </c>
      <c r="AU8" s="2182" t="s">
        <v>1850</v>
      </c>
      <c r="AV8" s="1292"/>
      <c r="AW8" s="2165"/>
      <c r="AX8" s="1292"/>
      <c r="AY8" s="2166" t="s">
        <v>1851</v>
      </c>
      <c r="AZ8" s="1816" t="s">
        <v>1852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2.75">
      <c r="A9" s="2182"/>
      <c r="B9" s="2182"/>
      <c r="C9" s="2182"/>
      <c r="D9" s="2182"/>
      <c r="E9" s="2182"/>
      <c r="F9" s="2182"/>
      <c r="G9" s="1292"/>
      <c r="H9" s="2190" t="s">
        <v>1853</v>
      </c>
      <c r="I9" s="2191" t="s">
        <v>3018</v>
      </c>
      <c r="J9" s="981"/>
      <c r="K9" s="2191" t="s">
        <v>3018</v>
      </c>
      <c r="L9" s="981"/>
      <c r="M9" s="2191" t="s">
        <v>3018</v>
      </c>
      <c r="N9" s="981"/>
      <c r="O9" s="2191" t="s">
        <v>3019</v>
      </c>
      <c r="P9" s="981"/>
      <c r="Q9" s="2191"/>
      <c r="R9" s="981"/>
      <c r="S9" s="2191"/>
      <c r="T9" s="981"/>
      <c r="U9" s="2191"/>
      <c r="V9" s="981"/>
      <c r="W9" s="2191"/>
      <c r="X9" s="2192"/>
      <c r="Y9" s="2191"/>
      <c r="Z9" s="981"/>
      <c r="AA9" s="2191"/>
      <c r="AB9" s="981"/>
      <c r="AC9" s="2183"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93"/>
      <c r="AT9" s="2182"/>
      <c r="AU9" s="2182" t="s">
        <v>1856</v>
      </c>
      <c r="AV9" s="1292"/>
      <c r="AW9" s="2165"/>
      <c r="AX9" s="1292"/>
      <c r="AY9" s="28"/>
      <c r="AZ9" s="28" t="s">
        <v>1846</v>
      </c>
      <c r="BA9" s="2194" t="s">
        <v>1857</v>
      </c>
      <c r="BB9" s="2195"/>
      <c r="BC9" s="1338"/>
      <c r="BD9" s="1338"/>
      <c r="BE9" s="1338"/>
      <c r="BF9" s="1338"/>
      <c r="BG9" s="1338"/>
      <c r="BH9" s="1338"/>
      <c r="BI9" s="1338"/>
      <c r="BJ9" s="1338"/>
      <c r="BK9" s="2196"/>
      <c r="BL9" s="15" t="s">
        <v>1858</v>
      </c>
      <c r="BM9" s="1817"/>
      <c r="BN9" s="2185"/>
      <c r="BO9" s="1817"/>
      <c r="BP9" s="1817"/>
      <c r="BQ9" s="1817"/>
      <c r="BR9" s="1817"/>
      <c r="BS9" s="1817"/>
      <c r="BT9" s="26"/>
    </row>
    <row r="10" spans="1:72" s="2189" customFormat="1" ht="12.75">
      <c r="A10" s="2182"/>
      <c r="B10" s="2182"/>
      <c r="C10" s="2182"/>
      <c r="D10" s="2182"/>
      <c r="E10" s="2182"/>
      <c r="F10" s="2182"/>
      <c r="G10" s="1292"/>
      <c r="H10" s="28"/>
      <c r="I10" s="2191" t="s">
        <v>27</v>
      </c>
      <c r="J10" s="981"/>
      <c r="K10" s="2197" t="s">
        <v>1369</v>
      </c>
      <c r="L10" s="981"/>
      <c r="M10" s="2197" t="s">
        <v>1369</v>
      </c>
      <c r="N10" s="981"/>
      <c r="O10" s="2197" t="s">
        <v>3020</v>
      </c>
      <c r="P10" s="981"/>
      <c r="Q10" s="2197"/>
      <c r="R10" s="981"/>
      <c r="S10" s="2197"/>
      <c r="T10" s="981"/>
      <c r="U10" s="2197"/>
      <c r="V10" s="981"/>
      <c r="W10" s="2197"/>
      <c r="X10" s="981"/>
      <c r="Y10" s="2197"/>
      <c r="Z10" s="981"/>
      <c r="AA10" s="2197"/>
      <c r="AB10" s="981"/>
      <c r="AC10" s="1292"/>
      <c r="AD10" s="15" t="s">
        <v>1859</v>
      </c>
      <c r="AE10" s="2198"/>
      <c r="AF10" s="15" t="s">
        <v>1859</v>
      </c>
      <c r="AG10" s="2198"/>
      <c r="AH10" s="15" t="s">
        <v>1860</v>
      </c>
      <c r="AI10" s="2198"/>
      <c r="AJ10" s="15" t="s">
        <v>1860</v>
      </c>
      <c r="AK10" s="2198"/>
      <c r="AL10" s="15" t="s">
        <v>1861</v>
      </c>
      <c r="AM10" s="1298"/>
      <c r="AN10" s="15" t="s">
        <v>1861</v>
      </c>
      <c r="AO10" s="1298"/>
      <c r="AP10" s="15" t="s">
        <v>1862</v>
      </c>
      <c r="AQ10" s="1298"/>
      <c r="AR10" s="15" t="s">
        <v>1862</v>
      </c>
      <c r="AS10" s="1298"/>
      <c r="AT10" s="2182"/>
      <c r="AU10" s="2182"/>
      <c r="AV10" s="1292"/>
      <c r="AW10" s="2165"/>
      <c r="AX10" s="1292"/>
      <c r="AY10" s="28"/>
      <c r="AZ10" s="28"/>
      <c r="BA10" s="2199" t="s">
        <v>1853</v>
      </c>
      <c r="BB10" s="2200" t="str">
        <f>I9</f>
        <v>地上</v>
      </c>
      <c r="BC10" s="29" t="str">
        <f>K9</f>
        <v>地上</v>
      </c>
      <c r="BD10" s="29" t="str">
        <f>M9</f>
        <v>地上</v>
      </c>
      <c r="BE10" s="29" t="str">
        <f>O9</f>
        <v>地下</v>
      </c>
      <c r="BF10" s="29">
        <f>Q9</f>
        <v>0</v>
      </c>
      <c r="BG10" s="29">
        <f>S9</f>
        <v>0</v>
      </c>
      <c r="BH10" s="29">
        <f>U9</f>
        <v>0</v>
      </c>
      <c r="BI10" s="29">
        <f>W9</f>
        <v>0</v>
      </c>
      <c r="BJ10" s="29">
        <f>Y9</f>
        <v>0</v>
      </c>
      <c r="BK10" s="29">
        <f>AA9</f>
        <v>0</v>
      </c>
      <c r="BL10" s="25" t="s">
        <v>1853</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2.75">
      <c r="A11" s="2182"/>
      <c r="B11" s="2182"/>
      <c r="C11" s="2182"/>
      <c r="D11" s="2182"/>
      <c r="E11" s="2182"/>
      <c r="F11" s="2182"/>
      <c r="G11" s="1292"/>
      <c r="H11" s="2199"/>
      <c r="I11" s="2202" t="s">
        <v>2999</v>
      </c>
      <c r="J11" s="2203"/>
      <c r="K11" s="2202" t="s">
        <v>3001</v>
      </c>
      <c r="L11" s="2203"/>
      <c r="M11" s="2202" t="s">
        <v>3003</v>
      </c>
      <c r="N11" s="2203"/>
      <c r="O11" s="2202" t="s">
        <v>3021</v>
      </c>
      <c r="P11" s="2203"/>
      <c r="Q11" s="2202"/>
      <c r="R11" s="2203"/>
      <c r="S11" s="2202"/>
      <c r="T11" s="2203"/>
      <c r="U11" s="2202"/>
      <c r="V11" s="2203"/>
      <c r="W11" s="2202"/>
      <c r="X11" s="2203"/>
      <c r="Y11" s="2202"/>
      <c r="Z11" s="2203"/>
      <c r="AA11" s="2202"/>
      <c r="AB11" s="2203"/>
      <c r="AC11" s="1292"/>
      <c r="AD11" s="2204" t="s">
        <v>1863</v>
      </c>
      <c r="AE11" s="1818"/>
      <c r="AF11" s="2204" t="s">
        <v>1863</v>
      </c>
      <c r="AG11" s="1818"/>
      <c r="AH11" s="2204" t="s">
        <v>1864</v>
      </c>
      <c r="AI11" s="2205"/>
      <c r="AJ11" s="2204" t="s">
        <v>1864</v>
      </c>
      <c r="AK11" s="1818"/>
      <c r="AL11" s="1816"/>
      <c r="AM11" s="1818"/>
      <c r="AN11" s="1816"/>
      <c r="AO11" s="1818"/>
      <c r="AP11" s="1816"/>
      <c r="AQ11" s="1818"/>
      <c r="AR11" s="1816"/>
      <c r="AS11" s="1818"/>
      <c r="AT11" s="2165"/>
      <c r="AU11" s="2182"/>
      <c r="AV11" s="1292"/>
      <c r="AW11" s="2165"/>
      <c r="AX11" s="1292"/>
      <c r="AY11" s="28"/>
      <c r="AZ11" s="28"/>
      <c r="BA11" s="28"/>
      <c r="BB11" s="2187" t="str">
        <f>I10</f>
        <v>办公</v>
      </c>
      <c r="BC11" s="2187" t="str">
        <f>K10</f>
        <v>商业</v>
      </c>
      <c r="BD11" s="2187" t="str">
        <f>M10</f>
        <v>商业</v>
      </c>
      <c r="BE11" s="2187" t="str">
        <f>O10</f>
        <v>车库</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5"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1" t="s">
        <v>1866</v>
      </c>
      <c r="W12" s="11" t="s">
        <v>1865</v>
      </c>
      <c r="X12" s="11" t="s">
        <v>1866</v>
      </c>
      <c r="Y12" s="11" t="s">
        <v>1865</v>
      </c>
      <c r="Z12" s="11" t="s">
        <v>1866</v>
      </c>
      <c r="AA12" s="11" t="s">
        <v>1865</v>
      </c>
      <c r="AB12" s="11" t="s">
        <v>1866</v>
      </c>
      <c r="AC12" s="2209"/>
      <c r="AD12" s="1805"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7" t="s">
        <v>1866</v>
      </c>
      <c r="AT12" s="2210"/>
      <c r="AU12" s="2207"/>
      <c r="AV12" s="31"/>
      <c r="AW12" s="2166"/>
      <c r="AX12" s="31"/>
      <c r="AY12" s="2211"/>
      <c r="AZ12" s="28"/>
      <c r="BA12" s="2199"/>
      <c r="BB12" s="24" t="str">
        <f>I11</f>
        <v>办公用房</v>
      </c>
      <c r="BC12" s="2212" t="str">
        <f>K11</f>
        <v>商业用房</v>
      </c>
      <c r="BD12" s="2212" t="str">
        <f>M11</f>
        <v>酒店用房</v>
      </c>
      <c r="BE12" s="2187" t="str">
        <f>O11</f>
        <v>地下车库用房</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3.5" customHeight="1">
      <c r="A13" s="1272"/>
      <c r="B13" s="3278" t="s">
        <v>3036</v>
      </c>
      <c r="C13" s="1272" t="s">
        <v>3024</v>
      </c>
      <c r="D13" s="2213" t="s">
        <v>3023</v>
      </c>
      <c r="E13" s="16">
        <f>IF($C$3="是",ROUND($A$3*G13/$B$3,2),ROUND($A$3*(G13-AT13)/$B$3,2))</f>
        <v>3770.94</v>
      </c>
      <c r="F13" s="32"/>
      <c r="G13" s="33">
        <f>H13+AC13+AT13</f>
        <v>18832.939999999999</v>
      </c>
      <c r="H13" s="20">
        <f>SUMIF(I$12:AB$12,"总值",I13:AB13)</f>
        <v>18832.939999999999</v>
      </c>
      <c r="I13" s="2214"/>
      <c r="J13" s="2214"/>
      <c r="K13" s="2214"/>
      <c r="L13" s="2214"/>
      <c r="M13" s="2214">
        <v>18832.939999999999</v>
      </c>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提供资料</v>
      </c>
      <c r="AX13" s="11" t="str">
        <f t="shared" si="6"/>
        <v>T1酒店</v>
      </c>
      <c r="AY13" s="1805">
        <f>ROUND($AY$6*AZ13/$AZ$5,2)</f>
        <v>3770.94</v>
      </c>
      <c r="AZ13" s="16">
        <f>BA13+BL13</f>
        <v>18832.939999999999</v>
      </c>
      <c r="BA13" s="16">
        <f>SUM(BB13:BK13)</f>
        <v>18832.939999999999</v>
      </c>
      <c r="BB13" s="16">
        <f>IF($D13="是",I13-J13,0)</f>
        <v>0</v>
      </c>
      <c r="BC13" s="16">
        <f>IF($D13="是",K13-L13,0)</f>
        <v>0</v>
      </c>
      <c r="BD13" s="16">
        <f>IF($D13="是",M13-N13,0)</f>
        <v>18832.939999999999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customHeight="1">
      <c r="A14" s="1272"/>
      <c r="B14" s="3278" t="s">
        <v>3036</v>
      </c>
      <c r="C14" s="1272" t="s">
        <v>3025</v>
      </c>
      <c r="D14" s="2213" t="s">
        <v>3023</v>
      </c>
      <c r="E14" s="16">
        <f>IF($C$3="是",ROUND($A$3*G14/$B$3,2),ROUND($A$3*(G14-AT14)/$B$3,2))</f>
        <v>2921.15</v>
      </c>
      <c r="F14" s="32"/>
      <c r="G14" s="33">
        <f>H14+AC14+AT14</f>
        <v>14588.9</v>
      </c>
      <c r="H14" s="20">
        <f>SUMIF(I$12:AB$12,"总值",I14:AB14)</f>
        <v>14588.9</v>
      </c>
      <c r="I14" s="2214">
        <v>14588.9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提供资料</v>
      </c>
      <c r="AX14" s="11" t="str">
        <f t="shared" si="6"/>
        <v>T2商务综合楼</v>
      </c>
      <c r="AY14" s="1805">
        <f>ROUND($AY$6*AZ14/$AZ$5,2)</f>
        <v>2921.15</v>
      </c>
      <c r="AZ14" s="16">
        <f>BA14+BL14</f>
        <v>14588.9</v>
      </c>
      <c r="BA14" s="16">
        <f>SUM(BB14:BK14)</f>
        <v>14588.9</v>
      </c>
      <c r="BB14" s="16">
        <f>IF($D14="是",I14-J14,0)</f>
        <v>14588.9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5" customHeight="1">
      <c r="A15" s="1272"/>
      <c r="B15" s="3278" t="s">
        <v>3036</v>
      </c>
      <c r="C15" s="1272" t="s">
        <v>3026</v>
      </c>
      <c r="D15" s="2213" t="s">
        <v>3023</v>
      </c>
      <c r="E15" s="16">
        <f>IF($C$3="是",ROUND($A$3*G15/$B$3,2),ROUND($A$3*(G15-AT15)/$B$3,2))</f>
        <v>4270.1899999999996</v>
      </c>
      <c r="F15" s="32"/>
      <c r="G15" s="33">
        <f>H15+AC15+AT15</f>
        <v>21326.32</v>
      </c>
      <c r="H15" s="20">
        <f>SUMIF(I$12:AB$12,"总值",I15:AB15)</f>
        <v>21326.32</v>
      </c>
      <c r="I15" s="2214">
        <v>21326.32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提供资料</v>
      </c>
      <c r="AX15" s="11" t="str">
        <f t="shared" si="6"/>
        <v>T3商务综合楼</v>
      </c>
      <c r="AY15" s="1805">
        <f>ROUND($AY$6*AZ15/$AZ$5,2)</f>
        <v>4270.1899999999996</v>
      </c>
      <c r="AZ15" s="16">
        <f>BA15+BL15</f>
        <v>21326.32</v>
      </c>
      <c r="BA15" s="16">
        <f>SUM(BB15:BK15)</f>
        <v>21326.32</v>
      </c>
      <c r="BB15" s="16">
        <f>IF($D15="是",I15-J15,0)</f>
        <v>21326.32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5" customHeight="1">
      <c r="A16" s="1272"/>
      <c r="B16" s="3278" t="s">
        <v>3036</v>
      </c>
      <c r="C16" s="1272" t="s">
        <v>3027</v>
      </c>
      <c r="D16" s="2213" t="s">
        <v>3023</v>
      </c>
      <c r="E16" s="16">
        <f>IF($C$3="是",ROUND($A$3*G16/$B$3,2),ROUND($A$3*(G16-AT16)/$B$3,2))</f>
        <v>3101.73</v>
      </c>
      <c r="F16" s="32"/>
      <c r="G16" s="33">
        <f>H16+AC16+AT16</f>
        <v>15490.76</v>
      </c>
      <c r="H16" s="20">
        <f>SUMIF(I$12:AB$12,"总值",I16:AB16)</f>
        <v>15490.76</v>
      </c>
      <c r="I16" s="2214">
        <v>15490.76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提供资料</v>
      </c>
      <c r="AX16" s="11" t="str">
        <f t="shared" si="6"/>
        <v>T4商务综合楼</v>
      </c>
      <c r="AY16" s="1805">
        <f>ROUND($AY$6*AZ16/$AZ$5,2)</f>
        <v>3101.73</v>
      </c>
      <c r="AZ16" s="16">
        <f>BA16+BL16</f>
        <v>15490.76</v>
      </c>
      <c r="BA16" s="16">
        <f>SUM(BB16:BK16)</f>
        <v>15490.76</v>
      </c>
      <c r="BB16" s="16">
        <f>IF($D16="是",I16-J16,0)</f>
        <v>15490.76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5" customHeight="1">
      <c r="A17" s="1272"/>
      <c r="B17" s="3278" t="s">
        <v>3036</v>
      </c>
      <c r="C17" s="1272" t="s">
        <v>3031</v>
      </c>
      <c r="D17" s="2213" t="s">
        <v>3023</v>
      </c>
      <c r="E17" s="16">
        <f>IF($C$3="是",ROUND($A$3*G17/$B$3,2),ROUND($A$3*(G17-AT17)/$B$3,2))</f>
        <v>705.33</v>
      </c>
      <c r="F17" s="32"/>
      <c r="G17" s="33">
        <f>H17+AC17+AT17</f>
        <v>3522.56</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3522.56</v>
      </c>
      <c r="AD17" s="2215">
        <v>3522.56</v>
      </c>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提供资料</v>
      </c>
      <c r="AX17" s="11" t="str">
        <f t="shared" si="6"/>
        <v>Q1酒店配套</v>
      </c>
      <c r="AY17" s="1805">
        <f>ROUND($AY$6*AZ17/$AZ$5,2)</f>
        <v>705.33</v>
      </c>
      <c r="AZ17" s="16">
        <f>BA17+BL17</f>
        <v>3522.56</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3522.56</v>
      </c>
      <c r="BM17" s="16">
        <f>IF($D17="是",AD17-AE17,0)</f>
        <v>3522.56</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3278" t="s">
        <v>3036</v>
      </c>
      <c r="C18" s="34" t="s">
        <v>3032</v>
      </c>
      <c r="D18" s="2213" t="s">
        <v>3023</v>
      </c>
      <c r="E18" s="35">
        <f t="shared" ref="E18:E112" si="7">IF($C$3="是",ROUND($A$3*G18/$B$3,2),ROUND($A$3*(G18-AT18)/$B$3,2))</f>
        <v>724.02</v>
      </c>
      <c r="F18" s="36"/>
      <c r="G18" s="37">
        <f t="shared" ref="G18:G109" si="8">H18+AC18+AT18</f>
        <v>3615.92</v>
      </c>
      <c r="H18" s="38">
        <f t="shared" ref="H18:H109" si="9">SUMIF(I$12:AB$12,"总值",I18:AB18)</f>
        <v>3615.92</v>
      </c>
      <c r="I18" s="39"/>
      <c r="J18" s="39"/>
      <c r="K18" s="39">
        <v>3615.92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t="str">
        <f t="shared" ref="AW18:AW112" si="12">B18</f>
        <v>提供资料</v>
      </c>
      <c r="AX18" s="1794" t="str">
        <f t="shared" ref="AX18:AX112" si="13">C18</f>
        <v>Q2商业裙房</v>
      </c>
      <c r="AY18" s="42">
        <f t="shared" ref="AY18:AY109" si="14">ROUND($AY$6*AZ18/$AZ$5,2)</f>
        <v>724.02</v>
      </c>
      <c r="AZ18" s="35">
        <f t="shared" ref="AZ18:AZ109" si="15">BA18+BL18</f>
        <v>3615.92</v>
      </c>
      <c r="BA18" s="35">
        <f t="shared" ref="BA18:BA109" si="16">SUM(BB18:BK18)</f>
        <v>3615.92</v>
      </c>
      <c r="BB18" s="35">
        <f t="shared" ref="BB18:BB109" si="17">IF($D18="是",I18-J18,0)</f>
        <v>0</v>
      </c>
      <c r="BC18" s="35">
        <f t="shared" ref="BC18:BC109" si="18">IF($D18="是",K18-L18,0)</f>
        <v>3615.92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278" t="s">
        <v>3036</v>
      </c>
      <c r="C19" s="3277" t="s">
        <v>3014</v>
      </c>
      <c r="D19" s="2213" t="s">
        <v>3023</v>
      </c>
      <c r="E19" s="35">
        <f t="shared" si="7"/>
        <v>6192.11</v>
      </c>
      <c r="F19" s="36"/>
      <c r="G19" s="37">
        <f t="shared" si="8"/>
        <v>30924.799999999999</v>
      </c>
      <c r="H19" s="38">
        <f t="shared" si="9"/>
        <v>29404.7</v>
      </c>
      <c r="I19" s="39"/>
      <c r="J19" s="39"/>
      <c r="K19" s="39"/>
      <c r="L19" s="39"/>
      <c r="M19" s="39"/>
      <c r="N19" s="39"/>
      <c r="O19" s="39">
        <v>29404.7</v>
      </c>
      <c r="P19" s="39"/>
      <c r="Q19" s="39"/>
      <c r="R19" s="39"/>
      <c r="S19" s="39"/>
      <c r="T19" s="39"/>
      <c r="U19" s="39"/>
      <c r="V19" s="39"/>
      <c r="W19" s="39"/>
      <c r="X19" s="39"/>
      <c r="Y19" s="39"/>
      <c r="Z19" s="39"/>
      <c r="AA19" s="39"/>
      <c r="AB19" s="39"/>
      <c r="AC19" s="35">
        <f t="shared" si="10"/>
        <v>1520.1</v>
      </c>
      <c r="AD19" s="40"/>
      <c r="AE19" s="40"/>
      <c r="AF19" s="40"/>
      <c r="AG19" s="40"/>
      <c r="AH19" s="40"/>
      <c r="AI19" s="40"/>
      <c r="AJ19" s="40"/>
      <c r="AK19" s="40"/>
      <c r="AL19" s="40"/>
      <c r="AM19" s="40"/>
      <c r="AN19" s="40">
        <v>1520.1</v>
      </c>
      <c r="AO19" s="40"/>
      <c r="AP19" s="40"/>
      <c r="AQ19" s="40"/>
      <c r="AR19" s="40"/>
      <c r="AS19" s="40"/>
      <c r="AT19" s="41"/>
      <c r="AU19" s="2219">
        <v>13766</v>
      </c>
      <c r="AV19" s="1794">
        <f t="shared" si="11"/>
        <v>0</v>
      </c>
      <c r="AW19" s="1794" t="str">
        <f t="shared" si="12"/>
        <v>提供资料</v>
      </c>
      <c r="AX19" s="1794" t="str">
        <f t="shared" si="13"/>
        <v>地下室</v>
      </c>
      <c r="AY19" s="42">
        <f t="shared" si="14"/>
        <v>6192.11</v>
      </c>
      <c r="AZ19" s="35">
        <f t="shared" si="15"/>
        <v>30924.799999999999</v>
      </c>
      <c r="BA19" s="35">
        <f t="shared" si="16"/>
        <v>29404.7</v>
      </c>
      <c r="BB19" s="35">
        <f t="shared" si="17"/>
        <v>0</v>
      </c>
      <c r="BC19" s="35">
        <f t="shared" si="18"/>
        <v>0</v>
      </c>
      <c r="BD19" s="35">
        <f t="shared" si="19"/>
        <v>0</v>
      </c>
      <c r="BE19" s="35">
        <f t="shared" si="20"/>
        <v>29404.7</v>
      </c>
      <c r="BF19" s="35">
        <f t="shared" si="21"/>
        <v>0</v>
      </c>
      <c r="BG19" s="35">
        <f t="shared" si="22"/>
        <v>0</v>
      </c>
      <c r="BH19" s="35">
        <f t="shared" si="23"/>
        <v>0</v>
      </c>
      <c r="BI19" s="35">
        <f t="shared" si="24"/>
        <v>0</v>
      </c>
      <c r="BJ19" s="35">
        <f t="shared" si="25"/>
        <v>0</v>
      </c>
      <c r="BK19" s="35">
        <f t="shared" si="26"/>
        <v>0</v>
      </c>
      <c r="BL19" s="35">
        <f t="shared" si="27"/>
        <v>1520.1</v>
      </c>
      <c r="BM19" s="35">
        <f t="shared" si="28"/>
        <v>0</v>
      </c>
      <c r="BN19" s="35">
        <f t="shared" si="29"/>
        <v>0</v>
      </c>
      <c r="BO19" s="35">
        <f t="shared" si="30"/>
        <v>0</v>
      </c>
      <c r="BP19" s="35">
        <f t="shared" si="31"/>
        <v>0</v>
      </c>
      <c r="BQ19" s="35">
        <f t="shared" si="32"/>
        <v>0</v>
      </c>
      <c r="BR19" s="35">
        <f t="shared" si="33"/>
        <v>1520.1</v>
      </c>
      <c r="BS19" s="35">
        <f t="shared" si="34"/>
        <v>0</v>
      </c>
      <c r="BT19" s="43">
        <f t="shared" si="35"/>
        <v>0</v>
      </c>
    </row>
    <row r="20" spans="1:72" ht="13.5" customHeight="1">
      <c r="A20" s="9"/>
      <c r="B20" s="3277" t="s">
        <v>3035</v>
      </c>
      <c r="C20" s="34" t="s">
        <v>3028</v>
      </c>
      <c r="D20" s="2213" t="s">
        <v>3023</v>
      </c>
      <c r="E20" s="35">
        <f t="shared" si="7"/>
        <v>6880.2</v>
      </c>
      <c r="F20" s="36"/>
      <c r="G20" s="37">
        <f t="shared" si="8"/>
        <v>34361.300000000003</v>
      </c>
      <c r="H20" s="38">
        <f t="shared" si="9"/>
        <v>24357.9</v>
      </c>
      <c r="I20" s="39">
        <v>23258.7</v>
      </c>
      <c r="J20" s="39"/>
      <c r="K20" s="39">
        <v>1099.2</v>
      </c>
      <c r="L20" s="39"/>
      <c r="M20" s="39"/>
      <c r="N20" s="39"/>
      <c r="O20" s="39"/>
      <c r="P20" s="39"/>
      <c r="Q20" s="39"/>
      <c r="R20" s="39"/>
      <c r="S20" s="39"/>
      <c r="T20" s="39"/>
      <c r="U20" s="39"/>
      <c r="V20" s="39"/>
      <c r="W20" s="39"/>
      <c r="X20" s="39"/>
      <c r="Y20" s="39"/>
      <c r="Z20" s="39"/>
      <c r="AA20" s="39"/>
      <c r="AB20" s="39"/>
      <c r="AC20" s="35">
        <f t="shared" si="10"/>
        <v>10003.4</v>
      </c>
      <c r="AD20" s="40">
        <v>10003.4</v>
      </c>
      <c r="AE20" s="40"/>
      <c r="AF20" s="40"/>
      <c r="AG20" s="40"/>
      <c r="AH20" s="40"/>
      <c r="AI20" s="40"/>
      <c r="AJ20" s="40"/>
      <c r="AK20" s="40"/>
      <c r="AL20" s="40"/>
      <c r="AM20" s="40"/>
      <c r="AN20" s="40"/>
      <c r="AO20" s="40"/>
      <c r="AP20" s="40"/>
      <c r="AQ20" s="40"/>
      <c r="AR20" s="40"/>
      <c r="AS20" s="40"/>
      <c r="AT20" s="41"/>
      <c r="AU20" s="2219"/>
      <c r="AV20" s="1794">
        <f t="shared" si="11"/>
        <v>0</v>
      </c>
      <c r="AW20" s="1794" t="str">
        <f t="shared" si="12"/>
        <v>规证</v>
      </c>
      <c r="AX20" s="1794" t="str">
        <f t="shared" si="13"/>
        <v>T5商务综合楼</v>
      </c>
      <c r="AY20" s="42">
        <f t="shared" si="14"/>
        <v>6880.2</v>
      </c>
      <c r="AZ20" s="35">
        <f t="shared" si="15"/>
        <v>34361.300000000003</v>
      </c>
      <c r="BA20" s="35">
        <f t="shared" si="16"/>
        <v>24357.9</v>
      </c>
      <c r="BB20" s="35">
        <f t="shared" si="17"/>
        <v>23258.7</v>
      </c>
      <c r="BC20" s="35">
        <f t="shared" si="18"/>
        <v>1099.2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10003.4</v>
      </c>
      <c r="BM20" s="35">
        <f t="shared" si="28"/>
        <v>10003.4</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3277" t="s">
        <v>3035</v>
      </c>
      <c r="C21" s="34" t="s">
        <v>3029</v>
      </c>
      <c r="D21" s="2213" t="s">
        <v>3023</v>
      </c>
      <c r="E21" s="35">
        <f t="shared" si="7"/>
        <v>7006.73</v>
      </c>
      <c r="F21" s="36"/>
      <c r="G21" s="37">
        <f t="shared" si="8"/>
        <v>34993.199999999997</v>
      </c>
      <c r="H21" s="38">
        <f t="shared" si="9"/>
        <v>24996.799999999999</v>
      </c>
      <c r="I21" s="39">
        <v>23918.799999999999</v>
      </c>
      <c r="J21" s="39"/>
      <c r="K21" s="39">
        <v>1078</v>
      </c>
      <c r="L21" s="39"/>
      <c r="M21" s="39"/>
      <c r="N21" s="39"/>
      <c r="O21" s="39"/>
      <c r="P21" s="39"/>
      <c r="Q21" s="39"/>
      <c r="R21" s="39"/>
      <c r="S21" s="39"/>
      <c r="T21" s="39"/>
      <c r="U21" s="39"/>
      <c r="V21" s="39"/>
      <c r="W21" s="39"/>
      <c r="X21" s="39"/>
      <c r="Y21" s="39"/>
      <c r="Z21" s="39"/>
      <c r="AA21" s="39"/>
      <c r="AB21" s="39"/>
      <c r="AC21" s="35">
        <f t="shared" si="10"/>
        <v>9996.4</v>
      </c>
      <c r="AD21" s="40">
        <v>9996.4</v>
      </c>
      <c r="AE21" s="40"/>
      <c r="AF21" s="40"/>
      <c r="AG21" s="40"/>
      <c r="AH21" s="40"/>
      <c r="AI21" s="40"/>
      <c r="AJ21" s="40"/>
      <c r="AK21" s="40"/>
      <c r="AL21" s="40"/>
      <c r="AM21" s="40"/>
      <c r="AN21" s="40"/>
      <c r="AO21" s="40"/>
      <c r="AP21" s="40"/>
      <c r="AQ21" s="40"/>
      <c r="AR21" s="40"/>
      <c r="AS21" s="40"/>
      <c r="AT21" s="41"/>
      <c r="AU21" s="2219"/>
      <c r="AV21" s="1794">
        <f t="shared" si="11"/>
        <v>0</v>
      </c>
      <c r="AW21" s="1794" t="str">
        <f t="shared" si="12"/>
        <v>规证</v>
      </c>
      <c r="AX21" s="1794" t="str">
        <f t="shared" si="13"/>
        <v>T6商务综合楼</v>
      </c>
      <c r="AY21" s="42">
        <f t="shared" si="14"/>
        <v>7006.73</v>
      </c>
      <c r="AZ21" s="35">
        <f t="shared" si="15"/>
        <v>34993.199999999997</v>
      </c>
      <c r="BA21" s="35">
        <f t="shared" si="16"/>
        <v>24996.799999999999</v>
      </c>
      <c r="BB21" s="35">
        <f t="shared" si="17"/>
        <v>23918.799999999999</v>
      </c>
      <c r="BC21" s="35">
        <f t="shared" si="18"/>
        <v>1078</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9996.4</v>
      </c>
      <c r="BM21" s="35">
        <f t="shared" si="28"/>
        <v>9996.4</v>
      </c>
      <c r="BN21" s="35">
        <f t="shared" si="29"/>
        <v>0</v>
      </c>
      <c r="BO21" s="35">
        <f t="shared" si="30"/>
        <v>0</v>
      </c>
      <c r="BP21" s="35">
        <f t="shared" si="31"/>
        <v>0</v>
      </c>
      <c r="BQ21" s="35">
        <f t="shared" si="32"/>
        <v>0</v>
      </c>
      <c r="BR21" s="35">
        <f t="shared" si="33"/>
        <v>0</v>
      </c>
      <c r="BS21" s="35">
        <f t="shared" si="34"/>
        <v>0</v>
      </c>
      <c r="BT21" s="43">
        <f t="shared" si="35"/>
        <v>0</v>
      </c>
    </row>
    <row r="22" spans="1:72" ht="13.5" customHeight="1">
      <c r="A22" s="9"/>
      <c r="B22" s="3277" t="s">
        <v>3035</v>
      </c>
      <c r="C22" s="34" t="s">
        <v>3030</v>
      </c>
      <c r="D22" s="2213" t="s">
        <v>3023</v>
      </c>
      <c r="E22" s="35">
        <f t="shared" si="7"/>
        <v>7766.02</v>
      </c>
      <c r="F22" s="36"/>
      <c r="G22" s="37">
        <f t="shared" si="8"/>
        <v>38785.300000000003</v>
      </c>
      <c r="H22" s="38">
        <f t="shared" si="9"/>
        <v>29024.7</v>
      </c>
      <c r="I22" s="39">
        <v>26978.9</v>
      </c>
      <c r="J22" s="39"/>
      <c r="K22" s="39">
        <v>2045.8</v>
      </c>
      <c r="L22" s="39"/>
      <c r="M22" s="39"/>
      <c r="N22" s="39"/>
      <c r="O22" s="39"/>
      <c r="P22" s="39"/>
      <c r="Q22" s="39"/>
      <c r="R22" s="39"/>
      <c r="S22" s="39"/>
      <c r="T22" s="39"/>
      <c r="U22" s="39"/>
      <c r="V22" s="39"/>
      <c r="W22" s="39"/>
      <c r="X22" s="39"/>
      <c r="Y22" s="39"/>
      <c r="Z22" s="39"/>
      <c r="AA22" s="39"/>
      <c r="AB22" s="39"/>
      <c r="AC22" s="35">
        <f t="shared" si="10"/>
        <v>9760.6</v>
      </c>
      <c r="AD22" s="40">
        <v>9760.6</v>
      </c>
      <c r="AE22" s="40"/>
      <c r="AF22" s="40"/>
      <c r="AG22" s="40"/>
      <c r="AH22" s="40"/>
      <c r="AI22" s="40"/>
      <c r="AJ22" s="40"/>
      <c r="AK22" s="40"/>
      <c r="AL22" s="40"/>
      <c r="AM22" s="40"/>
      <c r="AN22" s="40"/>
      <c r="AO22" s="40"/>
      <c r="AP22" s="40"/>
      <c r="AQ22" s="40"/>
      <c r="AR22" s="40"/>
      <c r="AS22" s="40"/>
      <c r="AT22" s="41"/>
      <c r="AU22" s="2219"/>
      <c r="AV22" s="1794">
        <f t="shared" si="11"/>
        <v>0</v>
      </c>
      <c r="AW22" s="1794" t="str">
        <f t="shared" si="12"/>
        <v>规证</v>
      </c>
      <c r="AX22" s="1794" t="str">
        <f t="shared" si="13"/>
        <v>T7商务综合楼</v>
      </c>
      <c r="AY22" s="42">
        <f t="shared" si="14"/>
        <v>7766.02</v>
      </c>
      <c r="AZ22" s="35">
        <f t="shared" si="15"/>
        <v>38785.300000000003</v>
      </c>
      <c r="BA22" s="35">
        <f t="shared" si="16"/>
        <v>29024.7</v>
      </c>
      <c r="BB22" s="35">
        <f t="shared" si="17"/>
        <v>26978.9</v>
      </c>
      <c r="BC22" s="35">
        <f t="shared" si="18"/>
        <v>2045.8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9760.6</v>
      </c>
      <c r="BM22" s="35">
        <f t="shared" si="28"/>
        <v>9760.6</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3277" t="s">
        <v>3035</v>
      </c>
      <c r="C23" s="34" t="s">
        <v>3016</v>
      </c>
      <c r="D23" s="2213" t="s">
        <v>3023</v>
      </c>
      <c r="E23" s="35">
        <f t="shared" si="7"/>
        <v>316.77</v>
      </c>
      <c r="F23" s="36"/>
      <c r="G23" s="37">
        <f t="shared" si="8"/>
        <v>1582</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1582</v>
      </c>
      <c r="AD23" s="40">
        <v>1582</v>
      </c>
      <c r="AE23" s="40"/>
      <c r="AF23" s="40"/>
      <c r="AG23" s="40"/>
      <c r="AH23" s="40"/>
      <c r="AI23" s="40"/>
      <c r="AJ23" s="40"/>
      <c r="AK23" s="40"/>
      <c r="AL23" s="40"/>
      <c r="AM23" s="40"/>
      <c r="AN23" s="40"/>
      <c r="AO23" s="40"/>
      <c r="AP23" s="40"/>
      <c r="AQ23" s="40"/>
      <c r="AR23" s="40"/>
      <c r="AS23" s="40"/>
      <c r="AT23" s="41"/>
      <c r="AU23" s="2219"/>
      <c r="AV23" s="1794">
        <f t="shared" si="11"/>
        <v>0</v>
      </c>
      <c r="AW23" s="1794" t="str">
        <f t="shared" si="12"/>
        <v>规证</v>
      </c>
      <c r="AX23" s="1794" t="str">
        <f t="shared" si="13"/>
        <v>Q3共享大厅</v>
      </c>
      <c r="AY23" s="42">
        <f t="shared" si="14"/>
        <v>316.77</v>
      </c>
      <c r="AZ23" s="35">
        <f t="shared" si="15"/>
        <v>1582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1582</v>
      </c>
      <c r="BM23" s="35">
        <f t="shared" si="28"/>
        <v>1582</v>
      </c>
      <c r="BN23" s="35">
        <f t="shared" si="29"/>
        <v>0</v>
      </c>
      <c r="BO23" s="35">
        <f t="shared" si="30"/>
        <v>0</v>
      </c>
      <c r="BP23" s="35">
        <f t="shared" si="31"/>
        <v>0</v>
      </c>
      <c r="BQ23" s="35">
        <f t="shared" si="32"/>
        <v>0</v>
      </c>
      <c r="BR23" s="35">
        <f t="shared" si="33"/>
        <v>0</v>
      </c>
      <c r="BS23" s="35">
        <f t="shared" si="34"/>
        <v>0</v>
      </c>
      <c r="BT23" s="43">
        <f t="shared" si="35"/>
        <v>0</v>
      </c>
    </row>
    <row r="24" spans="1:72" ht="13.5" customHeight="1">
      <c r="A24" s="9"/>
      <c r="B24" s="3277" t="s">
        <v>3035</v>
      </c>
      <c r="C24" s="34" t="s">
        <v>3017</v>
      </c>
      <c r="D24" s="2213" t="s">
        <v>3023</v>
      </c>
      <c r="E24" s="35">
        <f t="shared" si="7"/>
        <v>708.32</v>
      </c>
      <c r="F24" s="36"/>
      <c r="G24" s="37">
        <f t="shared" si="8"/>
        <v>3537.5</v>
      </c>
      <c r="H24" s="38">
        <f t="shared" si="9"/>
        <v>3537.5</v>
      </c>
      <c r="I24" s="39"/>
      <c r="J24" s="39"/>
      <c r="K24" s="39">
        <v>3537.5</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t="str">
        <f t="shared" si="12"/>
        <v>规证</v>
      </c>
      <c r="AX24" s="1794" t="str">
        <f t="shared" si="13"/>
        <v>Q4商业裙房</v>
      </c>
      <c r="AY24" s="42">
        <f t="shared" si="14"/>
        <v>708.32</v>
      </c>
      <c r="AZ24" s="35">
        <f t="shared" si="15"/>
        <v>3537.5</v>
      </c>
      <c r="BA24" s="35">
        <f t="shared" si="16"/>
        <v>3537.5</v>
      </c>
      <c r="BB24" s="35">
        <f t="shared" si="17"/>
        <v>0</v>
      </c>
      <c r="BC24" s="35">
        <f t="shared" si="18"/>
        <v>3537.5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5" customHeight="1">
      <c r="A25" s="9"/>
      <c r="B25" s="3277" t="s">
        <v>3035</v>
      </c>
      <c r="C25" s="34" t="s">
        <v>3015</v>
      </c>
      <c r="D25" s="2213" t="s">
        <v>3023</v>
      </c>
      <c r="E25" s="35">
        <f t="shared" si="7"/>
        <v>10215.89</v>
      </c>
      <c r="F25" s="36"/>
      <c r="G25" s="37">
        <f t="shared" si="8"/>
        <v>51020.5</v>
      </c>
      <c r="H25" s="38">
        <f t="shared" si="9"/>
        <v>40270.9</v>
      </c>
      <c r="I25" s="39"/>
      <c r="J25" s="39"/>
      <c r="K25" s="39"/>
      <c r="L25" s="39"/>
      <c r="M25" s="39"/>
      <c r="N25" s="39"/>
      <c r="O25" s="39">
        <v>40270.9</v>
      </c>
      <c r="P25" s="39"/>
      <c r="Q25" s="39"/>
      <c r="R25" s="39"/>
      <c r="S25" s="39"/>
      <c r="T25" s="39"/>
      <c r="U25" s="39"/>
      <c r="V25" s="39"/>
      <c r="W25" s="39"/>
      <c r="X25" s="39"/>
      <c r="Y25" s="39"/>
      <c r="Z25" s="39"/>
      <c r="AA25" s="39"/>
      <c r="AB25" s="39"/>
      <c r="AC25" s="35">
        <f t="shared" si="10"/>
        <v>10749.599999999999</v>
      </c>
      <c r="AD25" s="40">
        <f>174.8+179.4+37.1</f>
        <v>391.30000000000007</v>
      </c>
      <c r="AE25" s="40"/>
      <c r="AF25" s="40">
        <f>584.2+1094.2+101.9+510.2+387.8+118+3370.6</f>
        <v>6166.9</v>
      </c>
      <c r="AG25" s="40"/>
      <c r="AH25" s="40"/>
      <c r="AI25" s="40"/>
      <c r="AJ25" s="40"/>
      <c r="AK25" s="40"/>
      <c r="AL25" s="40"/>
      <c r="AM25" s="40"/>
      <c r="AN25" s="40">
        <v>4191.3999999999996</v>
      </c>
      <c r="AO25" s="40"/>
      <c r="AP25" s="40"/>
      <c r="AQ25" s="40"/>
      <c r="AR25" s="40"/>
      <c r="AS25" s="40"/>
      <c r="AT25" s="41"/>
      <c r="AU25" s="2219"/>
      <c r="AV25" s="1794">
        <f t="shared" si="11"/>
        <v>0</v>
      </c>
      <c r="AW25" s="1794" t="str">
        <f t="shared" si="12"/>
        <v>规证</v>
      </c>
      <c r="AX25" s="1794" t="str">
        <f t="shared" si="13"/>
        <v>2号地下车库及附属用房</v>
      </c>
      <c r="AY25" s="42">
        <f t="shared" si="14"/>
        <v>10215.89</v>
      </c>
      <c r="AZ25" s="35">
        <f t="shared" si="15"/>
        <v>51020.5</v>
      </c>
      <c r="BA25" s="35">
        <f t="shared" si="16"/>
        <v>40270.9</v>
      </c>
      <c r="BB25" s="35">
        <f t="shared" si="17"/>
        <v>0</v>
      </c>
      <c r="BC25" s="35">
        <f t="shared" si="18"/>
        <v>0</v>
      </c>
      <c r="BD25" s="35">
        <f t="shared" si="19"/>
        <v>0</v>
      </c>
      <c r="BE25" s="35">
        <f t="shared" si="20"/>
        <v>40270.9</v>
      </c>
      <c r="BF25" s="35">
        <f t="shared" si="21"/>
        <v>0</v>
      </c>
      <c r="BG25" s="35">
        <f t="shared" si="22"/>
        <v>0</v>
      </c>
      <c r="BH25" s="35">
        <f t="shared" si="23"/>
        <v>0</v>
      </c>
      <c r="BI25" s="35">
        <f t="shared" si="24"/>
        <v>0</v>
      </c>
      <c r="BJ25" s="35">
        <f t="shared" si="25"/>
        <v>0</v>
      </c>
      <c r="BK25" s="35">
        <f t="shared" si="26"/>
        <v>0</v>
      </c>
      <c r="BL25" s="35">
        <f t="shared" si="27"/>
        <v>10749.599999999999</v>
      </c>
      <c r="BM25" s="35">
        <f t="shared" si="28"/>
        <v>391.30000000000007</v>
      </c>
      <c r="BN25" s="35">
        <f t="shared" si="29"/>
        <v>6166.9</v>
      </c>
      <c r="BO25" s="35">
        <f t="shared" si="30"/>
        <v>0</v>
      </c>
      <c r="BP25" s="35">
        <f t="shared" si="31"/>
        <v>0</v>
      </c>
      <c r="BQ25" s="35">
        <f t="shared" si="32"/>
        <v>0</v>
      </c>
      <c r="BR25" s="35">
        <f t="shared" si="33"/>
        <v>4191.3999999999996</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28.5">
      <c r="A3" s="3025"/>
      <c r="B3" s="3025"/>
      <c r="C3" s="3025"/>
      <c r="D3" s="3026"/>
      <c r="E3" s="30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9" sqref="G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1892</v>
      </c>
      <c r="B1" s="1392"/>
      <c r="C1" s="1392"/>
      <c r="D1" s="1392"/>
      <c r="E1" s="1392"/>
      <c r="F1" s="1392"/>
      <c r="G1" s="1392"/>
      <c r="H1" s="1392"/>
      <c r="I1" s="1392"/>
      <c r="J1" s="1392"/>
      <c r="K1" s="1392"/>
      <c r="L1" s="1392"/>
      <c r="M1" s="1392"/>
      <c r="N1" s="1392"/>
      <c r="O1" s="1392"/>
      <c r="P1" s="1392"/>
    </row>
    <row r="2" spans="1:16" ht="15">
      <c r="A2" s="3036" t="s">
        <v>1893</v>
      </c>
      <c r="B2" s="3036"/>
      <c r="C2" s="3036"/>
      <c r="D2" s="967" t="s">
        <v>1869</v>
      </c>
      <c r="E2" s="2227" t="s">
        <v>1870</v>
      </c>
      <c r="F2" s="1392"/>
      <c r="G2" s="2228"/>
      <c r="H2" s="2229"/>
      <c r="I2" s="2230" t="s">
        <v>1894</v>
      </c>
      <c r="J2" s="1392"/>
      <c r="K2" s="1392"/>
      <c r="L2" s="1392"/>
      <c r="M2" s="1392"/>
      <c r="N2" s="1427"/>
      <c r="O2" s="1392"/>
      <c r="P2" s="1392"/>
    </row>
    <row r="3" spans="1:16" ht="15.75" thickBot="1">
      <c r="A3" s="3037" t="s">
        <v>1867</v>
      </c>
      <c r="B3" s="3037"/>
      <c r="C3" s="3037"/>
      <c r="D3" s="46">
        <f>'数据-基础表'!AY6</f>
        <v>54579.4</v>
      </c>
      <c r="E3" s="46">
        <f>'数据-基础表'!AZ5</f>
        <v>272582</v>
      </c>
      <c r="F3" s="1392"/>
      <c r="G3" s="1399"/>
      <c r="H3" s="1247" t="s">
        <v>1868</v>
      </c>
      <c r="I3" s="55">
        <f>ROUND('数据-基础表'!B3/'数据-基础表'!A3,2)</f>
        <v>4.99</v>
      </c>
      <c r="J3" s="1392"/>
      <c r="K3" s="1392"/>
      <c r="L3" s="1392"/>
      <c r="M3" s="1392"/>
      <c r="N3" s="1427"/>
      <c r="O3" s="1392"/>
      <c r="P3" s="1392"/>
    </row>
    <row r="4" spans="1:16" ht="15">
      <c r="A4" s="3038"/>
      <c r="B4" s="3039"/>
      <c r="C4" s="3040"/>
      <c r="D4" s="2231" t="s">
        <v>1869</v>
      </c>
      <c r="E4" s="2232" t="s">
        <v>1870</v>
      </c>
      <c r="F4" s="1392"/>
      <c r="G4" s="2233" t="s">
        <v>1895</v>
      </c>
      <c r="H4" s="1247" t="s">
        <v>1875</v>
      </c>
      <c r="I4" s="55">
        <f>ROUND(SUMIF('数据-基础表'!I9:AS9,"地上",'数据-基础表'!I5:AS5)/'数据-基础表'!A3,2)</f>
        <v>3.5</v>
      </c>
      <c r="J4" s="1392"/>
      <c r="K4" s="1392"/>
      <c r="L4" s="1392"/>
      <c r="M4" s="1392"/>
      <c r="N4" s="1427"/>
      <c r="O4" s="1392"/>
      <c r="P4" s="1392"/>
    </row>
    <row r="5" spans="1:16">
      <c r="A5" s="47" t="s">
        <v>1871</v>
      </c>
      <c r="B5" s="3041" t="s">
        <v>1872</v>
      </c>
      <c r="C5" s="3041"/>
      <c r="D5" s="48">
        <f>ROUND($D$3*E5/$E$3,2)</f>
        <v>0</v>
      </c>
      <c r="E5" s="49">
        <f>SUMIF('数据-基础表'!$11:$11,"住宅",'数据-基础表'!$5:$5)</f>
        <v>0</v>
      </c>
      <c r="F5" s="1392"/>
      <c r="G5" s="1399"/>
      <c r="H5" s="1247" t="s">
        <v>1868</v>
      </c>
      <c r="I5" s="55">
        <f>ROUND(E31/D31,2)</f>
        <v>4.99</v>
      </c>
      <c r="J5" s="1392"/>
      <c r="K5" s="1392"/>
      <c r="L5" s="1392"/>
      <c r="M5" s="1392"/>
      <c r="N5" s="1392"/>
      <c r="O5" s="1392"/>
      <c r="P5" s="1392"/>
    </row>
    <row r="6" spans="1:16" ht="15" thickBot="1">
      <c r="A6" s="2234"/>
      <c r="B6" s="3041" t="s">
        <v>1873</v>
      </c>
      <c r="C6" s="3041"/>
      <c r="D6" s="48">
        <f>ROUND($D$3*E6/$E$3,2)</f>
        <v>54579.4</v>
      </c>
      <c r="E6" s="49">
        <f>E3-E5</f>
        <v>272582</v>
      </c>
      <c r="F6" s="1392"/>
      <c r="G6" s="2235" t="s">
        <v>1874</v>
      </c>
      <c r="H6" s="1399" t="s">
        <v>1875</v>
      </c>
      <c r="I6" s="939">
        <f>ROUND(F31/D31,2)</f>
        <v>3.5</v>
      </c>
      <c r="J6" s="1392"/>
      <c r="K6" s="1392"/>
      <c r="L6" s="1392"/>
      <c r="M6" s="1392"/>
      <c r="N6" s="1392"/>
      <c r="O6" s="1392"/>
      <c r="P6" s="1392"/>
    </row>
    <row r="7" spans="1:16" ht="15">
      <c r="A7" s="3033"/>
      <c r="B7" s="3034"/>
      <c r="C7" s="3035"/>
      <c r="D7" s="2231" t="s">
        <v>1869</v>
      </c>
      <c r="E7" s="2236" t="s">
        <v>1876</v>
      </c>
      <c r="F7" s="1392"/>
      <c r="G7" s="2228" t="s">
        <v>1877</v>
      </c>
      <c r="H7" s="64"/>
      <c r="I7" s="420"/>
      <c r="J7" s="1392"/>
      <c r="K7" s="1392"/>
      <c r="L7" s="1392"/>
      <c r="M7" s="1392"/>
      <c r="N7" s="1392"/>
      <c r="O7" s="1392"/>
      <c r="P7" s="1392"/>
    </row>
    <row r="8" spans="1:16">
      <c r="A8" s="47" t="s">
        <v>1878</v>
      </c>
      <c r="B8" s="50" t="s">
        <v>1879</v>
      </c>
      <c r="C8" s="48" t="s">
        <v>1880</v>
      </c>
      <c r="D8" s="48">
        <f t="shared" ref="D8:D15" si="0">ROUND($D$3*E8/$E$3,2)</f>
        <v>31190.35</v>
      </c>
      <c r="E8" s="51">
        <f>SUMIF('数据-基础表'!BB10:BK10,"地上",'数据-基础表'!BB5:BK5)</f>
        <v>155771.74000000002</v>
      </c>
      <c r="F8" s="1392"/>
      <c r="G8" s="2237"/>
      <c r="H8" s="2237"/>
      <c r="I8" s="1392"/>
      <c r="J8" s="1392"/>
      <c r="K8" s="1392"/>
      <c r="L8" s="1392"/>
      <c r="M8" s="1392"/>
      <c r="N8" s="1392"/>
      <c r="O8" s="1392"/>
      <c r="P8" s="1392"/>
    </row>
    <row r="9" spans="1:16">
      <c r="A9" s="2238"/>
      <c r="B9" s="2239"/>
      <c r="C9" s="48" t="s">
        <v>1881</v>
      </c>
      <c r="D9" s="48">
        <f t="shared" si="0"/>
        <v>0</v>
      </c>
      <c r="E9" s="52">
        <v>0</v>
      </c>
      <c r="F9" s="1392"/>
      <c r="G9" s="2237"/>
      <c r="H9" s="2237"/>
      <c r="I9" s="1392"/>
      <c r="J9" s="1392"/>
      <c r="K9" s="1392"/>
      <c r="L9" s="1392"/>
      <c r="M9" s="1392"/>
      <c r="N9" s="1392"/>
      <c r="O9" s="1392"/>
      <c r="P9" s="1392"/>
    </row>
    <row r="10" spans="1:16">
      <c r="A10" s="2238"/>
      <c r="B10" s="2239"/>
      <c r="C10" s="48" t="s">
        <v>1890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1882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1883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1884</v>
      </c>
      <c r="D13" s="48">
        <f t="shared" si="0"/>
        <v>13951.22</v>
      </c>
      <c r="E13" s="51">
        <f>SUMPRODUCT(('数据-基础表'!BB10:BK10="地下")*('数据-基础表'!BB11:BK11="车库")*('数据-基础表'!BB5:BK5))</f>
        <v>69675.600000000006</v>
      </c>
      <c r="F13" s="1392"/>
      <c r="G13" s="2237"/>
      <c r="H13" s="2237"/>
      <c r="I13" s="1392"/>
      <c r="J13" s="1392"/>
      <c r="K13" s="1392"/>
      <c r="L13" s="1392"/>
      <c r="M13" s="1392"/>
      <c r="N13" s="1392"/>
      <c r="O13" s="1392"/>
      <c r="P13" s="1392"/>
    </row>
    <row r="14" spans="1:16">
      <c r="A14" s="2238"/>
      <c r="B14" s="2239"/>
      <c r="C14" s="48" t="s">
        <v>1896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1885</v>
      </c>
      <c r="D16" s="50">
        <f>SUM(D8:D15)</f>
        <v>45141.57</v>
      </c>
      <c r="E16" s="53">
        <f>SUM(E8:E15)</f>
        <v>225447.34000000003</v>
      </c>
      <c r="F16" s="1392"/>
      <c r="G16" s="2237"/>
      <c r="H16" s="2240" t="s">
        <v>1897</v>
      </c>
      <c r="I16" s="2241"/>
      <c r="J16" s="1392"/>
      <c r="K16" s="3030" t="s">
        <v>1897</v>
      </c>
      <c r="L16" s="3031"/>
      <c r="M16" s="3031"/>
      <c r="N16" s="3031"/>
      <c r="O16" s="3031"/>
      <c r="P16" s="3032"/>
    </row>
    <row r="17" spans="1:19" ht="15">
      <c r="A17" s="2242" t="s">
        <v>1898</v>
      </c>
      <c r="B17" s="2243" t="s">
        <v>1899</v>
      </c>
      <c r="C17" s="2244" t="s">
        <v>1900</v>
      </c>
      <c r="D17" s="2245" t="s">
        <v>1888</v>
      </c>
      <c r="E17" s="2246" t="s">
        <v>1889</v>
      </c>
      <c r="F17" s="2247"/>
      <c r="G17" s="2248"/>
      <c r="H17" s="2249" t="s">
        <v>1901</v>
      </c>
      <c r="I17" s="2250" t="s">
        <v>1886</v>
      </c>
      <c r="J17" s="1392"/>
      <c r="K17" s="3027" t="s">
        <v>1902</v>
      </c>
      <c r="L17" s="3028"/>
      <c r="M17" s="3029"/>
      <c r="N17" s="3027" t="s">
        <v>1903</v>
      </c>
      <c r="O17" s="3028"/>
      <c r="P17" s="3029"/>
      <c r="R17" s="2228" t="s">
        <v>1904</v>
      </c>
      <c r="S17" s="64"/>
    </row>
    <row r="18" spans="1:19" ht="15">
      <c r="A18" s="2238"/>
      <c r="B18" s="2251"/>
      <c r="C18" s="2252"/>
      <c r="D18" s="2253"/>
      <c r="E18" s="2254" t="s">
        <v>1905</v>
      </c>
      <c r="F18" s="2255" t="s">
        <v>1906</v>
      </c>
      <c r="G18" s="2256" t="s">
        <v>1907</v>
      </c>
      <c r="H18" s="1262" t="s">
        <v>1908</v>
      </c>
      <c r="I18" s="2257" t="s">
        <v>1909</v>
      </c>
      <c r="J18" s="1392"/>
      <c r="K18" s="1262" t="s">
        <v>1910</v>
      </c>
      <c r="L18" s="2258" t="s">
        <v>1911</v>
      </c>
      <c r="M18" s="1046" t="s">
        <v>1912</v>
      </c>
      <c r="N18" s="1262" t="s">
        <v>1910</v>
      </c>
      <c r="O18" s="2258" t="s">
        <v>1911</v>
      </c>
      <c r="P18" s="1046" t="s">
        <v>1912</v>
      </c>
      <c r="R18" s="1247" t="s">
        <v>1913</v>
      </c>
      <c r="S18" s="1247" t="s">
        <v>1914</v>
      </c>
    </row>
    <row r="19" spans="1:19">
      <c r="A19" s="2259"/>
      <c r="B19" s="50" t="s">
        <v>1887</v>
      </c>
      <c r="C19" s="2260" t="str">
        <f>定义!A3</f>
        <v>办公用房</v>
      </c>
      <c r="D19" s="48">
        <f>ROUND($D$3*E19/$E$3,2)</f>
        <v>25141.5</v>
      </c>
      <c r="E19" s="56">
        <f t="shared" ref="E19:E26" si="1">SUM(F19:G19)</f>
        <v>125562.38</v>
      </c>
      <c r="F19" s="57">
        <f>'数据-基础表'!I5</f>
        <v>125562.38</v>
      </c>
      <c r="G19" s="58"/>
      <c r="H19" s="723">
        <f>ROUND($D$3*I19/$E$3,2)</f>
        <v>636.94000000000005</v>
      </c>
      <c r="I19" s="51">
        <f t="shared" ref="I19:I26" si="2">IF($I$17="自定义",P19,M19)</f>
        <v>3181.01</v>
      </c>
      <c r="J19" s="1392"/>
      <c r="K19" s="1391">
        <f t="shared" ref="K19:K26" si="3">ROUND(E$28*E19/E$27,2)</f>
        <v>3181.01</v>
      </c>
      <c r="L19" s="1247">
        <f t="shared" ref="L19:L26" si="4">ROUND(IF(COUNTIF(C19,"*住宅*")&gt;0,E$29*E19/E$32,0),2)</f>
        <v>0</v>
      </c>
      <c r="M19" s="1403">
        <f>K19+L19</f>
        <v>3181.01</v>
      </c>
      <c r="N19" s="2261"/>
      <c r="O19" s="2262"/>
      <c r="P19" s="1403">
        <f>N19+O19</f>
        <v>0</v>
      </c>
      <c r="R19" s="1247">
        <f t="shared" ref="R19:S26" si="5">D19+H19</f>
        <v>25778.44</v>
      </c>
      <c r="S19" s="1248">
        <f t="shared" si="5"/>
        <v>128743.39</v>
      </c>
    </row>
    <row r="20" spans="1:19">
      <c r="A20" s="2263"/>
      <c r="B20" s="50" t="s">
        <v>1915</v>
      </c>
      <c r="C20" s="2260" t="str">
        <f>定义!A4</f>
        <v>商业用房</v>
      </c>
      <c r="D20" s="48">
        <f t="shared" ref="D20:D26" si="6">ROUND($D$3*E20/$E$3,2)</f>
        <v>2277.91</v>
      </c>
      <c r="E20" s="56">
        <f t="shared" si="1"/>
        <v>11376.42</v>
      </c>
      <c r="F20" s="57">
        <f>'数据-基础表'!K5</f>
        <v>11376.42</v>
      </c>
      <c r="G20" s="58"/>
      <c r="H20" s="723">
        <f t="shared" ref="H20:H26" si="7">ROUND($D$3*I20/$E$3,2)</f>
        <v>57.71</v>
      </c>
      <c r="I20" s="51">
        <f t="shared" si="2"/>
        <v>288.20999999999998</v>
      </c>
      <c r="J20" s="1392"/>
      <c r="K20" s="1391">
        <f t="shared" si="3"/>
        <v>288.20999999999998</v>
      </c>
      <c r="L20" s="1247">
        <f t="shared" si="4"/>
        <v>0</v>
      </c>
      <c r="M20" s="1403">
        <f t="shared" ref="M20:M26" si="8">K20+L20</f>
        <v>288.20999999999998</v>
      </c>
      <c r="N20" s="2261"/>
      <c r="O20" s="2262"/>
      <c r="P20" s="1403">
        <f t="shared" ref="P20:P26" si="9">N20+O20</f>
        <v>0</v>
      </c>
      <c r="R20" s="1247">
        <f t="shared" si="5"/>
        <v>2335.62</v>
      </c>
      <c r="S20" s="1248">
        <f t="shared" si="5"/>
        <v>11664.63</v>
      </c>
    </row>
    <row r="21" spans="1:19">
      <c r="A21" s="2263"/>
      <c r="B21" s="50" t="s">
        <v>1915</v>
      </c>
      <c r="C21" s="2260" t="str">
        <f>定义!A5</f>
        <v>酒店用房</v>
      </c>
      <c r="D21" s="48">
        <f t="shared" si="6"/>
        <v>3770.94</v>
      </c>
      <c r="E21" s="56">
        <f t="shared" si="1"/>
        <v>18832.939999999999</v>
      </c>
      <c r="F21" s="57">
        <f>'数据-基础表'!M5</f>
        <v>18832.939999999999</v>
      </c>
      <c r="G21" s="58"/>
      <c r="H21" s="723">
        <f t="shared" si="7"/>
        <v>95.53</v>
      </c>
      <c r="I21" s="51">
        <f t="shared" si="2"/>
        <v>477.12</v>
      </c>
      <c r="J21" s="1392"/>
      <c r="K21" s="1391">
        <f t="shared" si="3"/>
        <v>477.12</v>
      </c>
      <c r="L21" s="1247">
        <f t="shared" si="4"/>
        <v>0</v>
      </c>
      <c r="M21" s="1403">
        <f t="shared" si="8"/>
        <v>477.12</v>
      </c>
      <c r="N21" s="2261"/>
      <c r="O21" s="2262"/>
      <c r="P21" s="1403">
        <f t="shared" si="9"/>
        <v>0</v>
      </c>
      <c r="R21" s="1247">
        <f t="shared" si="5"/>
        <v>3866.4700000000003</v>
      </c>
      <c r="S21" s="1248">
        <f t="shared" si="5"/>
        <v>19310.059999999998</v>
      </c>
    </row>
    <row r="22" spans="1:19">
      <c r="A22" s="2263"/>
      <c r="B22" s="50" t="s">
        <v>1915</v>
      </c>
      <c r="C22" s="60" t="str">
        <f>定义!A6</f>
        <v>地下车库用房</v>
      </c>
      <c r="D22" s="48">
        <f t="shared" si="6"/>
        <v>13951.22</v>
      </c>
      <c r="E22" s="56">
        <f t="shared" si="1"/>
        <v>69675.600000000006</v>
      </c>
      <c r="F22" s="61"/>
      <c r="G22" s="62">
        <f>'数据-基础表'!O5</f>
        <v>69675.600000000006</v>
      </c>
      <c r="H22" s="723">
        <f t="shared" si="7"/>
        <v>353.44</v>
      </c>
      <c r="I22" s="51">
        <f t="shared" si="2"/>
        <v>1765.17</v>
      </c>
      <c r="J22" s="1392"/>
      <c r="K22" s="1391">
        <f t="shared" si="3"/>
        <v>1765.17</v>
      </c>
      <c r="L22" s="1247">
        <f t="shared" si="4"/>
        <v>0</v>
      </c>
      <c r="M22" s="1403">
        <f t="shared" si="8"/>
        <v>1765.17</v>
      </c>
      <c r="N22" s="2261"/>
      <c r="O22" s="2262"/>
      <c r="P22" s="1403">
        <f t="shared" si="9"/>
        <v>0</v>
      </c>
      <c r="R22" s="1247">
        <f t="shared" si="5"/>
        <v>14304.66</v>
      </c>
      <c r="S22" s="1248">
        <f t="shared" si="5"/>
        <v>71440.77</v>
      </c>
    </row>
    <row r="23" spans="1:19">
      <c r="A23" s="2263"/>
      <c r="B23" s="50" t="s">
        <v>1915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1915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1915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1915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1916</v>
      </c>
      <c r="D27" s="1393">
        <f>SUM(D19:D26)</f>
        <v>45141.57</v>
      </c>
      <c r="E27" s="1394">
        <f>IF(SUM(E19:E26)='数据-基础表'!BA5,SUM(E19:E26),IF(F27="地上面积有误","面积有误","地下面积有误"))</f>
        <v>225447.34000000003</v>
      </c>
      <c r="F27" s="1393">
        <f>IF(SUM(F19:F26)=E8,SUM(F19:F26),"地上面积有误")</f>
        <v>155771.74000000002</v>
      </c>
      <c r="G27" s="1395">
        <f>SUM(G19:G26)</f>
        <v>69675.600000000006</v>
      </c>
      <c r="H27" s="1396">
        <f>SUM(H19:H26)</f>
        <v>1143.6200000000001</v>
      </c>
      <c r="I27" s="1397">
        <f>SUM(I19:I26)</f>
        <v>5711.51</v>
      </c>
      <c r="J27" s="1392"/>
      <c r="K27" s="1400">
        <f>SUM(K19:K26)</f>
        <v>5711.51</v>
      </c>
      <c r="L27" s="1401">
        <f>SUM(L19:L26)</f>
        <v>0</v>
      </c>
      <c r="M27" s="1404">
        <f>SUM(M19:M26)</f>
        <v>5711.51</v>
      </c>
      <c r="N27" s="1400">
        <f t="shared" ref="N27:O27" si="10">SUM(N19:N26)</f>
        <v>0</v>
      </c>
      <c r="O27" s="1401">
        <f t="shared" si="10"/>
        <v>0</v>
      </c>
      <c r="P27" s="1402">
        <f>SUM(P19:P26)</f>
        <v>0</v>
      </c>
      <c r="R27" s="1249" t="str">
        <f>IF(SUM(R19:R26)=$D$3,SUM(R19:R26),SUM(R19:R26)&amp;"误差"&amp;ROUND(SUM(R19:R26)-$D$3,2))</f>
        <v>46285.19误差-8294.21</v>
      </c>
      <c r="S27" s="1247" t="str">
        <f>IF(SUM(S19:S26)=$E$3,SUM(S19:S26),SUM(S19:S26)&amp;"误差"&amp;ROUND(SUM(S19:S26)-E3,2))</f>
        <v>231158.85误差-41423.15</v>
      </c>
    </row>
    <row r="28" spans="1:19">
      <c r="A28" s="2263"/>
      <c r="B28" s="50" t="s">
        <v>1917</v>
      </c>
      <c r="C28" s="1259" t="s">
        <v>1918</v>
      </c>
      <c r="D28" s="48">
        <f>ROUND($D$3*E28/$E$3,2)</f>
        <v>1143.6199999999999</v>
      </c>
      <c r="E28" s="56">
        <f>SUM(F28:G28)</f>
        <v>5711.5</v>
      </c>
      <c r="F28" s="64">
        <f>'数据-基础表'!BQ5+'数据-基础表'!BS5</f>
        <v>0</v>
      </c>
      <c r="G28" s="65">
        <f>'数据-基础表'!BR5+'数据-基础表'!BT5</f>
        <v>5711.5</v>
      </c>
      <c r="H28" s="1392"/>
      <c r="I28" s="1392"/>
      <c r="J28" s="1392"/>
      <c r="K28" s="1392"/>
      <c r="L28" s="1392"/>
      <c r="M28" s="1392"/>
      <c r="N28" s="1392"/>
      <c r="O28" s="1392"/>
      <c r="P28" s="1392"/>
    </row>
    <row r="29" spans="1:19">
      <c r="A29" s="2263"/>
      <c r="B29" s="50" t="s">
        <v>1917</v>
      </c>
      <c r="C29" s="2267" t="s">
        <v>1919</v>
      </c>
      <c r="D29" s="48">
        <f>ROUND($D$3*E29/$E$3,2)</f>
        <v>8294.2099999999991</v>
      </c>
      <c r="E29" s="56">
        <f>SUM(F29:G29)</f>
        <v>41423.160000000003</v>
      </c>
      <c r="F29" s="66">
        <f>'数据-基础表'!BM5+'数据-基础表'!BO5</f>
        <v>35256.26</v>
      </c>
      <c r="G29" s="67">
        <f>'数据-基础表'!BN5+'数据-基础表'!BP5</f>
        <v>6166.9</v>
      </c>
      <c r="H29" s="1392"/>
      <c r="I29" s="1392"/>
      <c r="J29" s="1392"/>
      <c r="K29" s="1392"/>
      <c r="L29" s="1392"/>
      <c r="M29" s="1392"/>
      <c r="N29" s="1392"/>
      <c r="O29" s="1392"/>
      <c r="P29" s="1392"/>
    </row>
    <row r="30" spans="1:19" ht="15">
      <c r="A30" s="2263"/>
      <c r="B30" s="50"/>
      <c r="C30" s="2268" t="s">
        <v>1916</v>
      </c>
      <c r="D30" s="1393">
        <f>SUM(D28:D29)</f>
        <v>9437.8299999999981</v>
      </c>
      <c r="E30" s="1393">
        <f>SUM(E28:E29)</f>
        <v>47134.66</v>
      </c>
      <c r="F30" s="1393">
        <f>SUM(F28:F29)</f>
        <v>35256.26</v>
      </c>
      <c r="G30" s="1395">
        <f>SUM(G28:G29)</f>
        <v>11878.4</v>
      </c>
      <c r="H30" s="1392"/>
      <c r="I30" s="1392"/>
      <c r="J30" s="1392"/>
      <c r="K30" s="1392"/>
      <c r="L30" s="1392"/>
      <c r="M30" s="1392"/>
      <c r="N30" s="1392"/>
      <c r="O30" s="1392"/>
      <c r="P30" s="1392"/>
    </row>
    <row r="31" spans="1:19" ht="15.75" thickBot="1">
      <c r="A31" s="2269"/>
      <c r="B31" s="2270"/>
      <c r="C31" s="1007" t="s">
        <v>1920</v>
      </c>
      <c r="D31" s="729">
        <f>D27+D30</f>
        <v>54579.399999999994</v>
      </c>
      <c r="E31" s="729">
        <f>E27+E30</f>
        <v>272582</v>
      </c>
      <c r="F31" s="730">
        <f>F27+F30</f>
        <v>191028.00000000003</v>
      </c>
      <c r="G31" s="731">
        <f>G27+G30</f>
        <v>81554</v>
      </c>
      <c r="H31" s="1392"/>
      <c r="I31" s="1392"/>
      <c r="J31" s="1392"/>
      <c r="K31" s="1392"/>
      <c r="L31" s="1392"/>
      <c r="M31" s="1392"/>
      <c r="N31" s="1392"/>
      <c r="O31" s="1392"/>
      <c r="P31" s="1392"/>
    </row>
    <row r="32" spans="1:19">
      <c r="A32" s="2233"/>
      <c r="B32" s="2233" t="s">
        <v>1921</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10.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1922</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6" t="s">
        <v>1923</v>
      </c>
      <c r="B2" s="1266">
        <f>项目基本情况!D3</f>
        <v>43537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1924</v>
      </c>
      <c r="B4" s="2281"/>
      <c r="C4" s="2282"/>
      <c r="D4" s="2283"/>
      <c r="E4" s="2282" t="s">
        <v>1925</v>
      </c>
      <c r="F4" s="2282"/>
      <c r="G4" s="2282"/>
      <c r="H4" s="2282"/>
      <c r="I4" s="2282"/>
      <c r="J4" s="2284"/>
      <c r="K4" s="2285"/>
      <c r="L4" s="2286"/>
      <c r="M4" s="2282"/>
      <c r="N4" s="2282" t="s">
        <v>1926</v>
      </c>
      <c r="O4" s="2282"/>
      <c r="P4" s="2282"/>
      <c r="Q4" s="2282"/>
      <c r="R4" s="2282"/>
      <c r="S4" s="2284"/>
      <c r="T4" s="2287" t="str">
        <f>'数据-汇总表'!I17</f>
        <v>按面积比例</v>
      </c>
      <c r="U4" s="2281" t="s">
        <v>1927</v>
      </c>
      <c r="V4" s="2282"/>
      <c r="W4" s="2282"/>
      <c r="X4" s="2282"/>
      <c r="Y4" s="2284"/>
      <c r="Z4" s="2244" t="s">
        <v>1928</v>
      </c>
      <c r="AA4" s="2244"/>
      <c r="AB4" s="2244"/>
      <c r="AC4" s="2244"/>
      <c r="AD4" s="2244"/>
      <c r="AE4" s="2242" t="s">
        <v>1929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1930</v>
      </c>
      <c r="B5" s="2290" t="s">
        <v>1931</v>
      </c>
      <c r="C5" s="2291" t="s">
        <v>1932</v>
      </c>
      <c r="D5" s="2292" t="s">
        <v>1933</v>
      </c>
      <c r="E5" s="1268" t="s">
        <v>1934</v>
      </c>
      <c r="F5" s="2293" t="s">
        <v>1935</v>
      </c>
      <c r="G5" s="1268" t="s">
        <v>1936</v>
      </c>
      <c r="H5" s="1268" t="s">
        <v>1937</v>
      </c>
      <c r="I5" s="1268" t="s">
        <v>1938</v>
      </c>
      <c r="J5" s="2294" t="s">
        <v>1939</v>
      </c>
      <c r="K5" s="2295" t="s">
        <v>1940</v>
      </c>
      <c r="L5" s="2296" t="s">
        <v>1941</v>
      </c>
      <c r="M5" s="2297" t="s">
        <v>1942</v>
      </c>
      <c r="N5" s="2298" t="s">
        <v>1943</v>
      </c>
      <c r="O5" s="2296" t="s">
        <v>1944</v>
      </c>
      <c r="P5" s="2299" t="s">
        <v>1945</v>
      </c>
      <c r="Q5" s="69" t="s">
        <v>1946</v>
      </c>
      <c r="R5" s="2300" t="s">
        <v>1947</v>
      </c>
      <c r="S5" s="2301" t="s">
        <v>1948</v>
      </c>
      <c r="T5" s="2302" t="s">
        <v>1949</v>
      </c>
      <c r="U5" s="1267" t="s">
        <v>1950</v>
      </c>
      <c r="V5" s="1268" t="s">
        <v>1951</v>
      </c>
      <c r="W5" s="1268" t="s">
        <v>1952</v>
      </c>
      <c r="X5" s="71"/>
      <c r="Y5" s="70" t="s">
        <v>1953</v>
      </c>
      <c r="Z5" s="2303" t="s">
        <v>1950</v>
      </c>
      <c r="AA5" s="1268" t="s">
        <v>1951</v>
      </c>
      <c r="AB5" s="1268" t="s">
        <v>1952</v>
      </c>
      <c r="AC5" s="71"/>
      <c r="AD5" s="71" t="s">
        <v>1953</v>
      </c>
      <c r="AE5" s="1267" t="s">
        <v>1954</v>
      </c>
      <c r="AF5" s="1268" t="s">
        <v>1955</v>
      </c>
      <c r="AG5" s="70" t="s">
        <v>1956</v>
      </c>
      <c r="AH5" s="1267" t="s">
        <v>1957</v>
      </c>
      <c r="AI5" s="2303" t="s">
        <v>1958</v>
      </c>
      <c r="AJ5" s="2303" t="s">
        <v>1959</v>
      </c>
      <c r="AK5" s="1268" t="s">
        <v>1960</v>
      </c>
      <c r="AL5" s="1268" t="s">
        <v>1961</v>
      </c>
      <c r="AM5" s="70" t="s">
        <v>1962</v>
      </c>
      <c r="AN5" s="2304" t="s">
        <v>1963</v>
      </c>
      <c r="AO5" s="2074" t="s">
        <v>1964</v>
      </c>
      <c r="AP5" s="1249" t="s">
        <v>1965</v>
      </c>
      <c r="AQ5" s="2305" t="s">
        <v>1966</v>
      </c>
      <c r="AR5" s="2305" t="s">
        <v>1967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办公用房</v>
      </c>
      <c r="B6" s="2307" t="str">
        <f>IF(A6=0,"","经营性")</f>
        <v>经营性</v>
      </c>
      <c r="C6" s="2308" t="s">
        <v>27</v>
      </c>
      <c r="D6" s="1051">
        <f>SUMIF(项目基本情况!D$12:I$12,C6,项目基本情况!D$14:I$14)</f>
        <v>50</v>
      </c>
      <c r="E6" s="1048">
        <f>IF(B6="","",SUMIF(项目基本情况!D$12:I$12,C6,项目基本情况!D$13:I$13))</f>
        <v>60030</v>
      </c>
      <c r="F6" s="72">
        <f>SUMIF(项目基本情况!D$12:I$12,C6,项目基本情况!D$15:I$15)</f>
        <v>45.18</v>
      </c>
      <c r="G6" s="73">
        <f>IF(ISERROR(ROUND(POWER(1+H6,D6-F6)*(POWER(1+H6,F6)-1)/(POWER(1+H6,D6)-1),3)),0,ROUND(POWER(1+H6,D6-F6)*(POWER(1+H6,F6)-1)/(POWER(1+H6,D6)-1),3))</f>
        <v>0.97499999999999998</v>
      </c>
      <c r="H6" s="802">
        <v>0.05</v>
      </c>
      <c r="I6" s="802">
        <v>5.5E-2</v>
      </c>
      <c r="J6" s="74">
        <v>8.5000000000000006E-2</v>
      </c>
      <c r="K6" s="1251">
        <f>SUMIF('数据-汇总表'!C$19:C$33,A6,'数据-汇总表'!E$19:E$33)</f>
        <v>125562.38</v>
      </c>
      <c r="L6" s="803">
        <v>3500</v>
      </c>
      <c r="M6" s="75">
        <f t="shared" ref="M6:M14" si="0">ROUND(K6*L6/10000,0)</f>
        <v>43947</v>
      </c>
      <c r="N6" s="801">
        <f>工程进度!H22</f>
        <v>0.41341586548455034</v>
      </c>
      <c r="O6" s="75">
        <f>IF($N$5="成新度","——",ROUND(M6*N6,0))</f>
        <v>18168</v>
      </c>
      <c r="P6" s="76">
        <f>IF($N$5="成新度","——",M6-O6)</f>
        <v>25779</v>
      </c>
      <c r="Q6" s="804">
        <v>0.15</v>
      </c>
      <c r="R6" s="77">
        <f ca="1">SUMIF('数据-汇总表'!C$19:C$33,A6,'数据-汇总表'!R$19:R$27)</f>
        <v>25778.44</v>
      </c>
      <c r="S6" s="54">
        <f>IF('数据-汇总表'!$I$17="按面积比例",SUMIF('数据-汇总表'!C$19:C$33,A6,'数据-汇总表'!K$19:K$33),SUMIF('数据-汇总表'!C$19:C$33,A6,'数据-汇总表'!N$19:N$33))</f>
        <v>3181.01</v>
      </c>
      <c r="T6" s="1443">
        <f>ROUND($L$14*S6/10000,0)</f>
        <v>795</v>
      </c>
      <c r="U6" s="78">
        <v>3</v>
      </c>
      <c r="V6" s="79">
        <v>2.5000000000000001E-2</v>
      </c>
      <c r="W6" s="79">
        <v>0.1</v>
      </c>
      <c r="X6" s="1261"/>
      <c r="Y6" s="80">
        <v>1</v>
      </c>
      <c r="Z6" s="81"/>
      <c r="AA6" s="74"/>
      <c r="AB6" s="74"/>
      <c r="AC6" s="1261"/>
      <c r="AD6" s="82"/>
      <c r="AE6" s="1262">
        <f ca="1">IF(AN6="",0,SUMIF(INDIRECT("'"&amp;AN6&amp;"'"&amp;"!E:E"),$AE$5,INDIRECT("'"&amp;AN6&amp;"'"&amp;"!F:F")))</f>
        <v>43.68</v>
      </c>
      <c r="AF6" s="1803"/>
      <c r="AG6" s="147">
        <f>IF(AF6="",0,AE6-AF6)</f>
        <v>0</v>
      </c>
      <c r="AH6" s="83"/>
      <c r="AI6" s="85">
        <v>365</v>
      </c>
      <c r="AJ6" s="86"/>
      <c r="AK6" s="87">
        <v>0.02</v>
      </c>
      <c r="AL6" s="88">
        <v>2E-3</v>
      </c>
      <c r="AM6" s="89">
        <v>0.02</v>
      </c>
      <c r="AN6" s="2309" t="s">
        <v>3140</v>
      </c>
      <c r="AO6" s="55">
        <f ca="1">SUMIF(INDIRECT("'"&amp;AN6&amp;"'"&amp;"!A:A"),"总价",INDIRECT("'"&amp;AN6&amp;"'"&amp;"!B:B"))</f>
        <v>202805</v>
      </c>
      <c r="AP6" s="2310">
        <f>IF(C6="住宅",K6*L6,0)</f>
        <v>0</v>
      </c>
      <c r="AQ6" s="55">
        <f>ROUND($L$14*$N$14*S6/10000,0)</f>
        <v>409</v>
      </c>
      <c r="AR6" s="55">
        <f>ROUND($L$14*(1-$N$14)*S6/10000,0)</f>
        <v>387</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商业用房</v>
      </c>
      <c r="B7" s="2307" t="str">
        <f t="shared" ref="B7:B13" si="1">IF(A7=0,"","经营性")</f>
        <v>经营性</v>
      </c>
      <c r="C7" s="2308" t="s">
        <v>1369</v>
      </c>
      <c r="D7" s="1051">
        <f>SUMIF(项目基本情况!D$12:I$12,C7,项目基本情况!D$14:I$14)</f>
        <v>40</v>
      </c>
      <c r="E7" s="1048">
        <f>IF(B7="","",SUMIF(项目基本情况!D$12:I$12,C7,项目基本情况!D$13:I$13))</f>
        <v>56377</v>
      </c>
      <c r="F7" s="72">
        <f>SUMIF(项目基本情况!D$12:I$12,C7,项目基本情况!D$15:I$15)</f>
        <v>35.17</v>
      </c>
      <c r="G7" s="73">
        <f t="shared" ref="G7:G11" si="2">IF(ISERROR(ROUND(POWER(1+H7,D7-F7)*(POWER(1+H7,F7)-1)/(POWER(1+H7,D7)-1),3)),0,ROUND(POWER(1+H7,D7-F7)*(POWER(1+H7,F7)-1)/(POWER(1+H7,D7)-1),3))</f>
        <v>0.96099999999999997</v>
      </c>
      <c r="H7" s="802">
        <v>5.5E-2</v>
      </c>
      <c r="I7" s="802">
        <v>0.06</v>
      </c>
      <c r="J7" s="74">
        <v>8.5000000000000006E-2</v>
      </c>
      <c r="K7" s="1251">
        <f>SUMIF('数据-汇总表'!C$19:C$33,A7,'数据-汇总表'!E$19:E$33)</f>
        <v>11376.42</v>
      </c>
      <c r="L7" s="803">
        <v>4000</v>
      </c>
      <c r="M7" s="75">
        <f t="shared" si="0"/>
        <v>4551</v>
      </c>
      <c r="N7" s="801">
        <f>工程进度!H23</f>
        <v>0.47750962077701065</v>
      </c>
      <c r="O7" s="75">
        <f t="shared" ref="O7:O14" si="3">IF($N$5="成新度","——",ROUND(M7*N7,0))</f>
        <v>2173</v>
      </c>
      <c r="P7" s="76">
        <f t="shared" ref="P7:P14" si="4">IF($N$5="成新度","——",M7-O7)</f>
        <v>2378</v>
      </c>
      <c r="Q7" s="804">
        <v>0.25</v>
      </c>
      <c r="R7" s="77">
        <f ca="1">SUMIF('数据-汇总表'!C$19:C$33,A7,'数据-汇总表'!R$19:R$27)</f>
        <v>2335.62</v>
      </c>
      <c r="S7" s="54">
        <f>IF('数据-汇总表'!$I$17="按面积比例",SUMIF('数据-汇总表'!C$19:C$33,A7,'数据-汇总表'!K$19:K$33),SUMIF('数据-汇总表'!C$19:C$33,A7,'数据-汇总表'!N$19:N$33))</f>
        <v>288.20999999999998</v>
      </c>
      <c r="T7" s="1443">
        <f t="shared" ref="T7:T13" si="5">ROUND($L$14*S7/10000,0)</f>
        <v>72</v>
      </c>
      <c r="U7" s="78">
        <f>(7+7*60%)/2</f>
        <v>5.6</v>
      </c>
      <c r="V7" s="79">
        <v>0.03</v>
      </c>
      <c r="W7" s="79">
        <v>0.1</v>
      </c>
      <c r="X7" s="1261"/>
      <c r="Y7" s="80">
        <v>1</v>
      </c>
      <c r="Z7" s="81"/>
      <c r="AA7" s="74"/>
      <c r="AB7" s="74"/>
      <c r="AC7" s="1261"/>
      <c r="AD7" s="82"/>
      <c r="AE7" s="1262">
        <f t="shared" ref="AE7:AE13" ca="1" si="6">IF(AN7="",0,SUMIF(INDIRECT("'"&amp;AN7&amp;"'"&amp;"!E:E"),$AE$5,INDIRECT("'"&amp;AN7&amp;"'"&amp;"!F:F")))</f>
        <v>33.67</v>
      </c>
      <c r="AF7" s="1803"/>
      <c r="AG7" s="147">
        <f t="shared" ref="AG7:AG13" si="7">IF(AF7="",0,AE7-AF7)</f>
        <v>0</v>
      </c>
      <c r="AH7" s="83"/>
      <c r="AI7" s="85">
        <v>365</v>
      </c>
      <c r="AJ7" s="86"/>
      <c r="AK7" s="87">
        <v>2.5000000000000001E-2</v>
      </c>
      <c r="AL7" s="88">
        <v>2.5000000000000001E-3</v>
      </c>
      <c r="AM7" s="89">
        <v>2.5000000000000001E-2</v>
      </c>
      <c r="AN7" s="2309" t="s">
        <v>3142</v>
      </c>
      <c r="AO7" s="55">
        <f t="shared" ref="AO7:AO13" ca="1" si="8">SUMIF(INDIRECT("'"&amp;AN7&amp;"'"&amp;"!A:A"),"总价",INDIRECT("'"&amp;AN7&amp;"'"&amp;"!B:B"))</f>
        <v>30404</v>
      </c>
      <c r="AP7" s="2310">
        <f t="shared" ref="AP7:AP13" si="9">IF(C7="住宅",K7*L7,0)</f>
        <v>0</v>
      </c>
      <c r="AQ7" s="55">
        <f t="shared" ref="AQ7:AQ13" si="10">ROUND($L$14*$N$14*S7/10000,0)</f>
        <v>37</v>
      </c>
      <c r="AR7" s="55">
        <f t="shared" ref="AR7:AR13" si="11">ROUND($L$14*(1-$N$14)*S7/10000,0)</f>
        <v>35</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t="str">
        <f>'数据-汇总表'!C21</f>
        <v>酒店用房</v>
      </c>
      <c r="B8" s="2307" t="str">
        <f t="shared" si="1"/>
        <v>经营性</v>
      </c>
      <c r="C8" s="2308" t="s">
        <v>27</v>
      </c>
      <c r="D8" s="1051">
        <f>SUMIF(项目基本情况!D$12:I$12,C8,项目基本情况!D$14:I$14)</f>
        <v>50</v>
      </c>
      <c r="E8" s="1048">
        <f>IF(B8="","",SUMIF(项目基本情况!D$12:I$12,C8,项目基本情况!D$13:I$13))</f>
        <v>60030</v>
      </c>
      <c r="F8" s="72">
        <f>SUMIF(项目基本情况!D$12:I$12,C8,项目基本情况!D$15:I$15)</f>
        <v>45.18</v>
      </c>
      <c r="G8" s="73">
        <f t="shared" si="2"/>
        <v>0.97499999999999998</v>
      </c>
      <c r="H8" s="802">
        <v>0.05</v>
      </c>
      <c r="I8" s="802">
        <v>5.5E-2</v>
      </c>
      <c r="J8" s="74">
        <v>8.5000000000000006E-2</v>
      </c>
      <c r="K8" s="1251">
        <f>SUMIF('数据-汇总表'!C$19:C$33,A8,'数据-汇总表'!E$19:E$33)</f>
        <v>18832.939999999999</v>
      </c>
      <c r="L8" s="803">
        <v>4200</v>
      </c>
      <c r="M8" s="75">
        <f>ROUND(K8*L8/10000,0)</f>
        <v>7910</v>
      </c>
      <c r="N8" s="801">
        <f>工程进度!H24</f>
        <v>0</v>
      </c>
      <c r="O8" s="75">
        <f t="shared" si="3"/>
        <v>0</v>
      </c>
      <c r="P8" s="76">
        <f t="shared" si="4"/>
        <v>7910</v>
      </c>
      <c r="Q8" s="804">
        <v>0.3</v>
      </c>
      <c r="R8" s="77">
        <f ca="1">SUMIF('数据-汇总表'!C$19:C$33,A8,'数据-汇总表'!R$19:R$27)</f>
        <v>3866.4700000000003</v>
      </c>
      <c r="S8" s="54">
        <f>IF('数据-汇总表'!$I$17="按面积比例",SUMIF('数据-汇总表'!C$19:C$33,A8,'数据-汇总表'!K$19:K$33),SUMIF('数据-汇总表'!C$19:C$33,A8,'数据-汇总表'!N$19:N$33))</f>
        <v>477.12</v>
      </c>
      <c r="T8" s="1443">
        <f t="shared" si="5"/>
        <v>119</v>
      </c>
      <c r="U8" s="805">
        <f>酒店收入计算!E26*10000</f>
        <v>17737500</v>
      </c>
      <c r="V8" s="806">
        <v>0.03</v>
      </c>
      <c r="W8" s="806">
        <v>0</v>
      </c>
      <c r="X8" s="1261"/>
      <c r="Y8" s="807">
        <v>1</v>
      </c>
      <c r="Z8" s="81"/>
      <c r="AA8" s="74"/>
      <c r="AB8" s="74"/>
      <c r="AC8" s="1261"/>
      <c r="AD8" s="82"/>
      <c r="AE8" s="1262">
        <f t="shared" ca="1" si="6"/>
        <v>43.68</v>
      </c>
      <c r="AF8" s="1803"/>
      <c r="AG8" s="147">
        <f t="shared" si="7"/>
        <v>0</v>
      </c>
      <c r="AH8" s="808">
        <v>1</v>
      </c>
      <c r="AI8" s="85">
        <v>1</v>
      </c>
      <c r="AJ8" s="86"/>
      <c r="AK8" s="87">
        <v>2.5000000000000001E-2</v>
      </c>
      <c r="AL8" s="88">
        <v>2.5000000000000001E-3</v>
      </c>
      <c r="AM8" s="89">
        <v>2.5000000000000001E-2</v>
      </c>
      <c r="AN8" s="2309" t="s">
        <v>3144</v>
      </c>
      <c r="AO8" s="55">
        <f t="shared" ca="1" si="8"/>
        <v>27188</v>
      </c>
      <c r="AP8" s="2310">
        <f t="shared" si="9"/>
        <v>0</v>
      </c>
      <c r="AQ8" s="55">
        <f t="shared" si="10"/>
        <v>61</v>
      </c>
      <c r="AR8" s="55">
        <f t="shared" si="11"/>
        <v>58</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t="str">
        <f>'数据-汇总表'!C22</f>
        <v>地下车库用房</v>
      </c>
      <c r="B9" s="2307" t="str">
        <f t="shared" si="1"/>
        <v>经营性</v>
      </c>
      <c r="C9" s="2308" t="s">
        <v>3020</v>
      </c>
      <c r="D9" s="1051">
        <f>SUMIF(项目基本情况!D$12:I$12,C9,项目基本情况!D$14:I$14)</f>
        <v>50</v>
      </c>
      <c r="E9" s="1048">
        <f>IF(B9="","",SUMIF(项目基本情况!D$12:I$12,C9,项目基本情况!D$13:I$13))</f>
        <v>60030</v>
      </c>
      <c r="F9" s="72">
        <f>SUMIF(项目基本情况!D$12:I$12,C9,项目基本情况!D$15:I$15)</f>
        <v>45.18</v>
      </c>
      <c r="G9" s="73">
        <f t="shared" si="2"/>
        <v>0.97099999999999997</v>
      </c>
      <c r="H9" s="74">
        <v>4.4999999999999998E-2</v>
      </c>
      <c r="I9" s="74">
        <v>0.05</v>
      </c>
      <c r="J9" s="74">
        <v>8.5000000000000006E-2</v>
      </c>
      <c r="K9" s="1251">
        <f>SUMIF('数据-汇总表'!C$19:C$33,A9,'数据-汇总表'!E$19:E$33)</f>
        <v>69675.600000000006</v>
      </c>
      <c r="L9" s="803">
        <v>2500</v>
      </c>
      <c r="M9" s="75">
        <f t="shared" si="0"/>
        <v>17419</v>
      </c>
      <c r="N9" s="801">
        <f>工程进度!H25</f>
        <v>0.40458395765519062</v>
      </c>
      <c r="O9" s="75">
        <f t="shared" si="3"/>
        <v>7047</v>
      </c>
      <c r="P9" s="76">
        <f t="shared" si="4"/>
        <v>10372</v>
      </c>
      <c r="Q9" s="90">
        <v>0.1</v>
      </c>
      <c r="R9" s="77">
        <f ca="1">SUMIF('数据-汇总表'!C$19:C$33,A9,'数据-汇总表'!R$19:R$27)</f>
        <v>14304.66</v>
      </c>
      <c r="S9" s="54">
        <f>IF('数据-汇总表'!$I$17="按面积比例",SUMIF('数据-汇总表'!C$19:C$33,A9,'数据-汇总表'!K$19:K$33),SUMIF('数据-汇总表'!C$19:C$33,A9,'数据-汇总表'!N$19:N$33))</f>
        <v>1765.17</v>
      </c>
      <c r="T9" s="1443">
        <f t="shared" si="5"/>
        <v>441</v>
      </c>
      <c r="U9" s="78">
        <v>500</v>
      </c>
      <c r="V9" s="79">
        <v>0.02</v>
      </c>
      <c r="W9" s="79">
        <v>0.1</v>
      </c>
      <c r="X9" s="1261"/>
      <c r="Y9" s="80">
        <v>1</v>
      </c>
      <c r="Z9" s="81"/>
      <c r="AA9" s="74"/>
      <c r="AB9" s="74"/>
      <c r="AC9" s="1261"/>
      <c r="AD9" s="82"/>
      <c r="AE9" s="1262">
        <f t="shared" ca="1" si="6"/>
        <v>43.68</v>
      </c>
      <c r="AF9" s="1803"/>
      <c r="AG9" s="147">
        <f t="shared" si="7"/>
        <v>0</v>
      </c>
      <c r="AH9" s="83">
        <f>ROUND('数据-汇总表'!G22/45,0)</f>
        <v>1548</v>
      </c>
      <c r="AI9" s="85">
        <v>12</v>
      </c>
      <c r="AJ9" s="86"/>
      <c r="AK9" s="87">
        <v>1.4999999999999999E-2</v>
      </c>
      <c r="AL9" s="88">
        <v>1.5E-3</v>
      </c>
      <c r="AM9" s="89">
        <v>1.4999999999999999E-2</v>
      </c>
      <c r="AN9" s="2309" t="s">
        <v>3146</v>
      </c>
      <c r="AO9" s="55">
        <f t="shared" ca="1" si="8"/>
        <v>5673</v>
      </c>
      <c r="AP9" s="2310">
        <f t="shared" si="9"/>
        <v>0</v>
      </c>
      <c r="AQ9" s="55">
        <f t="shared" si="10"/>
        <v>227</v>
      </c>
      <c r="AR9" s="55">
        <f t="shared" si="11"/>
        <v>215</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1968</v>
      </c>
      <c r="B14" s="2307" t="s">
        <v>1969</v>
      </c>
      <c r="C14" s="2312" t="s">
        <v>1968</v>
      </c>
      <c r="D14" s="1051"/>
      <c r="E14" s="1048"/>
      <c r="F14" s="72"/>
      <c r="G14" s="73"/>
      <c r="H14" s="1250"/>
      <c r="I14" s="1250"/>
      <c r="J14" s="1250"/>
      <c r="K14" s="1251">
        <f>SUMIF('数据-汇总表'!C$19:C$33,A14,'数据-汇总表'!E$19:E$33)</f>
        <v>5711.5</v>
      </c>
      <c r="L14" s="91">
        <v>2500</v>
      </c>
      <c r="M14" s="75">
        <f t="shared" si="0"/>
        <v>1428</v>
      </c>
      <c r="N14" s="92">
        <f>工程进度!H26</f>
        <v>0.51369692725203531</v>
      </c>
      <c r="O14" s="75">
        <f t="shared" si="3"/>
        <v>734</v>
      </c>
      <c r="P14" s="76">
        <f t="shared" si="4"/>
        <v>694</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1970</v>
      </c>
      <c r="B15" s="2307" t="s">
        <v>1969</v>
      </c>
      <c r="C15" s="2312" t="s">
        <v>1971</v>
      </c>
      <c r="D15" s="1051"/>
      <c r="E15" s="1048"/>
      <c r="F15" s="72"/>
      <c r="G15" s="73"/>
      <c r="H15" s="1250"/>
      <c r="I15" s="1250"/>
      <c r="J15" s="1250"/>
      <c r="K15" s="1251">
        <f>SUMIF('数据-汇总表'!C$19:C$33,A15,'数据-汇总表'!E$19:E$33)</f>
        <v>41423.160000000003</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1972</v>
      </c>
      <c r="B16" s="97"/>
      <c r="C16" s="1005"/>
      <c r="D16" s="2314"/>
      <c r="E16" s="97"/>
      <c r="F16" s="97"/>
      <c r="G16" s="98">
        <f>ROUND(SUMPRODUCT(G6:G13,K6:K13)/SUMPRODUCT((G6:G13&gt;0)*(K6:K13)),3)</f>
        <v>0.97299999999999998</v>
      </c>
      <c r="H16" s="99">
        <f>ROUND(SUMPRODUCT(H6:H13,K6:K13)/SUMPRODUCT((H6:H13&gt;0)*(K6:K13)),3)</f>
        <v>4.9000000000000002E-2</v>
      </c>
      <c r="I16" s="100"/>
      <c r="J16" s="100"/>
      <c r="K16" s="101">
        <f>SUM(K6:K15)</f>
        <v>272582</v>
      </c>
      <c r="L16" s="102">
        <f>ROUND(M16*10000/SUM(K6:K14),0)</f>
        <v>3256</v>
      </c>
      <c r="M16" s="102">
        <f>SUM(M6:M14)</f>
        <v>75255</v>
      </c>
      <c r="N16" s="103">
        <f>ROUND(SUMPRODUCT(M6:M14,N6:N14)/M16,3)</f>
        <v>0.374</v>
      </c>
      <c r="O16" s="102">
        <f>SUM(O6:O14)</f>
        <v>28122</v>
      </c>
      <c r="P16" s="102">
        <f>SUM(P6:P14)</f>
        <v>47133</v>
      </c>
      <c r="Q16" s="104">
        <f>ROUND(SUMPRODUCT(Q6:Q13,K6:K13)/SUMPRODUCT((Q6:Q13&gt;0)*(K6:K13)),2)</f>
        <v>0.15</v>
      </c>
      <c r="R16" s="1255">
        <f ca="1">SUM(R6:R13)</f>
        <v>46285.19</v>
      </c>
      <c r="S16" s="105">
        <f>SUM(S6:S13)</f>
        <v>5711.51</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1973</v>
      </c>
      <c r="B18" s="2280"/>
      <c r="C18" s="2277"/>
      <c r="D18" s="2278"/>
      <c r="E18" s="2277"/>
      <c r="F18" s="2277"/>
      <c r="G18" s="2277"/>
      <c r="H18" s="2277"/>
      <c r="I18" s="2277"/>
      <c r="J18" s="2277"/>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6" t="s">
        <v>1974</v>
      </c>
      <c r="B19" s="112">
        <v>0</v>
      </c>
      <c r="C19" s="2277" t="s">
        <v>1975</v>
      </c>
      <c r="D19" s="2278"/>
      <c r="E19" s="2277"/>
      <c r="F19" s="2277"/>
      <c r="G19" s="2277"/>
      <c r="H19" s="2277"/>
      <c r="I19" s="2277"/>
      <c r="J19" s="2277"/>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7" t="s">
        <v>1976</v>
      </c>
      <c r="B20" s="113">
        <v>3</v>
      </c>
      <c r="C20" s="2277" t="s">
        <v>1977</v>
      </c>
      <c r="D20" s="2278"/>
      <c r="E20" s="2277"/>
      <c r="F20" s="2277"/>
      <c r="G20" s="2277"/>
      <c r="H20" s="2277"/>
      <c r="I20" s="2277"/>
      <c r="J20" s="2277"/>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8" t="s">
        <v>1978</v>
      </c>
      <c r="B21" s="113">
        <v>1.5</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7" t="s">
        <v>1979</v>
      </c>
      <c r="B22" s="114">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8" t="s">
        <v>1980</v>
      </c>
      <c r="B23" s="114">
        <f>B19+B21</f>
        <v>1.5</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1981</v>
      </c>
      <c r="B24" s="115">
        <f>B20-B21</f>
        <v>1.5</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1982</v>
      </c>
      <c r="B26" s="2320" t="s">
        <v>1983</v>
      </c>
      <c r="C26" s="2321" t="s">
        <v>1984</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7.75">
      <c r="A27" s="2322" t="s">
        <v>1985</v>
      </c>
      <c r="B27" s="116">
        <v>160</v>
      </c>
      <c r="C27" s="1763" t="s">
        <v>1986</v>
      </c>
      <c r="D27" s="2323"/>
      <c r="E27" s="1427"/>
      <c r="F27" s="1427"/>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1987</v>
      </c>
      <c r="B28" s="119">
        <v>200</v>
      </c>
      <c r="C28" s="2326"/>
      <c r="D28" s="2323"/>
      <c r="E28" s="1427"/>
      <c r="F28" s="1427"/>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1988</v>
      </c>
      <c r="B29" s="121">
        <v>0</v>
      </c>
      <c r="C29" s="1763" t="s">
        <v>1989</v>
      </c>
      <c r="D29" s="2323"/>
      <c r="E29" s="1427"/>
      <c r="F29" s="1427"/>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1990</v>
      </c>
      <c r="B30" s="724">
        <v>200</v>
      </c>
      <c r="C30" s="2326"/>
      <c r="D30" s="2323"/>
      <c r="E30" s="1427"/>
      <c r="F30" s="1427"/>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1991</v>
      </c>
      <c r="B31" s="120">
        <f>B30-B32</f>
        <v>200</v>
      </c>
      <c r="C31" s="1763"/>
      <c r="D31" s="2323"/>
      <c r="E31" s="1427"/>
      <c r="F31" s="1427"/>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1992</v>
      </c>
      <c r="B32" s="725">
        <v>0</v>
      </c>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1993</v>
      </c>
      <c r="B33" s="726">
        <v>0.05</v>
      </c>
      <c r="C33" s="1762" t="s">
        <v>1994</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1995</v>
      </c>
      <c r="B34" s="122">
        <v>0</v>
      </c>
      <c r="C34" s="1762" t="s">
        <v>1996</v>
      </c>
      <c r="D34" s="2278" t="s">
        <v>1997</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1998</v>
      </c>
      <c r="B35" s="119">
        <v>200</v>
      </c>
      <c r="C35" s="1762" t="s">
        <v>1999</v>
      </c>
      <c r="D35" s="2323"/>
      <c r="E35" s="1427"/>
      <c r="F35" s="1427"/>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2000</v>
      </c>
      <c r="B36" s="123">
        <v>1.4999999999999999E-2</v>
      </c>
      <c r="C36" s="1762" t="s">
        <v>2001</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8" t="s">
        <v>2002</v>
      </c>
      <c r="B37" s="124">
        <v>0.02</v>
      </c>
      <c r="C37" s="1762" t="s">
        <v>2003</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5" t="s">
        <v>2004</v>
      </c>
      <c r="B38" s="122">
        <v>0.02</v>
      </c>
      <c r="C38" s="1762" t="s">
        <v>2003</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9" t="s">
        <v>2005</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2006</v>
      </c>
      <c r="B40" s="1300">
        <f ca="1">存贷款利率!G1</f>
        <v>4.7500000000000001E-2</v>
      </c>
      <c r="C40" s="1762" t="s">
        <v>2007</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2" t="s">
        <v>2008</v>
      </c>
      <c r="B41" s="125">
        <f>B42+B43</f>
        <v>5.6000000000000001E-2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30" t="s">
        <v>2009</v>
      </c>
      <c r="B42" s="126">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30" t="s">
        <v>2010</v>
      </c>
      <c r="B43" s="127">
        <f>B42*(B44+B45+B46)+B47</f>
        <v>6.000000000000001E-3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2" t="s">
        <v>2011</v>
      </c>
      <c r="B44" s="128">
        <v>7.0000000000000007E-2</v>
      </c>
      <c r="C44" s="1762" t="s">
        <v>2012</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2" t="s">
        <v>2013</v>
      </c>
      <c r="B45" s="126">
        <v>0.03</v>
      </c>
      <c r="C45" s="1763" t="s">
        <v>2014</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2" t="s">
        <v>2015</v>
      </c>
      <c r="B46" s="126">
        <v>0.02</v>
      </c>
      <c r="C46" s="1763" t="s">
        <v>2016</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2017</v>
      </c>
      <c r="B47" s="129">
        <v>0</v>
      </c>
      <c r="C47" s="1763" t="s">
        <v>2018</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4" t="s">
        <v>2019</v>
      </c>
      <c r="B48" s="130">
        <v>0.03</v>
      </c>
      <c r="C48" s="1770" t="s">
        <v>2020</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2021</v>
      </c>
      <c r="B49" s="126">
        <v>5.0000000000000001E-4</v>
      </c>
      <c r="C49" s="1770" t="s">
        <v>2022</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5" t="s">
        <v>2023</v>
      </c>
      <c r="B50" s="131">
        <v>1.2E-2</v>
      </c>
      <c r="C50" s="1427"/>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2024</v>
      </c>
      <c r="B51" s="132">
        <v>0.12</v>
      </c>
      <c r="C51" s="1427"/>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5" t="s">
        <v>2025</v>
      </c>
      <c r="B52" s="133">
        <f>SUMIF(A54:A63,B53,B54:B63)</f>
        <v>3</v>
      </c>
      <c r="C52" s="1427"/>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5" t="s">
        <v>2026</v>
      </c>
      <c r="B53" s="2336" t="s">
        <v>523</v>
      </c>
      <c r="C53" s="1427" t="s">
        <v>2027</v>
      </c>
      <c r="D53" s="2337" t="s">
        <v>2028</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8" t="s">
        <v>2029</v>
      </c>
      <c r="B54" s="84"/>
      <c r="C54" s="1427">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8" t="s">
        <v>2030</v>
      </c>
      <c r="B55" s="84"/>
      <c r="C55" s="1427">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8" t="s">
        <v>2031</v>
      </c>
      <c r="B56" s="84"/>
      <c r="C56" s="1427">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8" t="s">
        <v>2032</v>
      </c>
      <c r="B57" s="84"/>
      <c r="C57" s="1427">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8" t="s">
        <v>2033</v>
      </c>
      <c r="B58" s="84">
        <v>3</v>
      </c>
      <c r="C58" s="1427">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8" t="s">
        <v>2034</v>
      </c>
      <c r="B59" s="84"/>
      <c r="C59" s="1427">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8" t="s">
        <v>2035</v>
      </c>
      <c r="B60" s="84"/>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8" t="s">
        <v>2036</v>
      </c>
      <c r="B61" s="84"/>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8" t="s">
        <v>2037</v>
      </c>
      <c r="B62" s="84"/>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2038</v>
      </c>
      <c r="B63" s="134"/>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42" t="s">
        <v>2039</v>
      </c>
      <c r="B1" s="3043"/>
      <c r="C1" s="3043"/>
      <c r="D1" s="3043"/>
      <c r="E1" s="3043"/>
      <c r="F1" s="3043"/>
      <c r="G1" s="3043"/>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2040</v>
      </c>
      <c r="D2" s="2366"/>
      <c r="E2" s="2367"/>
      <c r="F2" s="2286"/>
      <c r="G2" s="2365" t="s">
        <v>2041</v>
      </c>
      <c r="H2" s="2368"/>
      <c r="I2" s="2368"/>
      <c r="J2" s="2368"/>
      <c r="K2" s="2368"/>
      <c r="L2" s="2368"/>
      <c r="M2" s="2368"/>
      <c r="N2" s="2368"/>
      <c r="O2" s="2368"/>
      <c r="P2" s="2368"/>
      <c r="Q2" s="2368"/>
      <c r="R2" s="2368"/>
    </row>
    <row r="3" spans="1:29" ht="27">
      <c r="A3" s="415" t="s">
        <v>2042</v>
      </c>
      <c r="B3" s="1268" t="s">
        <v>2043</v>
      </c>
      <c r="C3" s="2370" t="s">
        <v>3161</v>
      </c>
      <c r="D3" s="2371"/>
      <c r="E3" s="431" t="s">
        <v>2042</v>
      </c>
      <c r="F3" s="2372" t="s">
        <v>2044</v>
      </c>
      <c r="G3" s="2373"/>
      <c r="H3" s="2368"/>
      <c r="I3" s="2368"/>
      <c r="J3" s="2368"/>
      <c r="K3" s="2368"/>
      <c r="L3" s="2368"/>
      <c r="M3" s="2368"/>
      <c r="N3" s="2368"/>
      <c r="O3" s="2368"/>
      <c r="P3" s="2368"/>
      <c r="Q3" s="2368"/>
      <c r="R3" s="2368"/>
    </row>
    <row r="4" spans="1:29" ht="54">
      <c r="A4" s="431"/>
      <c r="B4" s="1794" t="s">
        <v>2045</v>
      </c>
      <c r="C4" s="3293" t="s">
        <v>3152</v>
      </c>
      <c r="D4" s="2371"/>
      <c r="E4" s="2374"/>
      <c r="F4" s="42" t="s">
        <v>2046</v>
      </c>
      <c r="G4" s="2375"/>
      <c r="H4" s="2368"/>
      <c r="I4" s="2368"/>
      <c r="J4" s="2368"/>
      <c r="K4" s="2368"/>
      <c r="L4" s="2368"/>
      <c r="M4" s="2368"/>
      <c r="N4" s="2368"/>
      <c r="O4" s="2368"/>
      <c r="P4" s="2368"/>
      <c r="Q4" s="2368"/>
      <c r="R4" s="2368"/>
    </row>
    <row r="5" spans="1:29" ht="54">
      <c r="A5" s="431"/>
      <c r="B5" s="1794" t="s">
        <v>2047</v>
      </c>
      <c r="C5" s="3293" t="s">
        <v>3154</v>
      </c>
      <c r="D5" s="2371"/>
      <c r="E5" s="2374"/>
      <c r="F5" s="1794" t="s">
        <v>2048</v>
      </c>
      <c r="G5" s="2375"/>
      <c r="H5" s="2368"/>
      <c r="I5" s="2368"/>
      <c r="J5" s="2368"/>
      <c r="K5" s="2368"/>
      <c r="L5" s="2368"/>
      <c r="M5" s="2368"/>
      <c r="N5" s="2368"/>
      <c r="O5" s="2368"/>
      <c r="P5" s="2368"/>
      <c r="Q5" s="2368"/>
      <c r="R5" s="2368"/>
    </row>
    <row r="6" spans="1:29" ht="67.5">
      <c r="A6" s="431"/>
      <c r="B6" s="1794" t="s">
        <v>2049</v>
      </c>
      <c r="C6" s="3294" t="s">
        <v>3155</v>
      </c>
      <c r="D6" s="2371"/>
      <c r="E6" s="2374"/>
      <c r="F6" s="1794" t="s">
        <v>2050</v>
      </c>
      <c r="G6" s="2375"/>
      <c r="H6" s="2368"/>
      <c r="I6" s="2368"/>
      <c r="J6" s="2368"/>
      <c r="K6" s="2368"/>
      <c r="L6" s="2368"/>
      <c r="M6" s="2368"/>
      <c r="N6" s="2368"/>
      <c r="O6" s="2368"/>
      <c r="P6" s="2368"/>
      <c r="Q6" s="2368"/>
      <c r="R6" s="2368"/>
    </row>
    <row r="7" spans="1:29" ht="27.75" thickBot="1">
      <c r="A7" s="431"/>
      <c r="B7" s="1794" t="s">
        <v>2048</v>
      </c>
      <c r="C7" s="3294" t="s">
        <v>3165</v>
      </c>
      <c r="D7" s="2376"/>
      <c r="E7" s="2377"/>
      <c r="F7" s="2378" t="s">
        <v>2051</v>
      </c>
      <c r="G7" s="2379"/>
      <c r="H7" s="2368"/>
      <c r="I7" s="2368"/>
      <c r="J7" s="2368"/>
      <c r="K7" s="2368"/>
      <c r="L7" s="2368"/>
      <c r="M7" s="2368"/>
      <c r="N7" s="2368"/>
      <c r="O7" s="2368"/>
      <c r="P7" s="2368"/>
      <c r="Q7" s="2368"/>
      <c r="R7" s="2368"/>
    </row>
    <row r="8" spans="1:29" ht="27">
      <c r="A8" s="431"/>
      <c r="B8" s="1794" t="s">
        <v>2050</v>
      </c>
      <c r="C8" s="3294" t="s">
        <v>3157</v>
      </c>
      <c r="D8" s="2376"/>
      <c r="E8" s="2376"/>
      <c r="F8" s="1133"/>
      <c r="G8" s="1133"/>
      <c r="H8" s="2368"/>
      <c r="I8" s="2368"/>
      <c r="J8" s="2368"/>
      <c r="K8" s="2368"/>
      <c r="L8" s="2368"/>
      <c r="M8" s="2368"/>
      <c r="N8" s="2368"/>
      <c r="O8" s="2368"/>
      <c r="P8" s="2368"/>
      <c r="Q8" s="2368"/>
      <c r="R8" s="2368"/>
    </row>
    <row r="9" spans="1:29" ht="40.5">
      <c r="A9" s="431"/>
      <c r="B9" s="1794" t="s">
        <v>2052</v>
      </c>
      <c r="C9" s="3293" t="s">
        <v>3159</v>
      </c>
      <c r="D9" s="2371"/>
      <c r="E9" s="2376"/>
      <c r="F9" s="1133"/>
      <c r="G9" s="1133"/>
      <c r="H9" s="2368"/>
      <c r="I9" s="2368"/>
      <c r="J9" s="2368"/>
      <c r="K9" s="2368"/>
      <c r="L9" s="2368"/>
      <c r="M9" s="2368"/>
      <c r="N9" s="2368"/>
      <c r="O9" s="2368"/>
      <c r="P9" s="2368"/>
      <c r="Q9" s="2368"/>
      <c r="R9" s="2368"/>
    </row>
    <row r="10" spans="1:29" s="117" customFormat="1" ht="15.75" thickBot="1">
      <c r="A10" s="2380"/>
      <c r="B10" s="2381" t="s">
        <v>2053</v>
      </c>
      <c r="C10" s="2382" t="s">
        <v>3160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2054</v>
      </c>
      <c r="B13" s="2387"/>
      <c r="C13" s="2387"/>
      <c r="D13" s="2394"/>
      <c r="E13" s="2387"/>
      <c r="F13" s="2387"/>
      <c r="G13" s="2387"/>
    </row>
    <row r="14" spans="1:29" ht="15.75" thickBot="1">
      <c r="A14" s="2398"/>
      <c r="B14" s="2399"/>
      <c r="C14" s="2400" t="s">
        <v>2055</v>
      </c>
      <c r="D14" s="2371"/>
      <c r="E14" s="2401"/>
      <c r="F14" s="2401"/>
      <c r="G14" s="2365" t="s">
        <v>2056</v>
      </c>
    </row>
    <row r="15" spans="1:29" ht="57">
      <c r="A15" s="68" t="s">
        <v>2057</v>
      </c>
      <c r="B15" s="1267" t="s">
        <v>2043</v>
      </c>
      <c r="C15" s="2402" t="str">
        <f>C3</f>
        <v>——</v>
      </c>
      <c r="D15" s="2371"/>
      <c r="E15" s="2403" t="s">
        <v>2058</v>
      </c>
      <c r="F15" s="1267" t="s">
        <v>2059</v>
      </c>
      <c r="G15" s="135">
        <f>G3</f>
        <v>0</v>
      </c>
    </row>
    <row r="16" spans="1:29" ht="42.75">
      <c r="A16" s="645"/>
      <c r="B16" s="2404" t="s">
        <v>2045</v>
      </c>
      <c r="C16" s="2405" t="str">
        <f>C4</f>
        <v>估价对象位于经济开发区，周边商业氛围成熟度一般，人流量一般，商业繁华度一般</v>
      </c>
      <c r="D16" s="2371"/>
      <c r="E16" s="2406"/>
      <c r="F16" s="2407" t="s">
        <v>2046</v>
      </c>
      <c r="G16" s="136">
        <f>G4</f>
        <v>0</v>
      </c>
    </row>
    <row r="17" spans="1:18" ht="42.75">
      <c r="A17" s="645"/>
      <c r="B17" s="2404" t="s">
        <v>2047</v>
      </c>
      <c r="C17" s="2405" t="str">
        <f>C5</f>
        <v>估价对象位于经济开发区，周边办公楼项目较多，有中荣科技大厦等，入驻率高，办公集聚程度较好</v>
      </c>
      <c r="D17" s="2376"/>
      <c r="E17" s="2406"/>
      <c r="F17" s="2407" t="s">
        <v>2060</v>
      </c>
      <c r="G17" s="1568"/>
    </row>
    <row r="18" spans="1:18" ht="57">
      <c r="A18" s="645"/>
      <c r="B18" s="2407" t="s">
        <v>2049</v>
      </c>
      <c r="C18" s="136" t="str">
        <f>C6</f>
        <v>估价对象周边道路状况一般、公共交通通达情况一般、停车便捷程度一般，周边有开发区2路等公交线路，综合评价交通便捷度一般</v>
      </c>
      <c r="D18" s="2376"/>
      <c r="E18" s="2406"/>
      <c r="F18" s="2407" t="s">
        <v>2051</v>
      </c>
      <c r="G18" s="136">
        <f>G7</f>
        <v>0</v>
      </c>
    </row>
    <row r="19" spans="1:18" ht="15">
      <c r="A19" s="645"/>
      <c r="B19" s="2407" t="s">
        <v>2061</v>
      </c>
      <c r="C19" s="3279" t="s">
        <v>3050</v>
      </c>
      <c r="D19" s="2371"/>
      <c r="E19" s="2406"/>
      <c r="F19" s="1794" t="s">
        <v>2048</v>
      </c>
      <c r="G19" s="136">
        <f>G5</f>
        <v>0</v>
      </c>
    </row>
    <row r="20" spans="1:18" ht="28.5">
      <c r="A20" s="645"/>
      <c r="B20" s="2407" t="s">
        <v>2062</v>
      </c>
      <c r="C20" s="2405" t="str">
        <f>C9</f>
        <v>区域自然环境一般；人文环境一般；综合评价环境状况一般</v>
      </c>
      <c r="D20" s="2376"/>
      <c r="E20" s="2406"/>
      <c r="F20" s="1794" t="s">
        <v>2063</v>
      </c>
      <c r="G20" s="136">
        <f>G6</f>
        <v>0</v>
      </c>
    </row>
    <row r="21" spans="1:18" ht="28.5">
      <c r="A21" s="645"/>
      <c r="B21" s="1794" t="s">
        <v>2048</v>
      </c>
      <c r="C21" s="136" t="str">
        <f>C7</f>
        <v>估价对象所在区域公共配套设施齐备情况一般</v>
      </c>
      <c r="D21" s="2371"/>
      <c r="E21" s="2406"/>
      <c r="F21" s="2407" t="s">
        <v>2064</v>
      </c>
      <c r="G21" s="2408"/>
    </row>
    <row r="22" spans="1:18" ht="13.5" customHeight="1">
      <c r="A22" s="645"/>
      <c r="B22" s="1794" t="s">
        <v>2050</v>
      </c>
      <c r="C22" s="136" t="str">
        <f>C8</f>
        <v>估价对象所在区域基础设施水平较好</v>
      </c>
      <c r="D22" s="2371"/>
      <c r="E22" s="2406"/>
      <c r="F22" s="2407" t="s">
        <v>2053</v>
      </c>
      <c r="G22" s="1568"/>
    </row>
    <row r="23" spans="1:18" s="2368" customFormat="1" ht="15.75" thickBot="1">
      <c r="A23" s="645"/>
      <c r="B23" s="2407" t="s">
        <v>2064</v>
      </c>
      <c r="C23" s="2408" t="s">
        <v>3051</v>
      </c>
      <c r="D23" s="2395"/>
      <c r="E23" s="2409"/>
      <c r="F23" s="2410" t="s">
        <v>2065</v>
      </c>
      <c r="G23" s="2411"/>
      <c r="H23" s="2395"/>
      <c r="I23" s="2396"/>
      <c r="J23" s="2395"/>
      <c r="K23" s="2395"/>
      <c r="L23" s="2396"/>
      <c r="M23" s="2395"/>
      <c r="N23" s="2395"/>
      <c r="O23" s="2396"/>
      <c r="P23" s="2395"/>
      <c r="Q23" s="2395"/>
      <c r="R23" s="2397"/>
    </row>
    <row r="24" spans="1:18" s="2368" customFormat="1" ht="15.75" thickBot="1">
      <c r="A24" s="2412"/>
      <c r="B24" s="2410" t="s">
        <v>2066</v>
      </c>
      <c r="C24" s="137" t="str">
        <f>C10</f>
        <v>城市主干道-科创五街</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272582</v>
      </c>
      <c r="C1" s="1741"/>
      <c r="D1" s="1741"/>
      <c r="E1" s="1741"/>
      <c r="F1" s="1741"/>
      <c r="G1" s="1739"/>
    </row>
    <row r="2" spans="1:10" ht="16.5">
      <c r="A2" s="1742" t="s">
        <v>1345</v>
      </c>
      <c r="B2" s="1742">
        <f>SUM(C14:C23)</f>
        <v>54579.4</v>
      </c>
      <c r="C2" s="1741"/>
      <c r="D2" s="1741"/>
      <c r="E2" s="1741"/>
      <c r="F2" s="1741"/>
      <c r="G2" s="1739"/>
    </row>
    <row r="3" spans="1:10" ht="16.5">
      <c r="A3" s="1742" t="s">
        <v>1354</v>
      </c>
      <c r="B3" s="1743">
        <f>项目基本情况!D3</f>
        <v>43537</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227999</v>
      </c>
      <c r="C5" s="1742">
        <f ca="1">ROUND(B5*10000/$B$1,0)</f>
        <v>8364</v>
      </c>
      <c r="D5" s="1742">
        <f ca="1">ROUND(B5*10000/$B$2,0)</f>
        <v>41774</v>
      </c>
      <c r="E5" s="1741"/>
      <c r="F5" s="1739"/>
      <c r="G5" s="1739"/>
    </row>
    <row r="6" spans="1:10" ht="16.5">
      <c r="A6" s="1742" t="s">
        <v>1348</v>
      </c>
      <c r="B6" s="1742">
        <f ca="1">SUM(G14:G23)</f>
        <v>227999</v>
      </c>
      <c r="C6" s="1742">
        <f ca="1">ROUND(B6*10000/$B$1,0)</f>
        <v>8364</v>
      </c>
      <c r="D6" s="1742">
        <f ca="1">ROUND(B6*10000/$B$2,0)</f>
        <v>41774</v>
      </c>
      <c r="E6" s="1741"/>
      <c r="F6" s="1739"/>
      <c r="G6" s="1739"/>
    </row>
    <row r="7" spans="1:10" ht="16.5">
      <c r="A7" s="1742" t="s">
        <v>1356</v>
      </c>
      <c r="B7" s="1742">
        <f ca="1">SUM(H14:H23)</f>
        <v>227999</v>
      </c>
      <c r="C7" s="1742">
        <f ca="1">ROUND(B7*10000/$B$1,0)</f>
        <v>8364</v>
      </c>
      <c r="D7" s="1742">
        <f ca="1">ROUND(B7*10000/$B$2,0)</f>
        <v>41774</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272582</v>
      </c>
      <c r="C14" s="1740">
        <f>结果表!C118</f>
        <v>54579.4</v>
      </c>
      <c r="D14" s="1740">
        <f ca="1">结果表!H118</f>
        <v>227999</v>
      </c>
      <c r="E14" s="1740">
        <f ca="1">ROUND(D14*10000/B14,0)</f>
        <v>8364</v>
      </c>
      <c r="F14" s="1740">
        <f ca="1">ROUND(D14*10000/C14,0)</f>
        <v>41774</v>
      </c>
      <c r="G14" s="1740">
        <f ca="1">结果表!D122</f>
        <v>227999</v>
      </c>
      <c r="H14" s="1740">
        <f ca="1">结果表!D124</f>
        <v>227999</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2067</v>
      </c>
      <c r="B1" s="2418"/>
      <c r="C1" s="2419"/>
      <c r="D1" s="2418"/>
      <c r="E1" s="2418"/>
      <c r="F1" s="2420" t="s">
        <v>2068</v>
      </c>
      <c r="G1" s="2070" t="s">
        <v>2069</v>
      </c>
      <c r="H1" s="2421" t="str">
        <f>IF(G1="现房","——","估价对象范围")</f>
        <v>估价对象范围</v>
      </c>
      <c r="I1" s="2422" t="s">
        <v>3033</v>
      </c>
    </row>
    <row r="2" spans="1:12" ht="21.75" customHeight="1" thickBot="1">
      <c r="A2" s="3077" t="str">
        <f>项目基本情况!S2</f>
        <v>北京市北京经济技术开发区东区A18街区出让国有建设用地使用权及在建建筑物房地产</v>
      </c>
      <c r="B2" s="3078"/>
      <c r="C2" s="3078"/>
      <c r="D2" s="3078"/>
      <c r="E2" s="3078"/>
      <c r="F2" s="3078"/>
      <c r="G2" s="3078"/>
      <c r="H2" s="3078"/>
      <c r="I2" s="3079"/>
    </row>
    <row r="3" spans="1:12" ht="12.75">
      <c r="A3" s="3081" t="s">
        <v>2070</v>
      </c>
      <c r="B3" s="3082"/>
      <c r="C3" s="3082"/>
      <c r="D3" s="3082"/>
      <c r="E3" s="3082"/>
      <c r="F3" s="3082"/>
      <c r="G3" s="3082"/>
      <c r="H3" s="3082"/>
      <c r="I3" s="3082"/>
    </row>
    <row r="4" spans="1:12" ht="14.25">
      <c r="A4" s="2425" t="s">
        <v>2071</v>
      </c>
      <c r="B4" s="2426" t="s">
        <v>2072</v>
      </c>
      <c r="C4" s="2427" t="s">
        <v>3078</v>
      </c>
      <c r="D4" s="2427" t="s">
        <v>3079</v>
      </c>
      <c r="E4" s="3074" t="s">
        <v>2073</v>
      </c>
      <c r="F4" s="3075"/>
      <c r="G4" s="3075"/>
      <c r="H4" s="3075"/>
      <c r="I4" s="308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057" t="s">
        <v>2074</v>
      </c>
      <c r="B5" s="2997">
        <v>25</v>
      </c>
      <c r="C5" s="3060"/>
      <c r="D5" s="3080"/>
      <c r="E5" s="140" t="s">
        <v>2075</v>
      </c>
      <c r="F5" s="2429"/>
      <c r="G5" s="2429"/>
      <c r="H5" s="2429"/>
      <c r="I5" s="1830"/>
    </row>
    <row r="6" spans="1:12" ht="12.75">
      <c r="A6" s="3057"/>
      <c r="B6" s="2997"/>
      <c r="C6" s="3061"/>
      <c r="D6" s="3080"/>
      <c r="E6" s="140" t="s">
        <v>2076</v>
      </c>
      <c r="F6" s="2429"/>
      <c r="G6" s="2429"/>
      <c r="H6" s="2429"/>
      <c r="I6" s="1830"/>
    </row>
    <row r="7" spans="1:12" ht="12.75">
      <c r="A7" s="3057"/>
      <c r="B7" s="2997"/>
      <c r="C7" s="3062"/>
      <c r="D7" s="3080"/>
      <c r="E7" s="140" t="s">
        <v>2077</v>
      </c>
      <c r="F7" s="2429"/>
      <c r="G7" s="2429"/>
      <c r="H7" s="2429"/>
      <c r="I7" s="1830"/>
    </row>
    <row r="8" spans="1:12" ht="12.75">
      <c r="A8" s="3057" t="s">
        <v>2078</v>
      </c>
      <c r="B8" s="2997">
        <v>15</v>
      </c>
      <c r="C8" s="3060"/>
      <c r="D8" s="3080"/>
      <c r="E8" s="140" t="s">
        <v>2079</v>
      </c>
      <c r="F8" s="2429"/>
      <c r="G8" s="2429"/>
      <c r="H8" s="2429"/>
      <c r="I8" s="1830"/>
    </row>
    <row r="9" spans="1:12" ht="12.75">
      <c r="A9" s="3057"/>
      <c r="B9" s="2997"/>
      <c r="C9" s="3062"/>
      <c r="D9" s="3080"/>
      <c r="E9" s="140" t="s">
        <v>2080</v>
      </c>
      <c r="F9" s="2429"/>
      <c r="G9" s="2429"/>
      <c r="H9" s="2429"/>
      <c r="I9" s="1830"/>
    </row>
    <row r="10" spans="1:12" ht="12.75">
      <c r="A10" s="3057" t="s">
        <v>2081</v>
      </c>
      <c r="B10" s="2997">
        <v>15</v>
      </c>
      <c r="C10" s="3060"/>
      <c r="D10" s="3080"/>
      <c r="E10" s="140" t="s">
        <v>2082</v>
      </c>
      <c r="F10" s="2429"/>
      <c r="G10" s="2429"/>
      <c r="H10" s="2429"/>
      <c r="I10" s="1830"/>
    </row>
    <row r="11" spans="1:12" ht="12.75">
      <c r="A11" s="3057"/>
      <c r="B11" s="2997"/>
      <c r="C11" s="3062"/>
      <c r="D11" s="3080"/>
      <c r="E11" s="140" t="s">
        <v>2083</v>
      </c>
      <c r="F11" s="2429"/>
      <c r="G11" s="2429"/>
      <c r="H11" s="2429"/>
      <c r="I11" s="1830"/>
    </row>
    <row r="12" spans="1:12" ht="12.75">
      <c r="A12" s="3057" t="s">
        <v>2084</v>
      </c>
      <c r="B12" s="2997">
        <v>15</v>
      </c>
      <c r="C12" s="3060"/>
      <c r="D12" s="3080"/>
      <c r="E12" s="140" t="s">
        <v>2085</v>
      </c>
      <c r="F12" s="2429"/>
      <c r="G12" s="2429"/>
      <c r="H12" s="2429"/>
      <c r="I12" s="1830"/>
    </row>
    <row r="13" spans="1:12" ht="12.75">
      <c r="A13" s="3057"/>
      <c r="B13" s="2997"/>
      <c r="C13" s="3062"/>
      <c r="D13" s="3080"/>
      <c r="E13" s="140" t="s">
        <v>2086</v>
      </c>
      <c r="F13" s="2429"/>
      <c r="G13" s="2429"/>
      <c r="H13" s="2429"/>
      <c r="I13" s="1830"/>
    </row>
    <row r="14" spans="1:12" ht="12.75">
      <c r="A14" s="3057" t="s">
        <v>2087</v>
      </c>
      <c r="B14" s="2997">
        <v>30</v>
      </c>
      <c r="C14" s="3060">
        <v>4</v>
      </c>
      <c r="D14" s="3080">
        <v>6</v>
      </c>
      <c r="E14" s="140" t="s">
        <v>2088</v>
      </c>
      <c r="F14" s="2429"/>
      <c r="G14" s="2429"/>
      <c r="H14" s="2429"/>
      <c r="I14" s="1830"/>
    </row>
    <row r="15" spans="1:12" ht="12.75">
      <c r="A15" s="3057"/>
      <c r="B15" s="2997"/>
      <c r="C15" s="3061"/>
      <c r="D15" s="3080"/>
      <c r="E15" s="140" t="s">
        <v>2089</v>
      </c>
      <c r="F15" s="2429"/>
      <c r="G15" s="2429"/>
      <c r="H15" s="2429"/>
      <c r="I15" s="1830"/>
    </row>
    <row r="16" spans="1:12" ht="12.75">
      <c r="A16" s="3057"/>
      <c r="B16" s="2997"/>
      <c r="C16" s="3062"/>
      <c r="D16" s="3080"/>
      <c r="E16" s="140" t="s">
        <v>2090</v>
      </c>
      <c r="F16" s="2429"/>
      <c r="G16" s="2429"/>
      <c r="H16" s="2429"/>
      <c r="I16" s="1830"/>
    </row>
    <row r="17" spans="1:35" ht="15">
      <c r="A17" s="2430" t="s">
        <v>2091</v>
      </c>
      <c r="B17" s="64"/>
      <c r="C17" s="141">
        <f>SUM(C5:C16)</f>
        <v>4</v>
      </c>
      <c r="D17" s="141">
        <f>SUM(D5:D16)</f>
        <v>6</v>
      </c>
      <c r="E17" s="138"/>
      <c r="F17" s="138"/>
      <c r="G17" s="138"/>
      <c r="H17" s="138"/>
      <c r="I17" s="138"/>
      <c r="K17" s="2428"/>
      <c r="L17" s="2431" t="s">
        <v>2092</v>
      </c>
      <c r="M17" s="2431" t="s">
        <v>2093</v>
      </c>
    </row>
    <row r="18" spans="1:35" ht="15.75" thickBot="1">
      <c r="A18" s="2432" t="s">
        <v>2094</v>
      </c>
      <c r="B18" s="2433"/>
      <c r="C18" s="142">
        <f>ROUND(C17/SUM(C17:D17),2)</f>
        <v>0.4</v>
      </c>
      <c r="D18" s="142">
        <f>1-C18</f>
        <v>0.6</v>
      </c>
      <c r="E18" s="138"/>
      <c r="F18" s="138"/>
      <c r="G18" s="138"/>
      <c r="H18" s="138"/>
      <c r="I18" s="138"/>
      <c r="K18" s="2428" t="s">
        <v>2095</v>
      </c>
      <c r="L18" s="2428">
        <f>IF(C1="",'数据-汇总表'!E3,SUMIF(项目类型,C1,'数据-汇总表'!E17:E26)+SUMIF(项目类型,C1,'数据-汇总表'!I17:I26))</f>
        <v>272582</v>
      </c>
      <c r="M18" s="2428">
        <f>IF(C1="",'数据-汇总表'!E3,SUMIF(项目类型,C1,'数据-汇总表'!E17:E26))</f>
        <v>272582</v>
      </c>
    </row>
    <row r="19" spans="1:35" ht="15">
      <c r="A19" s="2434" t="s">
        <v>2096</v>
      </c>
      <c r="B19" s="2435" t="s">
        <v>2097</v>
      </c>
      <c r="C19" s="143">
        <f ca="1">SUMIF(INDIRECT("'"&amp;C4&amp;"'"&amp;"!A:A"),结果表!B19,INDIRECT("'"&amp;C4&amp;"'"&amp;"!B:B"))</f>
        <v>345685</v>
      </c>
      <c r="D19" s="144">
        <f ca="1">SUMIF(INDIRECT("'"&amp;D4&amp;"'"&amp;"!A:A"),结果表!B19,INDIRECT("'"&amp;D4&amp;"'"&amp;"!B:B"))</f>
        <v>149541</v>
      </c>
      <c r="E19" s="2434" t="s">
        <v>2098</v>
      </c>
      <c r="F19" s="2435" t="s">
        <v>2097</v>
      </c>
      <c r="G19" s="145">
        <f ca="1">ROUND(C19*$C$18+D19*$D$18,0)</f>
        <v>227999</v>
      </c>
      <c r="H19" s="2436" t="s">
        <v>2099</v>
      </c>
      <c r="I19" s="138"/>
      <c r="K19" s="2428" t="s">
        <v>2100</v>
      </c>
      <c r="L19" s="2428">
        <f>IF(C1="",'数据-汇总表'!D3,SUMIF(项目类型,C1,'数据-汇总表'!D17:D26)+SUMIF(项目类型,C1,'数据-汇总表'!H17:H27))</f>
        <v>54579.4</v>
      </c>
      <c r="M19" s="2428">
        <f>IF(C1="",'数据-汇总表'!D3,SUMIF(项目类型,C1,'数据-汇总表'!D17:D26))</f>
        <v>54579.4</v>
      </c>
    </row>
    <row r="20" spans="1:35" ht="15">
      <c r="A20" s="2437"/>
      <c r="B20" s="1247" t="s">
        <v>2101</v>
      </c>
      <c r="C20" s="146">
        <f ca="1">SUMIF(INDIRECT("'"&amp;C4&amp;"'"&amp;"!A:A"),结果表!B20,INDIRECT("'"&amp;C4&amp;"'"&amp;"!B:B"))</f>
        <v>12682</v>
      </c>
      <c r="D20" s="147">
        <f ca="1">SUMIF(INDIRECT("'"&amp;D4&amp;"'"&amp;"!A:A"),结果表!B20,INDIRECT("'"&amp;D4&amp;"'"&amp;"!B:B"))</f>
        <v>5486</v>
      </c>
      <c r="E20" s="2437"/>
      <c r="F20" s="1247" t="s">
        <v>2101</v>
      </c>
      <c r="G20" s="148">
        <f ca="1">ROUND(C20*$C$18+D20*$D$18,0)</f>
        <v>8364</v>
      </c>
      <c r="H20" s="980" t="s">
        <v>2102</v>
      </c>
      <c r="I20" s="138"/>
    </row>
    <row r="21" spans="1:35" ht="15" customHeight="1" thickBot="1">
      <c r="A21" s="1000"/>
      <c r="B21" s="2438" t="s">
        <v>2103</v>
      </c>
      <c r="C21" s="789">
        <f ca="1">ROUND(C19*10000/L19,0)</f>
        <v>63336</v>
      </c>
      <c r="D21" s="790">
        <f ca="1">ROUND(D19*10000/L19,0)</f>
        <v>27399</v>
      </c>
      <c r="E21" s="1000"/>
      <c r="F21" s="2438" t="s">
        <v>2103</v>
      </c>
      <c r="G21" s="149">
        <f ca="1">ROUND(G19*10000/L19,0)</f>
        <v>41774</v>
      </c>
      <c r="H21" s="2439" t="s">
        <v>2102</v>
      </c>
      <c r="I21" s="138"/>
    </row>
    <row r="22" spans="1:35" ht="15" thickBot="1">
      <c r="A22" s="2281" t="s">
        <v>2104</v>
      </c>
      <c r="B22" s="2440"/>
      <c r="C22" s="2441"/>
      <c r="D22" s="791">
        <f ca="1">IF(C19&lt;D19,D19/C19-1,C19/D19-1)</f>
        <v>1.3116402859416483</v>
      </c>
      <c r="E22" s="138"/>
      <c r="F22" s="138"/>
      <c r="G22" s="138"/>
      <c r="H22" s="138"/>
      <c r="I22" s="138"/>
    </row>
    <row r="23" spans="1:35" ht="13.5" thickBot="1">
      <c r="A23" s="2418"/>
      <c r="B23" s="2418"/>
      <c r="C23" s="2418"/>
      <c r="D23" s="2418"/>
      <c r="E23" s="138"/>
      <c r="F23" s="138"/>
      <c r="G23" s="138"/>
      <c r="H23" s="138"/>
      <c r="I23" s="138"/>
    </row>
    <row r="24" spans="1:35" ht="14.25">
      <c r="A24" s="3051" t="s">
        <v>2105</v>
      </c>
      <c r="B24" s="2435" t="s">
        <v>2097</v>
      </c>
      <c r="C24" s="145">
        <f>IF(B30=0,0,D30)</f>
        <v>0</v>
      </c>
      <c r="D24" s="2442"/>
      <c r="E24" s="138"/>
      <c r="F24" s="138"/>
      <c r="G24" s="138"/>
      <c r="H24" s="138"/>
      <c r="I24" s="138"/>
    </row>
    <row r="25" spans="1:35" ht="14.25">
      <c r="A25" s="3052"/>
      <c r="B25" s="1247" t="s">
        <v>2101</v>
      </c>
      <c r="C25" s="150">
        <f>IF(B30=0,0,C30)</f>
        <v>0</v>
      </c>
      <c r="D25" s="2443"/>
      <c r="E25" s="138"/>
      <c r="F25" s="138"/>
      <c r="G25" s="138"/>
      <c r="H25" s="138"/>
      <c r="I25" s="138"/>
    </row>
    <row r="26" spans="1:35" ht="13.5" customHeight="1">
      <c r="A26" s="2444" t="s">
        <v>2106</v>
      </c>
      <c r="B26" s="151" t="s">
        <v>2107</v>
      </c>
      <c r="C26" s="151" t="s">
        <v>2108</v>
      </c>
      <c r="D26" s="152" t="s">
        <v>2109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2110</v>
      </c>
      <c r="B30" s="151"/>
      <c r="C30" s="151"/>
      <c r="D30" s="151"/>
      <c r="E30" s="2925" t="s">
        <v>2982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2111</v>
      </c>
      <c r="B32" s="2448"/>
      <c r="C32" s="153">
        <f ca="1">IF(D32="总价",G19-C24,G20-C25)</f>
        <v>227999</v>
      </c>
      <c r="D32" s="2449" t="s">
        <v>2112</v>
      </c>
      <c r="E32" s="138"/>
      <c r="F32" s="138"/>
      <c r="G32" s="138"/>
      <c r="H32" s="138"/>
      <c r="I32" s="138"/>
    </row>
    <row r="33" spans="1:15" ht="15">
      <c r="A33" s="957" t="s">
        <v>2113</v>
      </c>
      <c r="B33" s="2450"/>
      <c r="C33" s="2451"/>
      <c r="D33" s="2452"/>
      <c r="E33" s="2453" t="s">
        <v>2114</v>
      </c>
      <c r="F33" s="2454" t="str">
        <f>IF(D32="楼面单价","取值（单价）","取值（总价）")</f>
        <v>取值（总价）</v>
      </c>
      <c r="G33" s="138"/>
      <c r="H33" s="138"/>
      <c r="I33" s="138"/>
    </row>
    <row r="34" spans="1:15" ht="15">
      <c r="A34" s="2455"/>
      <c r="B34" s="2456" t="s">
        <v>2115</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2116</v>
      </c>
      <c r="F34" s="1735"/>
      <c r="G34" s="138"/>
      <c r="H34" s="138"/>
      <c r="I34" s="138"/>
    </row>
    <row r="35" spans="1:15" ht="15.75" thickBot="1">
      <c r="A35" s="2458"/>
      <c r="B35" s="2459" t="s">
        <v>2117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2118</v>
      </c>
      <c r="F35" s="163"/>
      <c r="G35" s="138"/>
      <c r="H35" s="138"/>
      <c r="I35" s="138"/>
    </row>
    <row r="36" spans="1:15" ht="15.75" thickBot="1">
      <c r="A36" s="3069" t="s">
        <v>2119</v>
      </c>
      <c r="B36" s="2461" t="s">
        <v>2120</v>
      </c>
      <c r="C36" s="154"/>
      <c r="D36" s="2462"/>
      <c r="E36" s="2463"/>
      <c r="F36" s="2464"/>
      <c r="G36" s="138"/>
      <c r="H36" s="138"/>
      <c r="I36" s="138"/>
    </row>
    <row r="37" spans="1:15" ht="15.75" thickBot="1">
      <c r="A37" s="3070"/>
      <c r="B37" s="2267" t="s">
        <v>2121</v>
      </c>
      <c r="C37" s="156"/>
      <c r="D37" s="1392"/>
      <c r="E37" s="1392"/>
      <c r="F37" s="2464"/>
      <c r="G37" s="138"/>
      <c r="H37" s="138"/>
      <c r="I37" s="138"/>
    </row>
    <row r="38" spans="1:15" ht="15.75" thickBot="1">
      <c r="A38" s="3071"/>
      <c r="B38" s="2465" t="s">
        <v>2122</v>
      </c>
      <c r="C38" s="727"/>
      <c r="D38" s="2466" t="s">
        <v>2123</v>
      </c>
      <c r="E38" s="1392"/>
      <c r="F38" s="2464"/>
      <c r="G38" s="138"/>
      <c r="H38" s="138"/>
      <c r="I38" s="138"/>
    </row>
    <row r="39" spans="1:15" ht="15">
      <c r="A39" s="2437" t="s">
        <v>2124</v>
      </c>
      <c r="B39" s="2467" t="s">
        <v>2125</v>
      </c>
      <c r="C39" s="2468" t="s">
        <v>2126</v>
      </c>
      <c r="D39" s="2468" t="s">
        <v>2127</v>
      </c>
      <c r="E39" s="2469" t="s">
        <v>2128</v>
      </c>
      <c r="F39" s="2464"/>
      <c r="G39" s="138"/>
      <c r="H39" s="138"/>
      <c r="I39" s="138"/>
    </row>
    <row r="40" spans="1:15" ht="14.25">
      <c r="A40" s="2470" t="s">
        <v>2129</v>
      </c>
      <c r="B40" s="158"/>
      <c r="C40" s="159"/>
      <c r="D40" s="159"/>
      <c r="E40" s="160"/>
      <c r="F40" s="2464"/>
      <c r="G40" s="138"/>
      <c r="H40" s="138"/>
      <c r="I40" s="138"/>
    </row>
    <row r="41" spans="1:15" ht="14.25">
      <c r="A41" s="2470" t="s">
        <v>2130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2131</v>
      </c>
      <c r="B44" s="2475"/>
      <c r="C44" s="2475"/>
      <c r="D44" s="2476"/>
      <c r="E44" s="2476"/>
      <c r="F44" s="2477"/>
      <c r="G44" s="2477"/>
      <c r="H44" s="2477"/>
      <c r="I44" s="2477"/>
      <c r="J44" s="2478" t="s">
        <v>2132</v>
      </c>
      <c r="K44" s="2479"/>
      <c r="L44" s="2479"/>
      <c r="M44" s="2479"/>
      <c r="N44" s="2479"/>
      <c r="O44" s="2479"/>
    </row>
    <row r="45" spans="1:15" ht="14.25" customHeight="1" thickBot="1">
      <c r="A45" s="3048" t="s">
        <v>2133</v>
      </c>
      <c r="B45" s="3049"/>
      <c r="C45" s="3050"/>
      <c r="D45" s="164">
        <f ca="1">ROUND(H101*F45,0)</f>
        <v>227999</v>
      </c>
      <c r="E45" s="165" t="s">
        <v>2134</v>
      </c>
      <c r="F45" s="166">
        <v>1</v>
      </c>
      <c r="G45" s="167" t="s">
        <v>2135</v>
      </c>
      <c r="H45" s="138"/>
      <c r="I45" s="138"/>
      <c r="J45" s="3108" t="s">
        <v>2136</v>
      </c>
      <c r="K45" s="3108"/>
      <c r="L45" s="3108"/>
      <c r="M45" s="3108"/>
      <c r="N45" s="3108"/>
      <c r="O45" s="3108"/>
    </row>
    <row r="46" spans="1:15" ht="14.25" customHeight="1">
      <c r="A46" s="3045" t="s">
        <v>2137</v>
      </c>
      <c r="B46" s="3046"/>
      <c r="C46" s="3046"/>
      <c r="D46" s="3046"/>
      <c r="E46" s="3046"/>
      <c r="F46" s="3046"/>
      <c r="G46" s="3047"/>
      <c r="H46" s="2480"/>
      <c r="I46" s="168"/>
      <c r="J46" s="1808">
        <v>1</v>
      </c>
      <c r="K46" s="3108" t="s">
        <v>2138</v>
      </c>
      <c r="L46" s="3108"/>
      <c r="M46" s="3128"/>
      <c r="N46" s="3128"/>
      <c r="O46" s="3128"/>
    </row>
    <row r="47" spans="1:15" ht="12" customHeight="1">
      <c r="A47" s="169" t="s">
        <v>2139</v>
      </c>
      <c r="B47" s="170"/>
      <c r="C47" s="171"/>
      <c r="D47" s="172" t="s">
        <v>2140</v>
      </c>
      <c r="E47" s="24" t="s">
        <v>2141</v>
      </c>
      <c r="F47" s="173" t="s">
        <v>2142</v>
      </c>
      <c r="G47" s="174" t="s">
        <v>2143</v>
      </c>
      <c r="H47" s="2480"/>
      <c r="I47" s="168"/>
      <c r="J47" s="1808">
        <v>2</v>
      </c>
      <c r="K47" s="3108" t="s">
        <v>2144</v>
      </c>
      <c r="L47" s="3108"/>
      <c r="M47" s="3129">
        <f>'数据-取费表'!B2</f>
        <v>43537</v>
      </c>
      <c r="N47" s="3129"/>
      <c r="O47" s="3129"/>
    </row>
    <row r="48" spans="1:15" ht="25.5">
      <c r="A48" s="3076" t="s">
        <v>2145</v>
      </c>
      <c r="B48" s="3059"/>
      <c r="C48" s="3059"/>
      <c r="D48" s="140">
        <f>IF(H48="情况1",0,IF(H48="情况2",D52,IF(H48="情况3",D53,IF(H48="情况4",D54))))</f>
        <v>0</v>
      </c>
      <c r="E48" s="1797" t="str">
        <f>IF(H48="情况4","(销售额-原购置价)×税（费）率","销售额×税（费）率")</f>
        <v>销售额×税（费）率</v>
      </c>
      <c r="F48" s="175" t="str">
        <f>IF(H48="情况1","免征",'数据-取费表'!B41)</f>
        <v>免征</v>
      </c>
      <c r="G48" s="2481" t="s">
        <v>2146</v>
      </c>
      <c r="H48" s="2482" t="s">
        <v>2147</v>
      </c>
      <c r="I48" s="2480"/>
      <c r="J48" s="1808">
        <v>3</v>
      </c>
      <c r="K48" s="3108" t="s">
        <v>2148</v>
      </c>
      <c r="L48" s="3108"/>
      <c r="M48" s="3130">
        <f ca="1">H101</f>
        <v>227999</v>
      </c>
      <c r="N48" s="3130"/>
      <c r="O48" s="3130"/>
    </row>
    <row r="49" spans="1:35" ht="25.5" customHeight="1">
      <c r="A49" s="176" t="s">
        <v>2149</v>
      </c>
      <c r="B49" s="3044" t="s">
        <v>2150</v>
      </c>
      <c r="C49" s="3044"/>
      <c r="D49" s="177">
        <v>0</v>
      </c>
      <c r="E49" s="23" t="s">
        <v>2151</v>
      </c>
      <c r="F49" s="28" t="s">
        <v>34</v>
      </c>
      <c r="G49" s="3114"/>
      <c r="H49" s="138"/>
      <c r="I49" s="2483"/>
      <c r="J49" s="1808">
        <v>4</v>
      </c>
      <c r="K49" s="3108" t="str">
        <f>IF(项目基本情况!E8="房地产抵押价值","房地产抵押价值","抵押担保权已注销时的房地产抵押价值")</f>
        <v>抵押担保权已注销时的房地产抵押价值</v>
      </c>
      <c r="L49" s="3108"/>
      <c r="M49" s="3130">
        <f ca="1">IF(项目基本情况!E8="房地产抵押价值",H107,H109)</f>
        <v>227999</v>
      </c>
      <c r="N49" s="3130"/>
      <c r="O49" s="3130"/>
    </row>
    <row r="50" spans="1:35" ht="25.5" customHeight="1">
      <c r="A50" s="178"/>
      <c r="B50" s="3044" t="s">
        <v>2152</v>
      </c>
      <c r="C50" s="3044"/>
      <c r="D50" s="179"/>
      <c r="E50" s="31"/>
      <c r="F50" s="180"/>
      <c r="G50" s="3115"/>
      <c r="H50" s="138"/>
      <c r="I50" s="2483"/>
      <c r="J50" s="3108" t="s">
        <v>2153</v>
      </c>
      <c r="K50" s="3108"/>
      <c r="L50" s="3108"/>
      <c r="M50" s="3108"/>
      <c r="N50" s="3108"/>
      <c r="O50" s="3108"/>
    </row>
    <row r="51" spans="1:35" ht="12" customHeight="1">
      <c r="A51" s="181"/>
      <c r="B51" s="3044" t="s">
        <v>2154</v>
      </c>
      <c r="C51" s="3044"/>
      <c r="D51" s="182"/>
      <c r="E51" s="30"/>
      <c r="F51" s="180"/>
      <c r="G51" s="3116"/>
      <c r="H51" s="138"/>
      <c r="I51" s="2483"/>
      <c r="J51" s="2484" t="s">
        <v>2155</v>
      </c>
      <c r="K51" s="3108" t="s">
        <v>2156</v>
      </c>
      <c r="L51" s="3108"/>
      <c r="M51" s="2484" t="s">
        <v>2157</v>
      </c>
      <c r="N51" s="2484" t="s">
        <v>2158</v>
      </c>
      <c r="O51" s="2484" t="s">
        <v>2159</v>
      </c>
    </row>
    <row r="52" spans="1:35" ht="24" customHeight="1">
      <c r="A52" s="183" t="s">
        <v>2160</v>
      </c>
      <c r="B52" s="3044" t="s">
        <v>2161</v>
      </c>
      <c r="C52" s="3044"/>
      <c r="D52" s="182">
        <f ca="1">ROUND(D45*'数据-取费表'!B41/(1+'数据-取费表'!C42),0)</f>
        <v>12160</v>
      </c>
      <c r="E52" s="11" t="s">
        <v>2162</v>
      </c>
      <c r="F52" s="184">
        <f>'数据-取费表'!B41</f>
        <v>5.6000000000000001E-2</v>
      </c>
      <c r="G52" s="2485"/>
      <c r="H52" s="138"/>
      <c r="I52" s="2483"/>
      <c r="J52" s="1808">
        <v>1</v>
      </c>
      <c r="K52" s="3109" t="s">
        <v>2163</v>
      </c>
      <c r="L52" s="3109"/>
      <c r="M52" s="1750">
        <f>D48</f>
        <v>0</v>
      </c>
      <c r="N52" s="1808" t="str">
        <f>E48</f>
        <v>销售额×税（费）率</v>
      </c>
      <c r="O52" s="1751" t="str">
        <f>F48</f>
        <v>免征</v>
      </c>
    </row>
    <row r="53" spans="1:35" ht="12" customHeight="1">
      <c r="A53" s="183" t="s">
        <v>2164</v>
      </c>
      <c r="B53" s="3067" t="s">
        <v>2165</v>
      </c>
      <c r="C53" s="3068"/>
      <c r="D53" s="182">
        <f ca="1">ROUND(D45*'数据-取费表'!B41/(1+'数据-取费表'!C42),0)</f>
        <v>12160</v>
      </c>
      <c r="E53" s="11" t="s">
        <v>2162</v>
      </c>
      <c r="F53" s="184">
        <f>'数据-取费表'!B41</f>
        <v>5.6000000000000001E-2</v>
      </c>
      <c r="G53" s="2485"/>
      <c r="H53" s="138"/>
      <c r="I53" s="2483"/>
      <c r="J53" s="1808">
        <v>2</v>
      </c>
      <c r="K53" s="3109" t="s">
        <v>2166</v>
      </c>
      <c r="L53" s="3109"/>
      <c r="M53" s="1750">
        <f t="shared" ref="M53:O54" ca="1" si="0">D55</f>
        <v>114</v>
      </c>
      <c r="N53" s="1808" t="str">
        <f t="shared" si="0"/>
        <v>销售额×税（费）率</v>
      </c>
      <c r="O53" s="1751">
        <f t="shared" si="0"/>
        <v>5.0000000000000001E-4</v>
      </c>
    </row>
    <row r="54" spans="1:35" ht="12" customHeight="1">
      <c r="A54" s="183" t="s">
        <v>2167</v>
      </c>
      <c r="B54" s="3067" t="s">
        <v>2168</v>
      </c>
      <c r="C54" s="3068"/>
      <c r="D54" s="182">
        <f ca="1">C68</f>
        <v>12160</v>
      </c>
      <c r="E54" s="30" t="s">
        <v>2169</v>
      </c>
      <c r="F54" s="184">
        <f>'数据-取费表'!B41</f>
        <v>5.6000000000000001E-2</v>
      </c>
      <c r="G54" s="2485"/>
      <c r="H54" s="2486"/>
      <c r="I54" s="2483"/>
      <c r="J54" s="1808">
        <v>3</v>
      </c>
      <c r="K54" s="3109" t="s">
        <v>2170</v>
      </c>
      <c r="L54" s="3109"/>
      <c r="M54" s="1750">
        <f t="shared" ca="1" si="0"/>
        <v>129047</v>
      </c>
      <c r="N54" s="1808" t="str">
        <f t="shared" si="0"/>
        <v>增值额×税（费）率</v>
      </c>
      <c r="O54" s="1752" t="str">
        <f t="shared" si="0"/>
        <v>——</v>
      </c>
    </row>
    <row r="55" spans="1:35" ht="24" customHeight="1">
      <c r="A55" s="3058" t="s">
        <v>2171</v>
      </c>
      <c r="B55" s="3059"/>
      <c r="C55" s="3059"/>
      <c r="D55" s="185">
        <f ca="1">IF(H55="个人住宅",0,ROUND(D45*I55,0))</f>
        <v>114</v>
      </c>
      <c r="E55" s="11" t="s">
        <v>2172</v>
      </c>
      <c r="F55" s="184">
        <f>IF(H55="正常",I55,"免征")</f>
        <v>5.0000000000000001E-4</v>
      </c>
      <c r="G55" s="2485"/>
      <c r="H55" s="2482" t="s">
        <v>2173</v>
      </c>
      <c r="I55" s="186">
        <f>'数据-取费表'!B49</f>
        <v>5.0000000000000001E-4</v>
      </c>
      <c r="J55" s="1808" t="str">
        <f>IF(H59="非个人房产","",4)</f>
        <v/>
      </c>
      <c r="K55" s="3109" t="str">
        <f>IF(H59="非个人房产","——","个人所得税")</f>
        <v>——</v>
      </c>
      <c r="L55" s="3109"/>
      <c r="M55" s="1753" t="str">
        <f>D59</f>
        <v>——</v>
      </c>
      <c r="N55" s="1806" t="str">
        <f>E59</f>
        <v>——</v>
      </c>
      <c r="O55" s="1754" t="str">
        <f>F59</f>
        <v>——</v>
      </c>
    </row>
    <row r="56" spans="1:35" ht="24.75">
      <c r="A56" s="3058" t="s">
        <v>2174</v>
      </c>
      <c r="B56" s="3059"/>
      <c r="C56" s="3059"/>
      <c r="D56" s="185">
        <f ca="1">IF(H56="个人住宅",D57,D58)</f>
        <v>129047</v>
      </c>
      <c r="E56" s="11" t="s">
        <v>2175</v>
      </c>
      <c r="F56" s="184" t="str">
        <f>IF(H56="正常",F58,"免征")</f>
        <v>——</v>
      </c>
      <c r="G56" s="2487" t="s">
        <v>2176</v>
      </c>
      <c r="H56" s="2488" t="s">
        <v>2173</v>
      </c>
      <c r="I56" s="2489"/>
      <c r="J56" s="1808" t="str">
        <f>IF(项目基本情况!K6="上海银行",IF(J55="",4,J55+1),"")</f>
        <v/>
      </c>
      <c r="K56" s="3132" t="str">
        <f>IF(项目基本情况!K6="上海银行","其他处置费用","")</f>
        <v/>
      </c>
      <c r="L56" s="3133"/>
      <c r="M56" s="1750" t="str">
        <f>IF(项目基本情况!K6="上海银行",M69,"")</f>
        <v/>
      </c>
      <c r="N56" s="3135" t="str">
        <f>IF(项目基本情况!K6="上海银行","包含处置中涉及的律师、诉讼、拍卖、评估等费用","")</f>
        <v/>
      </c>
      <c r="O56" s="3136"/>
    </row>
    <row r="57" spans="1:35" ht="12.75">
      <c r="A57" s="183" t="s">
        <v>2149</v>
      </c>
      <c r="B57" s="3074" t="s">
        <v>2177</v>
      </c>
      <c r="C57" s="3083"/>
      <c r="D57" s="187">
        <v>0</v>
      </c>
      <c r="E57" s="23" t="s">
        <v>2151</v>
      </c>
      <c r="F57" s="155"/>
      <c r="G57" s="2485"/>
      <c r="H57" s="2489"/>
      <c r="I57" s="2489"/>
      <c r="J57" s="3109">
        <f>IF(AND(J55="",J56=""),4,IF(项目基本情况!K6="上海银行",结果表!J56+1,结果表!J55+1))</f>
        <v>4</v>
      </c>
      <c r="K57" s="3109" t="s">
        <v>2178</v>
      </c>
      <c r="L57" s="2490" t="s">
        <v>2179</v>
      </c>
      <c r="M57" s="1755"/>
      <c r="N57" s="1756">
        <f ca="1">SUMIF(M52:M56,"&lt;9e307")</f>
        <v>129161</v>
      </c>
      <c r="O57" s="2491"/>
      <c r="P57" s="1749">
        <f ca="1">N57/M49</f>
        <v>0.56649809867587142</v>
      </c>
    </row>
    <row r="58" spans="1:35" ht="24.75">
      <c r="A58" s="183" t="s">
        <v>2160</v>
      </c>
      <c r="B58" s="3074" t="s">
        <v>2180</v>
      </c>
      <c r="C58" s="3075"/>
      <c r="D58" s="185">
        <f ca="1">IF(H58="转让取得",C81,C97)</f>
        <v>129047</v>
      </c>
      <c r="E58" s="11" t="s">
        <v>2175</v>
      </c>
      <c r="F58" s="24" t="s">
        <v>34</v>
      </c>
      <c r="G58" s="2485"/>
      <c r="H58" s="2488" t="s">
        <v>2181</v>
      </c>
      <c r="I58" s="2489"/>
      <c r="J58" s="3109"/>
      <c r="K58" s="3109"/>
      <c r="L58" s="2490" t="s">
        <v>2182</v>
      </c>
      <c r="M58" s="1757"/>
      <c r="N58" s="2492" t="str">
        <f ca="1">NUMBERSTRING(INT(N57*10000),2)&amp;"元整"</f>
        <v>壹拾贰亿玖仟壹佰陆拾壹万元整</v>
      </c>
      <c r="O58" s="2493"/>
    </row>
    <row r="59" spans="1:35" ht="24.75" thickBot="1">
      <c r="A59" s="3112" t="s">
        <v>2183</v>
      </c>
      <c r="B59" s="3113"/>
      <c r="C59" s="3113"/>
      <c r="D59" s="188" t="str">
        <f>IF(H59="非个人房产","——",IF(H59="个人住宅",0,ROUND(D45*I59,0)))</f>
        <v>——</v>
      </c>
      <c r="E59" s="189" t="str">
        <f>IF(H59="非个人房产","——","销售额×税（费）率")</f>
        <v>——</v>
      </c>
      <c r="F59" s="190" t="str">
        <f>IF(H59="非个人房产","——",IF(H59="个人住宅","免征",I59))</f>
        <v>——</v>
      </c>
      <c r="G59" s="2494" t="s">
        <v>2176</v>
      </c>
      <c r="H59" s="2488" t="s">
        <v>2184</v>
      </c>
      <c r="I59" s="191">
        <v>0.01</v>
      </c>
      <c r="J59" s="3110">
        <f>J57+1</f>
        <v>5</v>
      </c>
      <c r="K59" s="3109" t="s">
        <v>2185</v>
      </c>
      <c r="L59" s="1808" t="s">
        <v>2179</v>
      </c>
      <c r="M59" s="1758"/>
      <c r="N59" s="1759">
        <f ca="1">M49-N57</f>
        <v>98838</v>
      </c>
      <c r="O59" s="2495"/>
    </row>
    <row r="60" spans="1:35" ht="12" customHeight="1">
      <c r="A60" s="2496"/>
      <c r="B60" s="2418"/>
      <c r="C60" s="2418"/>
      <c r="D60" s="2418"/>
      <c r="E60" s="2166"/>
      <c r="F60" s="2489"/>
      <c r="G60" s="2489"/>
      <c r="H60" s="2497"/>
      <c r="I60" s="138"/>
      <c r="J60" s="3111"/>
      <c r="K60" s="3109"/>
      <c r="L60" s="2490" t="s">
        <v>2182</v>
      </c>
      <c r="M60" s="1757"/>
      <c r="N60" s="2492" t="str">
        <f ca="1">NUMBERSTRING(INT(N59*10000),2)&amp;"元整"</f>
        <v>玖亿捌仟捌佰叁拾捌万元整</v>
      </c>
      <c r="O60" s="2493"/>
    </row>
    <row r="61" spans="1:35" ht="13.5" thickBot="1">
      <c r="A61" s="3056" t="s">
        <v>2186</v>
      </c>
      <c r="B61" s="3056"/>
      <c r="C61" s="3056"/>
      <c r="D61" s="3056"/>
      <c r="E61" s="3056"/>
      <c r="F61" s="2489"/>
      <c r="G61" s="2489"/>
      <c r="H61" s="2497"/>
      <c r="I61" s="138"/>
      <c r="J61" s="1808">
        <f>J59+1</f>
        <v>6</v>
      </c>
      <c r="K61" s="3109" t="s">
        <v>2187</v>
      </c>
      <c r="L61" s="3109"/>
      <c r="M61" s="1760"/>
      <c r="N61" s="1761">
        <f ca="1">ROUND(N59*10000/'数据-汇总表'!E3,0)</f>
        <v>3626</v>
      </c>
      <c r="O61" s="2498"/>
    </row>
    <row r="62" spans="1:35" ht="12.75">
      <c r="A62" s="3072" t="s">
        <v>2188</v>
      </c>
      <c r="B62" s="3073"/>
      <c r="C62" s="1800"/>
      <c r="D62" s="1800" t="s">
        <v>2189</v>
      </c>
      <c r="E62" s="192" t="s">
        <v>2190</v>
      </c>
      <c r="F62" s="2489"/>
      <c r="G62" s="2489"/>
      <c r="H62" s="2497"/>
      <c r="I62" s="138"/>
    </row>
    <row r="63" spans="1:35" ht="12.75">
      <c r="A63" s="203" t="s">
        <v>774</v>
      </c>
      <c r="B63" s="193" t="s">
        <v>2191</v>
      </c>
      <c r="C63" s="194">
        <f ca="1">ROUND((C64+C65)/(1+'数据-取费表'!C42),0)</f>
        <v>217142</v>
      </c>
      <c r="D63" s="195"/>
      <c r="E63" s="196"/>
      <c r="F63" s="2489"/>
      <c r="G63" s="2489"/>
      <c r="H63" s="2497"/>
      <c r="I63" s="138"/>
      <c r="J63" s="3134" t="s">
        <v>2192</v>
      </c>
      <c r="K63" s="2499" t="s">
        <v>2193</v>
      </c>
      <c r="L63" s="1748">
        <f ca="1">IF(M49&gt;10000,M49*0.5%,IF(AND(M49&gt;1000,M49&lt;=10000),M49*1%,IF(AND(M49&gt;100,M49&lt;=1000),M49*3%,IF(AND(M49&gt;10,M49&lt;=100),M49*5%,M49*8%))))</f>
        <v>1139.9950000000001</v>
      </c>
      <c r="M63" s="24">
        <f ca="1">ROUND(L63,1)</f>
        <v>1140</v>
      </c>
      <c r="Z63" s="2423"/>
      <c r="AI63" s="2424"/>
    </row>
    <row r="64" spans="1:35" ht="14.25" customHeight="1">
      <c r="A64" s="197" t="s">
        <v>769</v>
      </c>
      <c r="B64" s="198" t="s">
        <v>2194</v>
      </c>
      <c r="C64" s="199">
        <f ca="1">D45</f>
        <v>227999</v>
      </c>
      <c r="D64" s="200" t="s">
        <v>32</v>
      </c>
      <c r="E64" s="201"/>
      <c r="F64" s="2489"/>
      <c r="G64" s="2489"/>
      <c r="H64" s="2497"/>
      <c r="I64" s="138"/>
      <c r="J64" s="3134"/>
      <c r="K64" s="2499" t="s">
        <v>2195</v>
      </c>
      <c r="L64" s="1748">
        <f ca="1">IF(M49&gt;2000,M49*0.5%,IF(AND(M49&gt;1000,M49&lt;=2000),M49*0.6%,IF(AND(M49&gt;500,M49&lt;=1000),M49*0.7%,IF(AND(M49&gt;200,M49&lt;=500),M49*0.8%,IF(AND(M49&gt;100,M49&lt;=200),M49*0.9%,IF(AND(M49&gt;50,M49&lt;=100),M49*1%,IF(AND(M49&gt;20,M49&lt;=50),M49*1.5%,IF(AND(M49&gt;10,M49&lt;=20),M49*2%,IF(AND(M49&gt;1,M49&lt;=10),M49*2.5%)))))))))</f>
        <v>1139.9950000000001</v>
      </c>
      <c r="M64" s="24">
        <f t="shared" ref="M64:M65" ca="1" si="1">ROUND(L64,1)</f>
        <v>1140</v>
      </c>
      <c r="N64" s="138" t="s">
        <v>2196</v>
      </c>
      <c r="Z64" s="2423"/>
      <c r="AI64" s="2424"/>
    </row>
    <row r="65" spans="1:35" ht="14.25" customHeight="1">
      <c r="A65" s="197" t="s">
        <v>770</v>
      </c>
      <c r="B65" s="198" t="s">
        <v>2197</v>
      </c>
      <c r="C65" s="202"/>
      <c r="D65" s="200"/>
      <c r="E65" s="201"/>
      <c r="F65" s="2489"/>
      <c r="G65" s="2489"/>
      <c r="H65" s="2497"/>
      <c r="I65" s="138"/>
      <c r="J65" s="3134"/>
      <c r="K65" s="2499" t="s">
        <v>2198</v>
      </c>
      <c r="L65" s="1748">
        <f ca="1">IF(M49&gt;1000,M49*0.1%,IF(AND(M49&gt;500,M49&lt;=1000),M49*0.5%,IF(AND(M49&gt;50,M49&lt;=500),M49*1%,IF(AND(M49&gt;1,M49&lt;=50),M49*1.5%))))</f>
        <v>227.999</v>
      </c>
      <c r="M65" s="24">
        <f t="shared" ca="1" si="1"/>
        <v>228</v>
      </c>
      <c r="N65" s="138" t="s">
        <v>2196</v>
      </c>
      <c r="Z65" s="2423"/>
      <c r="AI65" s="2424"/>
    </row>
    <row r="66" spans="1:35" ht="14.25" customHeight="1">
      <c r="A66" s="203" t="s">
        <v>771</v>
      </c>
      <c r="B66" s="204" t="s">
        <v>2199</v>
      </c>
      <c r="C66" s="205"/>
      <c r="D66" s="206" t="s">
        <v>32</v>
      </c>
      <c r="E66" s="1772" t="s">
        <v>1363</v>
      </c>
      <c r="F66" s="2489"/>
      <c r="G66" s="2489"/>
      <c r="H66" s="2497"/>
      <c r="I66" s="138"/>
      <c r="J66" s="3134"/>
      <c r="K66" s="2499" t="s">
        <v>2200</v>
      </c>
      <c r="L66" s="1748">
        <f ca="1">M49*0.5%</f>
        <v>1139.9950000000001</v>
      </c>
      <c r="M66" s="24">
        <f ca="1">IF(L66&gt;0.5,0.5,ROUND(L66,0))</f>
        <v>0.5</v>
      </c>
      <c r="N66" s="138" t="s">
        <v>2201</v>
      </c>
      <c r="Z66" s="2423"/>
      <c r="AI66" s="2424"/>
    </row>
    <row r="67" spans="1:35" ht="14.25" customHeight="1">
      <c r="A67" s="203" t="s">
        <v>772</v>
      </c>
      <c r="B67" s="204" t="s">
        <v>2202</v>
      </c>
      <c r="C67" s="207">
        <f ca="1">C63-C66</f>
        <v>217142</v>
      </c>
      <c r="D67" s="200" t="s">
        <v>32</v>
      </c>
      <c r="E67" s="201"/>
      <c r="F67" s="2489"/>
      <c r="G67" s="2489"/>
      <c r="H67" s="2497"/>
      <c r="I67" s="138"/>
      <c r="J67" s="3134"/>
      <c r="K67" s="2499" t="s">
        <v>2203</v>
      </c>
      <c r="L67" s="1748">
        <f ca="1">IF(M49&gt;=10000,(8.25+(M49-10000)*0.01%),IF(AND(M49&gt;=8000,M49&lt;10000),(7.85+(M49-8000)*0.02%),IF(AND(M49&gt;=5000,M49&lt;8000),(6.65+(M49-5000)*0.04%),IF(AND(M49&gt;=2000,M49&lt;5000),(4.25+(PM49-2000)*0.08%),IF(AND(M49&gt;=1000,M49&lt;2000),(2.75+(M49-1000)*0.15%),IF(AND(M49&gt;=100,M49&lt;1000),(0.5+(M49-100)*0.25%),IF(AND(M49&gt;0,M49&lt;100),M49*0.5%)))))))</f>
        <v>30.049900000000001</v>
      </c>
      <c r="M67" s="24">
        <f ca="1">ROUND(L67*0.9,1)</f>
        <v>27</v>
      </c>
      <c r="Z67" s="2423"/>
      <c r="AI67" s="2424"/>
    </row>
    <row r="68" spans="1:35" ht="14.25" customHeight="1" thickBot="1">
      <c r="A68" s="208" t="s">
        <v>773</v>
      </c>
      <c r="B68" s="209" t="s">
        <v>2204</v>
      </c>
      <c r="C68" s="210">
        <f ca="1">IF(C67&lt;=0,0,ROUND(C67*D68,0))</f>
        <v>12160</v>
      </c>
      <c r="D68" s="211">
        <f>'数据-取费表'!B41</f>
        <v>5.6000000000000001E-2</v>
      </c>
      <c r="E68" s="212"/>
      <c r="F68" s="2489"/>
      <c r="G68" s="2489"/>
      <c r="H68" s="2497"/>
      <c r="I68" s="138"/>
      <c r="J68" s="3134"/>
      <c r="K68" s="2499" t="s">
        <v>2205</v>
      </c>
      <c r="L68" s="1748">
        <f ca="1">IF(M49&gt;10000,M49*0.5%,IF(AND(M49&gt;5000,M49&lt;=10000),M49*1%,IF(AND(M49&gt;1000,M49&lt;=5000),M49*2%,IF(AND(M49&gt;200,M49&lt;=1000),M49*3%,M49*5%))))</f>
        <v>1139.9950000000001</v>
      </c>
      <c r="M68" s="24">
        <f ca="1">ROUND(L68,1)</f>
        <v>1140</v>
      </c>
      <c r="Z68" s="2423"/>
      <c r="AI68" s="2424"/>
    </row>
    <row r="69" spans="1:35" s="2446" customFormat="1" ht="16.5" customHeight="1">
      <c r="A69" s="2500"/>
      <c r="B69" s="2501"/>
      <c r="C69" s="2502"/>
      <c r="D69" s="2503"/>
      <c r="E69" s="2504"/>
      <c r="F69" s="2166"/>
      <c r="G69" s="2166"/>
      <c r="H69" s="2165"/>
      <c r="I69" s="2418"/>
      <c r="J69" s="3134"/>
      <c r="K69" s="2499" t="s">
        <v>2206</v>
      </c>
      <c r="L69" s="2505"/>
      <c r="M69" s="24">
        <f ca="1">ROUND(SUM(M63:M68),0)</f>
        <v>3676</v>
      </c>
      <c r="N69" s="1749">
        <f ca="1">M69/M49</f>
        <v>1.6122877731919876E-2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093" t="s">
        <v>2207</v>
      </c>
      <c r="B70" s="3094"/>
      <c r="C70" s="3094"/>
      <c r="D70" s="3094"/>
      <c r="E70" s="3094"/>
      <c r="F70" s="3094"/>
      <c r="G70" s="3094"/>
      <c r="H70" s="309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72" t="s">
        <v>2188</v>
      </c>
      <c r="B71" s="3073"/>
      <c r="C71" s="1800"/>
      <c r="D71" s="1800" t="s">
        <v>2189</v>
      </c>
      <c r="E71" s="213" t="s">
        <v>2190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774</v>
      </c>
      <c r="B72" s="204" t="s">
        <v>2208</v>
      </c>
      <c r="C72" s="207">
        <f ca="1">ROUND(D45/(1+'数据-取费表'!C42),0)</f>
        <v>217142</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771</v>
      </c>
      <c r="B73" s="173" t="s">
        <v>2209</v>
      </c>
      <c r="C73" s="207">
        <f ca="1">C74+C78</f>
        <v>1303</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775</v>
      </c>
      <c r="B75" s="198" t="s">
        <v>2211</v>
      </c>
      <c r="C75" s="218"/>
      <c r="D75" s="200" t="s">
        <v>32</v>
      </c>
      <c r="E75" s="219" t="s">
        <v>2212</v>
      </c>
      <c r="F75" s="2511" t="s">
        <v>2213</v>
      </c>
      <c r="G75" s="219" t="s">
        <v>2214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2215</v>
      </c>
      <c r="C76" s="200">
        <f>IF(F75="购房发票",ROUND(C75*H75*D76,0),0)</f>
        <v>0</v>
      </c>
      <c r="D76" s="222">
        <v>0.05</v>
      </c>
      <c r="E76" s="3067" t="s">
        <v>2216</v>
      </c>
      <c r="F76" s="3044"/>
      <c r="G76" s="3044"/>
      <c r="H76" s="309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2217</v>
      </c>
      <c r="C77" s="200">
        <f>ROUND(IF(G77="个人住宅",0,IF(G77="2016年5月1日前购买",C75*D77,C75*D77/(1+'数据-取费表'!C42))),0)</f>
        <v>0</v>
      </c>
      <c r="D77" s="223">
        <f>'数据-取费表'!B48+'数据-取费表'!B49</f>
        <v>3.0499999999999999E-2</v>
      </c>
      <c r="E77" s="15" t="s">
        <v>2218</v>
      </c>
      <c r="F77" s="224"/>
      <c r="G77" s="2513" t="s">
        <v>2219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2220</v>
      </c>
      <c r="C78" s="225">
        <f ca="1">ROUND(D45*D78/(1+'数据-取费表'!C42),0)</f>
        <v>1303</v>
      </c>
      <c r="D78" s="226">
        <f>'数据-取费表'!B43</f>
        <v>6.000000000000001E-3</v>
      </c>
      <c r="E78" s="3053" t="s">
        <v>2221</v>
      </c>
      <c r="F78" s="3054"/>
      <c r="G78" s="3054"/>
      <c r="H78" s="306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778</v>
      </c>
      <c r="B79" s="204" t="s">
        <v>2222</v>
      </c>
      <c r="C79" s="207">
        <f ca="1">C72-C73</f>
        <v>215839</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2223</v>
      </c>
      <c r="C80" s="227">
        <f ca="1">IF(C79&lt;=0,0,C79/C73)</f>
        <v>165.64773599386032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780</v>
      </c>
      <c r="B81" s="209" t="s">
        <v>2224</v>
      </c>
      <c r="C81" s="228">
        <f ca="1">ROUND(IF(C79&lt;=0,0,IF(C80&gt;=200%,C79*60%-C73*35%,IF(C80&gt;=100%,C79*50%-C73*15%,IF(C80&gt;=50%,C79*40%-C73*5%,IF(C80&lt;50%,C79*30%,0))))),0)</f>
        <v>129047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3" t="s">
        <v>2225</v>
      </c>
      <c r="B83" s="3094"/>
      <c r="C83" s="3094"/>
      <c r="D83" s="3094"/>
      <c r="E83" s="3094"/>
      <c r="F83" s="3094"/>
      <c r="G83" s="3094"/>
      <c r="H83" s="309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72" t="s">
        <v>2188</v>
      </c>
      <c r="B84" s="3073"/>
      <c r="C84" s="1800"/>
      <c r="D84" s="1800" t="s">
        <v>2189</v>
      </c>
      <c r="E84" s="213" t="s">
        <v>2190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774</v>
      </c>
      <c r="B85" s="204" t="s">
        <v>2208</v>
      </c>
      <c r="C85" s="207">
        <f ca="1">ROUND(D45/(1+'数据-取费表'!C42),0)</f>
        <v>217142</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771</v>
      </c>
      <c r="B86" s="173" t="s">
        <v>2209</v>
      </c>
      <c r="C86" s="207">
        <f ca="1">IF(H88="仅含出让金",C87+C90+C91+C92+C93+C94,C87+C91+C92+C93+C94)</f>
        <v>1303</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769</v>
      </c>
      <c r="B87" s="198" t="s">
        <v>2226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775</v>
      </c>
      <c r="B88" s="198" t="s">
        <v>2227</v>
      </c>
      <c r="C88" s="236"/>
      <c r="D88" s="226"/>
      <c r="E88" s="237" t="s">
        <v>2228</v>
      </c>
      <c r="F88" s="1796"/>
      <c r="G88" s="238" t="s">
        <v>2229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776</v>
      </c>
      <c r="B89" s="198" t="s">
        <v>2217</v>
      </c>
      <c r="C89" s="225">
        <f>ROUND(C88*D89,0)</f>
        <v>0</v>
      </c>
      <c r="D89" s="226">
        <f>'数据-取费表'!B48+'数据-取费表'!B49</f>
        <v>3.0499999999999999E-2</v>
      </c>
      <c r="E89" s="237" t="s">
        <v>2230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770</v>
      </c>
      <c r="B90" s="198" t="s">
        <v>2231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2232</v>
      </c>
      <c r="B91" s="198" t="s">
        <v>2233</v>
      </c>
      <c r="C91" s="225">
        <f>IF(H91="——",成本法!C33,I91)</f>
        <v>0</v>
      </c>
      <c r="D91" s="226"/>
      <c r="E91" s="3053" t="s">
        <v>2234</v>
      </c>
      <c r="F91" s="3054"/>
      <c r="G91" s="3054"/>
      <c r="H91" s="2518" t="s">
        <v>2235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2236</v>
      </c>
      <c r="B92" s="198" t="s">
        <v>2237</v>
      </c>
      <c r="C92" s="225">
        <f>ROUND((C87+C90+C91)*D92,0)</f>
        <v>0</v>
      </c>
      <c r="D92" s="226">
        <v>0.1</v>
      </c>
      <c r="E92" s="3053" t="s">
        <v>2238</v>
      </c>
      <c r="F92" s="3054"/>
      <c r="G92" s="3054"/>
      <c r="H92" s="306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2239</v>
      </c>
      <c r="B93" s="198" t="s">
        <v>2220</v>
      </c>
      <c r="C93" s="225">
        <f ca="1">ROUND(D45*D93/(1+'数据-取费表'!C42),0)</f>
        <v>1303</v>
      </c>
      <c r="D93" s="226">
        <f>'数据-取费表'!B43</f>
        <v>6.000000000000001E-3</v>
      </c>
      <c r="E93" s="3053" t="s">
        <v>2221</v>
      </c>
      <c r="F93" s="3054"/>
      <c r="G93" s="3054"/>
      <c r="H93" s="306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2240</v>
      </c>
      <c r="B94" s="198" t="s">
        <v>2241</v>
      </c>
      <c r="C94" s="236">
        <f>ROUND((C87+C90+C91)*D94,0)</f>
        <v>0</v>
      </c>
      <c r="D94" s="226">
        <v>0.2</v>
      </c>
      <c r="E94" s="3064" t="s">
        <v>2242</v>
      </c>
      <c r="F94" s="3065"/>
      <c r="G94" s="3065"/>
      <c r="H94" s="306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778</v>
      </c>
      <c r="B95" s="204" t="s">
        <v>2222</v>
      </c>
      <c r="C95" s="207">
        <f ca="1">ROUND(C85-C86,0)</f>
        <v>215839</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2223</v>
      </c>
      <c r="C96" s="227">
        <f ca="1">IF(C95&lt;=0,0,C95/C86)</f>
        <v>165.64773599386032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780</v>
      </c>
      <c r="B97" s="209" t="s">
        <v>2224</v>
      </c>
      <c r="C97" s="228">
        <f ca="1">ROUND(IF(C95&lt;=0,0,IF(C96&gt;=200%,C95*60%-C86*35%,IF(C96&gt;=100%,C95*50%-C86*15%,IF(C96&gt;=50%,C95*40%-C86*5%,IF(C96&lt;50%,C95*30%,0))))),0)</f>
        <v>129047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2243</v>
      </c>
      <c r="B99" s="2418"/>
      <c r="C99" s="2418"/>
      <c r="D99" s="2418"/>
      <c r="E99" s="2166"/>
      <c r="F99" s="2166"/>
      <c r="G99" s="2166"/>
      <c r="H99" s="2165"/>
      <c r="I99" s="138"/>
    </row>
    <row r="100" spans="1:35" ht="18.75" customHeight="1">
      <c r="A100" s="3038" t="s">
        <v>2244</v>
      </c>
      <c r="B100" s="3039"/>
      <c r="C100" s="3039"/>
      <c r="D100" s="3055"/>
      <c r="E100" s="3039" t="s">
        <v>2245</v>
      </c>
      <c r="F100" s="3039"/>
      <c r="G100" s="3039"/>
      <c r="H100" s="3055"/>
      <c r="I100" s="138"/>
    </row>
    <row r="101" spans="1:35" ht="18.75" customHeight="1">
      <c r="A101" s="3117" t="s">
        <v>2246</v>
      </c>
      <c r="B101" s="3118"/>
      <c r="C101" s="736" t="str">
        <f>C4</f>
        <v>成本法</v>
      </c>
      <c r="D101" s="737" t="str">
        <f>D4</f>
        <v>假设开发法</v>
      </c>
      <c r="E101" s="3131" t="s">
        <v>2247</v>
      </c>
      <c r="F101" s="3085"/>
      <c r="G101" s="2520" t="s">
        <v>2248</v>
      </c>
      <c r="H101" s="1045">
        <f ca="1">H118</f>
        <v>227999</v>
      </c>
      <c r="I101" s="138"/>
    </row>
    <row r="102" spans="1:35" ht="18.75" customHeight="1">
      <c r="A102" s="3087" t="s">
        <v>2249</v>
      </c>
      <c r="B102" s="2520" t="s">
        <v>2248</v>
      </c>
      <c r="C102" s="736">
        <f ca="1">C19</f>
        <v>345685</v>
      </c>
      <c r="D102" s="737">
        <f ca="1">D19</f>
        <v>149541</v>
      </c>
      <c r="E102" s="3131"/>
      <c r="F102" s="3085"/>
      <c r="G102" s="2520" t="s">
        <v>2250</v>
      </c>
      <c r="H102" s="371">
        <f ca="1">I118</f>
        <v>8364</v>
      </c>
      <c r="I102" s="138"/>
    </row>
    <row r="103" spans="1:35" ht="42.75" customHeight="1">
      <c r="A103" s="3087"/>
      <c r="B103" s="2520" t="s">
        <v>2250</v>
      </c>
      <c r="C103" s="738">
        <f ca="1">C20</f>
        <v>12682</v>
      </c>
      <c r="D103" s="739">
        <f ca="1">D20</f>
        <v>5486</v>
      </c>
      <c r="E103" s="3126" t="s">
        <v>2251</v>
      </c>
      <c r="F103" s="3127"/>
      <c r="G103" s="2521" t="s">
        <v>2252</v>
      </c>
      <c r="H103" s="1045">
        <f>IF(D36="正常操作",H104+H105+H106,H105+H106)</f>
        <v>0</v>
      </c>
      <c r="I103" s="138"/>
    </row>
    <row r="104" spans="1:35" ht="18.75" customHeight="1">
      <c r="A104" s="3087" t="s">
        <v>2253</v>
      </c>
      <c r="B104" s="2522" t="s">
        <v>2248</v>
      </c>
      <c r="C104" s="740">
        <f ca="1">H118</f>
        <v>227999</v>
      </c>
      <c r="D104" s="741"/>
      <c r="E104" s="2267" t="s">
        <v>2254</v>
      </c>
      <c r="F104" s="2258"/>
      <c r="G104" s="2521" t="s">
        <v>2252</v>
      </c>
      <c r="H104" s="1046">
        <f>IF(D36="同一抵押权人同一抵押物续贷",C36&amp;"（未扣减，详见特别提示）",C36)</f>
        <v>0</v>
      </c>
      <c r="I104" s="138"/>
    </row>
    <row r="105" spans="1:35" ht="18.75" customHeight="1" thickBot="1">
      <c r="A105" s="3088"/>
      <c r="B105" s="2523" t="s">
        <v>2250</v>
      </c>
      <c r="C105" s="742">
        <f ca="1">I118</f>
        <v>8364</v>
      </c>
      <c r="D105" s="743"/>
      <c r="E105" s="2267" t="s">
        <v>2255</v>
      </c>
      <c r="F105" s="2258"/>
      <c r="G105" s="2521" t="s">
        <v>2252</v>
      </c>
      <c r="H105" s="1046">
        <f>C37</f>
        <v>0</v>
      </c>
      <c r="I105" s="138"/>
    </row>
    <row r="106" spans="1:35" ht="18.75" customHeight="1">
      <c r="A106" s="2418" t="s">
        <v>2256</v>
      </c>
      <c r="B106" s="2418"/>
      <c r="C106" s="2418"/>
      <c r="D106" s="2418"/>
      <c r="E106" s="2524" t="s">
        <v>2257</v>
      </c>
      <c r="F106" s="2258"/>
      <c r="G106" s="2521" t="s">
        <v>2252</v>
      </c>
      <c r="H106" s="1046">
        <f>C38</f>
        <v>0</v>
      </c>
      <c r="I106" s="138"/>
    </row>
    <row r="107" spans="1:35" ht="18.75" customHeight="1">
      <c r="A107" s="138"/>
      <c r="B107" s="138"/>
      <c r="C107" s="138"/>
      <c r="D107" s="138"/>
      <c r="E107" s="3084" t="str">
        <f>IF(项目基本情况!E8="已注销","——","3.房地产抵押价值")</f>
        <v>3.房地产抵押价值</v>
      </c>
      <c r="F107" s="3085"/>
      <c r="G107" s="2520" t="s">
        <v>2248</v>
      </c>
      <c r="H107" s="1045">
        <f ca="1">IF(E107="——","——",H101-H103)</f>
        <v>227999</v>
      </c>
      <c r="I107" s="138"/>
    </row>
    <row r="108" spans="1:35" ht="18.75" customHeight="1">
      <c r="A108" s="138"/>
      <c r="B108" s="138"/>
      <c r="C108" s="138"/>
      <c r="D108" s="138"/>
      <c r="E108" s="3084"/>
      <c r="F108" s="3085"/>
      <c r="G108" s="2520" t="s">
        <v>2250</v>
      </c>
      <c r="H108" s="371">
        <f ca="1">ROUND(H107*10000/'数据-汇总表'!E3,0)</f>
        <v>8364</v>
      </c>
      <c r="I108" s="138"/>
    </row>
    <row r="109" spans="1:35" ht="18.75" customHeight="1">
      <c r="A109" s="138"/>
      <c r="B109" s="138"/>
      <c r="C109" s="138"/>
      <c r="D109" s="138"/>
      <c r="E109" s="3084" t="str">
        <f>IF(项目基本情况!E8="已注销及未注销","4.抵押担保权已注销时的房地产抵押价值",IF(项目基本情况!E8="已注销","3.抵押担保权已注销时的房地产抵押价值","——"))</f>
        <v>4.抵押担保权已注销时的房地产抵押价值</v>
      </c>
      <c r="F109" s="3085"/>
      <c r="G109" s="2520" t="s">
        <v>2248</v>
      </c>
      <c r="H109" s="348">
        <f ca="1">IF(E109="——","——",H101-H105-H106)</f>
        <v>227999</v>
      </c>
      <c r="I109" s="138"/>
    </row>
    <row r="110" spans="1:35" ht="18.75" customHeight="1">
      <c r="A110" s="138"/>
      <c r="B110" s="138"/>
      <c r="C110" s="138"/>
      <c r="D110" s="138"/>
      <c r="E110" s="3084"/>
      <c r="F110" s="3085"/>
      <c r="G110" s="2520" t="s">
        <v>2250</v>
      </c>
      <c r="H110" s="371">
        <f ca="1">IF(H109="——","——",ROUND(H109*10000/'数据-汇总表'!E3,0))</f>
        <v>8364</v>
      </c>
      <c r="I110" s="138"/>
    </row>
    <row r="111" spans="1:35" ht="18.75" customHeight="1">
      <c r="A111" s="138"/>
      <c r="B111" s="138"/>
      <c r="C111" s="138"/>
      <c r="D111" s="138"/>
      <c r="E111" s="3119" t="str">
        <f>IF(项目基本情况!E9="抵押净值",IF(OR(项目基本情况!E8="已注销",项目基本情况!E8="房地产抵押价值"),"4.抵押净值","5.抵押净值"),"——")</f>
        <v>——</v>
      </c>
      <c r="F111" s="3120"/>
      <c r="G111" s="2520" t="s">
        <v>2248</v>
      </c>
      <c r="H111" s="1045" t="str">
        <f>IF(E111="——","——",N59)</f>
        <v>——</v>
      </c>
      <c r="I111" s="138"/>
    </row>
    <row r="112" spans="1:35" ht="18.75" customHeight="1" thickBot="1">
      <c r="A112" s="138"/>
      <c r="B112" s="138"/>
      <c r="C112" s="138"/>
      <c r="D112" s="138"/>
      <c r="E112" s="3121"/>
      <c r="F112" s="3122"/>
      <c r="G112" s="2525" t="s">
        <v>2250</v>
      </c>
      <c r="H112" s="790" t="str">
        <f>IF(E111="——","——",N61)</f>
        <v>——</v>
      </c>
      <c r="I112" s="138"/>
    </row>
    <row r="113" spans="1:11" ht="18.75" customHeight="1">
      <c r="A113" s="138"/>
      <c r="B113" s="138"/>
      <c r="C113" s="138"/>
      <c r="D113" s="138"/>
      <c r="E113" s="3089" t="s">
        <v>2256</v>
      </c>
      <c r="F113" s="3089"/>
      <c r="G113" s="3089"/>
      <c r="H113" s="3089"/>
      <c r="I113" s="138"/>
    </row>
    <row r="114" spans="1:11" ht="3.75" customHeight="1">
      <c r="A114" s="2418"/>
      <c r="B114" s="2418"/>
      <c r="C114" s="2418"/>
      <c r="D114" s="2418"/>
      <c r="E114" s="2496"/>
      <c r="F114" s="2496"/>
      <c r="G114" s="2496"/>
      <c r="H114" s="2496"/>
      <c r="I114" s="2418"/>
    </row>
    <row r="115" spans="1:11" ht="18.75" customHeight="1">
      <c r="A115" s="3102" t="s">
        <v>2258</v>
      </c>
      <c r="B115" s="3103"/>
      <c r="C115" s="3103"/>
      <c r="D115" s="3103"/>
      <c r="E115" s="3103"/>
      <c r="F115" s="3103"/>
      <c r="G115" s="3103"/>
      <c r="H115" s="3103"/>
      <c r="I115" s="3104"/>
    </row>
    <row r="116" spans="1:11" ht="27" customHeight="1">
      <c r="A116" s="2997" t="s">
        <v>2259</v>
      </c>
      <c r="B116" s="3090" t="s">
        <v>2260</v>
      </c>
      <c r="C116" s="3090" t="s">
        <v>2261</v>
      </c>
      <c r="D116" s="3106" t="s">
        <v>2262</v>
      </c>
      <c r="E116" s="3107"/>
      <c r="F116" s="3098" t="s">
        <v>2263</v>
      </c>
      <c r="G116" s="3098"/>
      <c r="H116" s="2997" t="s">
        <v>2264</v>
      </c>
      <c r="I116" s="2997"/>
    </row>
    <row r="117" spans="1:11" ht="18.75" customHeight="1">
      <c r="A117" s="2997"/>
      <c r="B117" s="3091"/>
      <c r="C117" s="3091"/>
      <c r="D117" s="1794" t="s">
        <v>2265</v>
      </c>
      <c r="E117" s="1794" t="s">
        <v>2266</v>
      </c>
      <c r="F117" s="1794" t="s">
        <v>2265</v>
      </c>
      <c r="G117" s="1794" t="s">
        <v>2267</v>
      </c>
      <c r="H117" s="1794" t="s">
        <v>2265</v>
      </c>
      <c r="I117" s="1794" t="s">
        <v>2267</v>
      </c>
    </row>
    <row r="118" spans="1:11" ht="24.75" customHeight="1">
      <c r="A118" s="2526" t="str">
        <f>项目基本情况!S2</f>
        <v>北京市北京经济技术开发区东区A18街区出让国有建设用地使用权及在建建筑物房地产</v>
      </c>
      <c r="B118" s="1794">
        <f>M18</f>
        <v>272582</v>
      </c>
      <c r="C118" s="1794">
        <f>M19</f>
        <v>54579.4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227999</v>
      </c>
      <c r="I118" s="1794">
        <f ca="1">ROUND(IF(D32="楼面单价",C32,H118*10000/B118),0)</f>
        <v>8364</v>
      </c>
    </row>
    <row r="119" spans="1:11" ht="18.75" customHeight="1">
      <c r="A119" s="2997" t="s">
        <v>2268</v>
      </c>
      <c r="B119" s="2997"/>
      <c r="C119" s="2997"/>
      <c r="D119" s="3095" t="e">
        <f ca="1">NUMBERSTRING(INT(D118*10000),2)&amp;"元整"</f>
        <v>#REF!</v>
      </c>
      <c r="E119" s="3097"/>
      <c r="F119" s="3095" t="e">
        <f ca="1">NUMBERSTRING(INT(F118*10000),2)&amp;"元整"</f>
        <v>#REF!</v>
      </c>
      <c r="G119" s="3097"/>
      <c r="H119" s="3095" t="str">
        <f ca="1">NUMBERSTRING(INT(H118*10000),2)&amp;"元整"</f>
        <v>贰拾贰亿柒仟玖佰玖拾玖万元整</v>
      </c>
      <c r="I119" s="3097"/>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23" t="str">
        <f>IF(D120=0,"故，本次评估不存在"&amp;A120,"故，本次评估"&amp;A120&amp;"为人民币"&amp;D120&amp;"万元整。")</f>
        <v>故，本次评估不存在估价师知悉的法定优先受偿款</v>
      </c>
    </row>
    <row r="121" spans="1:11" ht="18.75" customHeight="1">
      <c r="A121" s="3099" t="s">
        <v>2268</v>
      </c>
      <c r="B121" s="3100"/>
      <c r="C121" s="3101"/>
      <c r="D121" s="3095" t="str">
        <f>IF(D120=0,"零元整",NUMBERSTRING(INT(D120*10000),2)&amp;"元整")</f>
        <v>零元整</v>
      </c>
      <c r="E121" s="3096"/>
      <c r="F121" s="3096"/>
      <c r="G121" s="3096"/>
      <c r="H121" s="3096"/>
      <c r="I121" s="3097"/>
    </row>
    <row r="122" spans="1:11" ht="18.75" customHeight="1">
      <c r="A122" s="3086" t="str">
        <f>IF(项目基本情况!B9="房地产市场价值","",MID(E107,3,LEN(E107)-2))</f>
        <v>房地产抵押价值</v>
      </c>
      <c r="B122" s="3086"/>
      <c r="C122" s="3086"/>
      <c r="D122" s="3123">
        <f ca="1">H107</f>
        <v>227999</v>
      </c>
      <c r="E122" s="3124"/>
      <c r="F122" s="3124"/>
      <c r="G122" s="3124"/>
      <c r="H122" s="3124"/>
      <c r="I122" s="3125"/>
    </row>
    <row r="123" spans="1:11" ht="18.75" customHeight="1">
      <c r="A123" s="2997" t="s">
        <v>2268</v>
      </c>
      <c r="B123" s="2997"/>
      <c r="C123" s="2997"/>
      <c r="D123" s="3095" t="str">
        <f ca="1">NUMBERSTRING(INT(D122*10000),2)&amp;"元整"</f>
        <v>贰拾贰亿柒仟玖佰玖拾玖万元整</v>
      </c>
      <c r="E123" s="3096"/>
      <c r="F123" s="3096"/>
      <c r="G123" s="3096"/>
      <c r="H123" s="3096"/>
      <c r="I123" s="3097"/>
    </row>
    <row r="124" spans="1:11" ht="18.75" customHeight="1">
      <c r="A124" s="3086" t="str">
        <f>IF(项目基本情况!B9="房地产市场价值","",MID(E109,3,LEN(E109)-2))</f>
        <v>抵押担保权已注销时的房地产抵押价值</v>
      </c>
      <c r="B124" s="3086"/>
      <c r="C124" s="3086"/>
      <c r="D124" s="3123">
        <f ca="1">H109</f>
        <v>227999</v>
      </c>
      <c r="E124" s="3124"/>
      <c r="F124" s="3124"/>
      <c r="G124" s="3124"/>
      <c r="H124" s="3124"/>
      <c r="I124" s="3125"/>
    </row>
    <row r="125" spans="1:11" ht="18.75" customHeight="1">
      <c r="A125" s="2997" t="s">
        <v>2268</v>
      </c>
      <c r="B125" s="2997"/>
      <c r="C125" s="2997"/>
      <c r="D125" s="3095" t="str">
        <f ca="1">NUMBERSTRING(INT(D124*10000),2)&amp;"元整"</f>
        <v>贰拾贰亿柒仟玖佰玖拾玖万元整</v>
      </c>
      <c r="E125" s="3096"/>
      <c r="F125" s="3096"/>
      <c r="G125" s="3096"/>
      <c r="H125" s="3096"/>
      <c r="I125" s="3097"/>
    </row>
    <row r="126" spans="1:11" ht="18.75" customHeight="1">
      <c r="A126" s="3086" t="str">
        <f>IF(项目基本情况!B9="房地产市场价值","",MID(E111,3,LEN(E111)-2))</f>
        <v/>
      </c>
      <c r="B126" s="3086"/>
      <c r="C126" s="3086"/>
      <c r="D126" s="3123" t="str">
        <f>H111</f>
        <v>——</v>
      </c>
      <c r="E126" s="3124"/>
      <c r="F126" s="3124"/>
      <c r="G126" s="3124"/>
      <c r="H126" s="3124"/>
      <c r="I126" s="3125"/>
    </row>
    <row r="127" spans="1:11" ht="18.75" customHeight="1">
      <c r="A127" s="2997" t="s">
        <v>2268</v>
      </c>
      <c r="B127" s="2997"/>
      <c r="C127" s="2997"/>
      <c r="D127" s="3095" t="e">
        <f>NUMBERSTRING(INT(D126*10000),2)&amp;"元整"</f>
        <v>#VALUE!</v>
      </c>
      <c r="E127" s="3096"/>
      <c r="F127" s="3096"/>
      <c r="G127" s="3096"/>
      <c r="H127" s="3096"/>
      <c r="I127" s="3097"/>
    </row>
    <row r="128" spans="1:11" ht="21.75" customHeight="1">
      <c r="A128" s="3105" t="s">
        <v>2269</v>
      </c>
      <c r="B128" s="3105"/>
      <c r="C128" s="3105"/>
      <c r="D128" s="3105"/>
      <c r="E128" s="3105"/>
      <c r="F128" s="3105"/>
      <c r="G128" s="3105"/>
      <c r="H128" s="3105"/>
      <c r="I128" s="3105"/>
    </row>
    <row r="129" spans="1:35" ht="21.75" customHeight="1">
      <c r="A129" s="2527" t="s">
        <v>2270</v>
      </c>
      <c r="B129" s="2528"/>
      <c r="C129" s="2529" t="s">
        <v>2271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2272</v>
      </c>
      <c r="G135" s="2544"/>
      <c r="H135" s="2544"/>
      <c r="I135" s="2545" t="s">
        <v>2273</v>
      </c>
    </row>
    <row r="136" spans="1:35" ht="21.75" customHeight="1">
      <c r="A136" s="795"/>
      <c r="B136" s="2546" t="s">
        <v>2274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2275</v>
      </c>
    </row>
    <row r="139" spans="1:35" ht="21.75" customHeight="1">
      <c r="A139" s="795"/>
      <c r="B139" s="2546" t="s">
        <v>2276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2275</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O3" sqref="O3:P1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2" customWidth="1"/>
    <col min="33" max="36" width="9.375" style="2798" customWidth="1"/>
    <col min="37" max="38" width="9.375" style="2722" customWidth="1"/>
    <col min="39" max="16384" width="12" style="2722"/>
  </cols>
  <sheetData>
    <row r="1" spans="1:36" ht="28.5">
      <c r="A1" s="240" t="s">
        <v>2750</v>
      </c>
      <c r="B1" s="241"/>
      <c r="C1" s="245" t="s">
        <v>2751</v>
      </c>
      <c r="D1" s="388">
        <f>SUM(D29:D30,D33:D39)</f>
        <v>0</v>
      </c>
      <c r="E1" s="2719"/>
      <c r="F1" s="2719"/>
      <c r="G1" s="2719"/>
      <c r="H1" s="2719"/>
      <c r="I1" s="2719"/>
      <c r="J1" s="2719"/>
      <c r="K1" s="1370"/>
      <c r="L1" s="2720" t="s">
        <v>2752</v>
      </c>
      <c r="M1" s="1080">
        <f>SUMPRODUCT((区片价!B5:B9=I2)*(区片价!C3:F3=E2)*(区片价!C5:F9))</f>
        <v>0</v>
      </c>
      <c r="N1" s="1083">
        <f>SUMPRODUCT((因素修正幅度!B5:B9=I2)*(因素修正幅度!C3:F3=E2)*(因素修正幅度!C5:F9))</f>
        <v>0</v>
      </c>
      <c r="O1" s="2721"/>
      <c r="P1" s="2721"/>
      <c r="Q1" s="1370"/>
      <c r="R1" s="1601" t="s">
        <v>2753</v>
      </c>
      <c r="S1" s="1601" t="s">
        <v>2754</v>
      </c>
      <c r="T1" s="1601" t="s">
        <v>2755</v>
      </c>
      <c r="U1" s="1601" t="s">
        <v>2756</v>
      </c>
      <c r="V1" s="1601" t="s">
        <v>2757</v>
      </c>
      <c r="W1" s="1605"/>
      <c r="X1" s="1605"/>
      <c r="Y1" s="1605"/>
      <c r="Z1" s="1605"/>
      <c r="AA1" s="1605"/>
      <c r="AB1" s="1605"/>
      <c r="AC1" s="1606"/>
      <c r="AD1" s="1607"/>
      <c r="AE1" s="1607"/>
      <c r="AF1" s="1607"/>
      <c r="AG1" s="1607"/>
      <c r="AH1" s="1607"/>
      <c r="AI1" s="1607"/>
      <c r="AJ1" s="1608"/>
    </row>
    <row r="2" spans="1:36" ht="15.75">
      <c r="A2" s="245" t="s">
        <v>2758</v>
      </c>
      <c r="B2" s="248">
        <f ca="1">C26</f>
        <v>0</v>
      </c>
      <c r="C2" s="2723" t="s">
        <v>2759</v>
      </c>
      <c r="D2" s="2724" t="s">
        <v>2760</v>
      </c>
      <c r="E2" s="2725" t="s">
        <v>27</v>
      </c>
      <c r="F2" s="2724" t="s">
        <v>2761</v>
      </c>
      <c r="G2" s="2726" t="str">
        <f>IF(E2="商业",项目基本情况!B37,IF(E2="办公",项目基本情况!C37,IF(E2="住宅",项目基本情况!D37,项目基本情况!E37)))</f>
        <v>七级</v>
      </c>
      <c r="H2" s="2724" t="s">
        <v>2762</v>
      </c>
      <c r="I2" s="2726" t="str">
        <f>IF(E2="商业",项目基本情况!B38,IF(E2="办公",项目基本情况!C38,IF(E2="住宅",项目基本情况!D38,项目基本情况!E38)))</f>
        <v>Ⅶ-亦1</v>
      </c>
      <c r="J2" s="2727"/>
      <c r="K2" s="1370"/>
      <c r="L2" s="2728" t="s">
        <v>2763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15.75">
      <c r="A3" s="247" t="s">
        <v>2764</v>
      </c>
      <c r="B3" s="248" t="e">
        <f ca="1">ROUND(B2*10000/D1,0)</f>
        <v>#DIV/0!</v>
      </c>
      <c r="C3" s="2723" t="s">
        <v>2765</v>
      </c>
      <c r="D3" s="2724" t="s">
        <v>2766</v>
      </c>
      <c r="E3" s="2729"/>
      <c r="F3" s="2730" t="s">
        <v>2767</v>
      </c>
      <c r="G3" s="913">
        <f>IF(F3="宗地容积率",'数据-汇总表'!I4,IF(F3="估价对象容积率",'数据-汇总表'!I6,'数据-汇总表'!I7))</f>
        <v>3.5</v>
      </c>
      <c r="H3" s="198" t="s">
        <v>2768</v>
      </c>
      <c r="I3" s="944"/>
      <c r="J3" s="2727" t="s">
        <v>2769</v>
      </c>
      <c r="K3" s="1370"/>
      <c r="L3" s="2728" t="s">
        <v>2770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40"/>
      <c r="B4" s="3241"/>
      <c r="C4" s="3241"/>
      <c r="D4" s="3242"/>
      <c r="E4" s="3242"/>
      <c r="F4" s="3242"/>
      <c r="G4" s="3242"/>
      <c r="H4" s="3242"/>
      <c r="I4" s="3242"/>
      <c r="J4" s="3243"/>
      <c r="K4" s="1370"/>
      <c r="L4" s="2728" t="s">
        <v>2771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40" customFormat="1" ht="15.75" thickBot="1">
      <c r="A5" s="2731" t="s">
        <v>806</v>
      </c>
      <c r="B5" s="2732" t="s">
        <v>2772</v>
      </c>
      <c r="C5" s="914">
        <f>ROUND(IF(E2="商业",IF(F16="增加",C6*C7+C16,C6*C7-C16),IF(E2="住宅",IF(F16="增加",C6*C12+C16,C6*C12-C16),IF(F16="增加",C6+C16,C6-C16))),0)</f>
        <v>7230</v>
      </c>
      <c r="D5" s="1786">
        <f>ROUND(IF(F16="增加",C6+C16,C6-C16),0)</f>
        <v>7230</v>
      </c>
      <c r="E5" s="1786"/>
      <c r="F5" s="2733"/>
      <c r="G5" s="2734"/>
      <c r="H5" s="2734"/>
      <c r="I5" s="2734"/>
      <c r="J5" s="2735"/>
      <c r="K5" s="2736"/>
      <c r="L5" s="2728" t="s">
        <v>2773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0</v>
      </c>
      <c r="U5" s="1602"/>
      <c r="V5" s="1601">
        <f t="shared" ca="1" si="1"/>
        <v>0</v>
      </c>
      <c r="W5" s="1605"/>
      <c r="X5" s="1605"/>
      <c r="Y5" s="1605"/>
      <c r="Z5" s="1605"/>
      <c r="AA5" s="1605"/>
      <c r="AB5" s="1605"/>
      <c r="AC5" s="2737"/>
      <c r="AD5" s="2738"/>
      <c r="AE5" s="2738"/>
      <c r="AF5" s="2738"/>
      <c r="AG5" s="2738"/>
      <c r="AH5" s="2738"/>
      <c r="AI5" s="2738"/>
      <c r="AJ5" s="2739"/>
    </row>
    <row r="6" spans="1:36" ht="15.75" thickBot="1">
      <c r="A6" s="2741" t="s">
        <v>2774</v>
      </c>
      <c r="B6" s="2742" t="s">
        <v>2775</v>
      </c>
      <c r="C6" s="915">
        <f>SUMIF(L1:L12,G2,M1:M12)</f>
        <v>7230</v>
      </c>
      <c r="D6" s="2743" t="s">
        <v>2776</v>
      </c>
      <c r="E6" s="2744"/>
      <c r="F6" s="2744"/>
      <c r="G6" s="2745"/>
      <c r="H6" s="2745"/>
      <c r="I6" s="2745"/>
      <c r="J6" s="2746"/>
      <c r="K6" s="1841"/>
      <c r="L6" s="2728" t="s">
        <v>2777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0</v>
      </c>
      <c r="U6" s="1602"/>
      <c r="V6" s="1601">
        <f t="shared" ca="1" si="1"/>
        <v>0</v>
      </c>
      <c r="W6" s="1605"/>
      <c r="X6" s="1605"/>
      <c r="Y6" s="1605"/>
      <c r="Z6" s="1605"/>
      <c r="AA6" s="1605"/>
      <c r="AB6" s="1605"/>
      <c r="AC6" s="2737"/>
      <c r="AD6" s="2738"/>
      <c r="AE6" s="2738"/>
      <c r="AF6" s="2738"/>
      <c r="AG6" s="2738"/>
      <c r="AH6" s="2738"/>
      <c r="AI6" s="2738"/>
      <c r="AJ6" s="2739"/>
    </row>
    <row r="7" spans="1:36" ht="24">
      <c r="A7" s="3244" t="str">
        <f>IF(E2="商业",IF(C8="不临58条商业街","",2),"")</f>
        <v/>
      </c>
      <c r="B7" s="2747" t="s">
        <v>2778</v>
      </c>
      <c r="C7" s="916" t="e">
        <f>IF(C8="不临58条商业街",1,ROUND(1+(1.6*E8+1.2*E9+0.8*E10+0.4*E11)*C9,4))</f>
        <v>#DIV/0!</v>
      </c>
      <c r="D7" s="2748" t="s">
        <v>2779</v>
      </c>
      <c r="E7" s="945"/>
      <c r="F7" s="2749"/>
      <c r="G7" s="2750"/>
      <c r="H7" s="2750"/>
      <c r="I7" s="2750"/>
      <c r="J7" s="2751"/>
      <c r="K7" s="1841"/>
      <c r="L7" s="2728" t="s">
        <v>2780</v>
      </c>
      <c r="M7" s="1081">
        <f>SUMPRODUCT((区片价!B158:B205=I2)*(区片价!C3:F3=E2)*(区片价!C158:F205))</f>
        <v>7230</v>
      </c>
      <c r="N7" s="1083">
        <f>SUMPRODUCT((因素修正幅度!B158:B205=I2)*(因素修正幅度!C3:F3=E2)*(因素修正幅度!C158:F205))</f>
        <v>0.127</v>
      </c>
      <c r="O7" s="1370"/>
      <c r="P7" s="1370"/>
      <c r="Q7" s="1370"/>
      <c r="R7" s="1601">
        <v>6</v>
      </c>
      <c r="S7" s="1601">
        <f>ROUND(IF(G3&gt;1,IF(R7&lt;7,SUMPRODUCT((B93:B98=R7)*(C92:N92=G2)*(C93:N98)),SUMIF(C92:N92,G2,C100:N100)),IF(R7&lt;7,SUMPRODUCT((B102:B107=R7)*(C92:N92=G2)*(C102:N107)),SUMIF(C92:N92,G2,C109:N109))),4)</f>
        <v>0.6482</v>
      </c>
      <c r="T7" s="1601">
        <f t="shared" ca="1" si="0"/>
        <v>0</v>
      </c>
      <c r="U7" s="1602"/>
      <c r="V7" s="1601">
        <f t="shared" ca="1" si="1"/>
        <v>0</v>
      </c>
      <c r="W7" s="1815" t="s">
        <v>2781</v>
      </c>
      <c r="X7" s="1603" t="str">
        <f>G2</f>
        <v>七级</v>
      </c>
      <c r="Y7" s="1603" t="s">
        <v>2782</v>
      </c>
      <c r="Z7" s="1604">
        <f>G3</f>
        <v>3.5</v>
      </c>
      <c r="AA7" s="1605"/>
      <c r="AB7" s="1605"/>
      <c r="AC7" s="1606"/>
      <c r="AD7" s="1607"/>
      <c r="AE7" s="1607"/>
      <c r="AF7" s="1607"/>
      <c r="AG7" s="1607"/>
      <c r="AH7" s="1607"/>
      <c r="AI7" s="1607"/>
      <c r="AJ7" s="1608"/>
    </row>
    <row r="8" spans="1:36" ht="15">
      <c r="A8" s="3245"/>
      <c r="B8" s="198" t="s">
        <v>2783</v>
      </c>
      <c r="C8" s="2752"/>
      <c r="D8" s="917" t="s">
        <v>139</v>
      </c>
      <c r="E8" s="918" t="e">
        <f>ROUND(C11/E7,4)</f>
        <v>#DIV/0!</v>
      </c>
      <c r="F8" s="2753" t="s">
        <v>2784</v>
      </c>
      <c r="G8" s="2754"/>
      <c r="H8" s="2754"/>
      <c r="I8" s="2754"/>
      <c r="J8" s="2755"/>
      <c r="K8" s="1370"/>
      <c r="L8" s="2728" t="s">
        <v>2785</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237" t="s">
        <v>2786</v>
      </c>
      <c r="X8" s="3238"/>
      <c r="Y8" s="1609" t="s">
        <v>2787</v>
      </c>
      <c r="Z8" s="1609" t="s">
        <v>2788</v>
      </c>
      <c r="AA8" s="1609" t="s">
        <v>2789</v>
      </c>
      <c r="AB8" s="1609" t="s">
        <v>2790</v>
      </c>
      <c r="AC8" s="1609" t="s">
        <v>2791</v>
      </c>
      <c r="AD8" s="1609" t="s">
        <v>2792</v>
      </c>
      <c r="AE8" s="1609" t="s">
        <v>2793</v>
      </c>
      <c r="AF8" s="1609" t="s">
        <v>2794</v>
      </c>
      <c r="AG8" s="1609" t="s">
        <v>2795</v>
      </c>
      <c r="AH8" s="1609" t="s">
        <v>2796</v>
      </c>
      <c r="AI8" s="1609" t="s">
        <v>2797</v>
      </c>
      <c r="AJ8" s="1609" t="s">
        <v>2798</v>
      </c>
    </row>
    <row r="9" spans="1:36" ht="15">
      <c r="A9" s="3245"/>
      <c r="B9" s="198" t="s">
        <v>2799</v>
      </c>
      <c r="C9" s="919">
        <f>SUMIF(修正!C59:C119,C8,修正!E59:E119)</f>
        <v>0</v>
      </c>
      <c r="D9" s="200" t="s">
        <v>140</v>
      </c>
      <c r="E9" s="200" t="e">
        <f>ROUND(C11/E7,4)</f>
        <v>#DIV/0!</v>
      </c>
      <c r="F9" s="2753" t="s">
        <v>2800</v>
      </c>
      <c r="G9" s="2754"/>
      <c r="H9" s="2754"/>
      <c r="I9" s="2754"/>
      <c r="J9" s="2755"/>
      <c r="K9" s="1370"/>
      <c r="L9" s="2728" t="s">
        <v>2801</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239" t="s">
        <v>2802</v>
      </c>
      <c r="X9" s="1610" t="s">
        <v>2803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45"/>
      <c r="B10" s="198" t="s">
        <v>2804</v>
      </c>
      <c r="C10" s="200">
        <f>SUMIF(修正!C59:C119,C8,修正!F59:F119)</f>
        <v>0</v>
      </c>
      <c r="D10" s="200" t="s">
        <v>141</v>
      </c>
      <c r="E10" s="200" t="e">
        <f>ROUND(C11/E7,4)</f>
        <v>#DIV/0!</v>
      </c>
      <c r="F10" s="2753" t="s">
        <v>2805</v>
      </c>
      <c r="G10" s="2754"/>
      <c r="H10" s="2754"/>
      <c r="I10" s="2754"/>
      <c r="J10" s="2755"/>
      <c r="K10" s="1370"/>
      <c r="L10" s="2728" t="s">
        <v>2806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23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45"/>
      <c r="B11" s="2756" t="s">
        <v>2807</v>
      </c>
      <c r="C11" s="920">
        <f>C10/4</f>
        <v>0</v>
      </c>
      <c r="D11" s="920" t="s">
        <v>142</v>
      </c>
      <c r="E11" s="920" t="e">
        <f>ROUND(C11/E7,4)</f>
        <v>#DIV/0!</v>
      </c>
      <c r="F11" s="2757" t="s">
        <v>2808</v>
      </c>
      <c r="G11" s="2758"/>
      <c r="H11" s="2758"/>
      <c r="I11" s="2758"/>
      <c r="J11" s="2759"/>
      <c r="K11" s="1370"/>
      <c r="L11" s="2728" t="s">
        <v>2809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239" t="s">
        <v>2810</v>
      </c>
      <c r="X11" s="1613" t="s">
        <v>2811</v>
      </c>
      <c r="Y11" s="1614">
        <f>$G$3</f>
        <v>3.5</v>
      </c>
      <c r="Z11" s="1614">
        <f t="shared" ref="Z11:AJ11" si="3">$G$3</f>
        <v>3.5</v>
      </c>
      <c r="AA11" s="1614">
        <f t="shared" si="3"/>
        <v>3.5</v>
      </c>
      <c r="AB11" s="1614">
        <f t="shared" si="3"/>
        <v>3.5</v>
      </c>
      <c r="AC11" s="1614">
        <f t="shared" si="3"/>
        <v>3.5</v>
      </c>
      <c r="AD11" s="1614">
        <f t="shared" si="3"/>
        <v>3.5</v>
      </c>
      <c r="AE11" s="1614">
        <f t="shared" si="3"/>
        <v>3.5</v>
      </c>
      <c r="AF11" s="1614">
        <f t="shared" si="3"/>
        <v>3.5</v>
      </c>
      <c r="AG11" s="1614">
        <f t="shared" si="3"/>
        <v>3.5</v>
      </c>
      <c r="AH11" s="1614">
        <f t="shared" si="3"/>
        <v>3.5</v>
      </c>
      <c r="AI11" s="1614">
        <f t="shared" si="3"/>
        <v>3.5</v>
      </c>
      <c r="AJ11" s="1614">
        <f t="shared" si="3"/>
        <v>3.5</v>
      </c>
    </row>
    <row r="12" spans="1:36" ht="25.5" thickBot="1">
      <c r="A12" s="3244" t="s">
        <v>2812</v>
      </c>
      <c r="B12" s="2760" t="s">
        <v>2813</v>
      </c>
      <c r="C12" s="916">
        <f>ROUND(C15*D15*E15*F15*G15*H15*I15*J15,4)</f>
        <v>1</v>
      </c>
      <c r="D12" s="2761" t="s">
        <v>2814</v>
      </c>
      <c r="E12" s="2762"/>
      <c r="F12" s="2762"/>
      <c r="G12" s="2763"/>
      <c r="H12" s="2763"/>
      <c r="I12" s="2763"/>
      <c r="J12" s="2764"/>
      <c r="K12" s="1370"/>
      <c r="L12" s="2765" t="s">
        <v>2815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239"/>
      <c r="X12" s="1615" t="s">
        <v>2816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46"/>
      <c r="B13" s="2766" t="s">
        <v>2817</v>
      </c>
      <c r="C13" s="2767" t="s">
        <v>2818</v>
      </c>
      <c r="D13" s="1807" t="s">
        <v>2819</v>
      </c>
      <c r="E13" s="1807" t="s">
        <v>2820</v>
      </c>
      <c r="F13" s="30" t="s">
        <v>2821</v>
      </c>
      <c r="G13" s="2768" t="s">
        <v>2822</v>
      </c>
      <c r="H13" s="2768" t="s">
        <v>2822</v>
      </c>
      <c r="I13" s="2768" t="s">
        <v>2822</v>
      </c>
      <c r="J13" s="2769" t="s">
        <v>2822</v>
      </c>
      <c r="K13" s="1370"/>
      <c r="L13" s="1370"/>
      <c r="M13" s="1370"/>
      <c r="N13" s="1370"/>
      <c r="O13" s="1370"/>
      <c r="P13" s="1370"/>
      <c r="Q13" s="1370"/>
      <c r="R13" s="1601">
        <v>12</v>
      </c>
      <c r="S13" s="1602"/>
      <c r="T13" s="1601">
        <f t="shared" ca="1" si="0"/>
        <v>0</v>
      </c>
      <c r="U13" s="1602"/>
      <c r="V13" s="1601">
        <f t="shared" ca="1" si="1"/>
        <v>0</v>
      </c>
      <c r="W13" s="3239"/>
      <c r="X13" s="1615"/>
      <c r="Y13" s="1612">
        <f>(-0.163*(Y12^2)-0.59*Y12+7617)*(10^(-4))/Y11</f>
        <v>0.21762857142857145</v>
      </c>
      <c r="Z13" s="1612">
        <f t="shared" ref="Z13:AJ13" si="5">(-0.163*(Z12^2)-0.59*Z12+7617)*(10^(-4))/Z11</f>
        <v>0.21762857142857145</v>
      </c>
      <c r="AA13" s="1612">
        <f t="shared" si="5"/>
        <v>0.21762857142857145</v>
      </c>
      <c r="AB13" s="1612">
        <f t="shared" si="5"/>
        <v>0.21762857142857145</v>
      </c>
      <c r="AC13" s="1612">
        <f t="shared" si="5"/>
        <v>0.21762857142857145</v>
      </c>
      <c r="AD13" s="1612">
        <f t="shared" si="5"/>
        <v>0.21762857142857145</v>
      </c>
      <c r="AE13" s="1612">
        <f t="shared" si="5"/>
        <v>0.21762857142857145</v>
      </c>
      <c r="AF13" s="1612">
        <f t="shared" si="5"/>
        <v>0.21762857142857145</v>
      </c>
      <c r="AG13" s="1612">
        <f t="shared" si="5"/>
        <v>0.21762857142857145</v>
      </c>
      <c r="AH13" s="1612">
        <f t="shared" si="5"/>
        <v>0.21762857142857145</v>
      </c>
      <c r="AI13" s="1612">
        <f t="shared" si="5"/>
        <v>0.21762857142857145</v>
      </c>
      <c r="AJ13" s="1612">
        <f t="shared" si="5"/>
        <v>0.21762857142857145</v>
      </c>
    </row>
    <row r="14" spans="1:36" ht="15">
      <c r="A14" s="3246"/>
      <c r="B14" s="2770"/>
      <c r="C14" s="2771"/>
      <c r="D14" s="2772"/>
      <c r="E14" s="2772"/>
      <c r="F14" s="2773"/>
      <c r="G14" s="2774" t="s">
        <v>2823</v>
      </c>
      <c r="H14" s="2775"/>
      <c r="I14" s="2776"/>
      <c r="J14" s="2777"/>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47"/>
      <c r="B15" s="2778" t="s">
        <v>2824</v>
      </c>
      <c r="C15" s="229">
        <f>IF(C14="有",1.1,1)</f>
        <v>1</v>
      </c>
      <c r="D15" s="229">
        <f>IF(D14="有",1.1,1)</f>
        <v>1</v>
      </c>
      <c r="E15" s="229">
        <f>IF(E14="有",1.1,1)</f>
        <v>1</v>
      </c>
      <c r="F15" s="229">
        <f>IF(F14="500米范围内",1.2,IF(F14="500-1000米",1.1,1))</f>
        <v>1</v>
      </c>
      <c r="G15" s="946">
        <v>1</v>
      </c>
      <c r="H15" s="946">
        <v>1</v>
      </c>
      <c r="I15" s="946">
        <v>1</v>
      </c>
      <c r="J15" s="947">
        <v>1</v>
      </c>
      <c r="K15" s="1370"/>
      <c r="L15" s="2779" t="s">
        <v>2760</v>
      </c>
      <c r="M15" s="917" t="s">
        <v>2825</v>
      </c>
      <c r="N15" s="917" t="s">
        <v>2826</v>
      </c>
      <c r="O15" s="917" t="s">
        <v>2827</v>
      </c>
      <c r="P15" s="2780" t="s">
        <v>2828</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44" t="s">
        <v>2829</v>
      </c>
      <c r="B16" s="2747" t="s">
        <v>2830</v>
      </c>
      <c r="C16" s="1800">
        <f>ROUND(SUM(G17:J17)/C17,0)</f>
        <v>0</v>
      </c>
      <c r="D16" s="2781" t="s">
        <v>2831</v>
      </c>
      <c r="E16" s="2782"/>
      <c r="F16" s="2783"/>
      <c r="G16" s="2784"/>
      <c r="H16" s="2784"/>
      <c r="I16" s="2784"/>
      <c r="J16" s="2785"/>
      <c r="K16" s="1370"/>
      <c r="L16" s="2786" t="s">
        <v>2832</v>
      </c>
      <c r="M16" s="919">
        <v>0.25</v>
      </c>
      <c r="N16" s="919">
        <v>0.2</v>
      </c>
      <c r="O16" s="919">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45"/>
      <c r="B17" s="2787" t="s">
        <v>2833</v>
      </c>
      <c r="C17" s="921">
        <f>SUMPRODUCT((修正!A2:A5=E2)*(修正!B1:M1=G2)*(修正!B2:M5))</f>
        <v>2.5</v>
      </c>
      <c r="D17" s="2788" t="s">
        <v>2834</v>
      </c>
      <c r="E17" s="920" t="str">
        <f>IF(OR(G2="八级",G2="九级",G2="十级",G2="十一级",G2="十二级"),"五通一平","七通一平")</f>
        <v>七通一平</v>
      </c>
      <c r="F17" s="921" t="s">
        <v>2835</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2836</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75" thickBot="1">
      <c r="A18" s="2791" t="s">
        <v>807</v>
      </c>
      <c r="B18" s="2792" t="s">
        <v>2837</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25" thickBot="1">
      <c r="A19" s="2791" t="s">
        <v>808</v>
      </c>
      <c r="B19" s="2792" t="s">
        <v>2838</v>
      </c>
      <c r="C19" s="924">
        <f>ROUND(IF(H19="按公示增长率计算",SUMPRODUCT((地价!A3:A25=YEAR(G19)&amp;"-"&amp;ROUNDUP(MONTH(G19)/3,0))*(地价!X2:AB2=E2)*(地价!X3:AB25)),IF(H19="地价指数",M20/M19,(1+I19)^O19)),4)</f>
        <v>1.3372999999999999</v>
      </c>
      <c r="D19" s="2799" t="s">
        <v>2839</v>
      </c>
      <c r="E19" s="925">
        <v>41640</v>
      </c>
      <c r="F19" s="2799" t="s">
        <v>2840</v>
      </c>
      <c r="G19" s="926">
        <f>'数据-取费表'!B2</f>
        <v>43537</v>
      </c>
      <c r="H19" s="2800" t="s">
        <v>3054</v>
      </c>
      <c r="I19" s="927" t="str">
        <f>IF(H19="季度增幅（自定义）",SUMIF(N21:N24,E2,O21:O24),"")</f>
        <v/>
      </c>
      <c r="J19" s="2797"/>
      <c r="K19" s="1377"/>
      <c r="L19" s="2801" t="s">
        <v>2841</v>
      </c>
      <c r="M19" s="1733">
        <f>ROUND(SUMIF(地价!B2:F2,E2,地价!B25:F25),0)</f>
        <v>258</v>
      </c>
      <c r="N19" s="2802" t="s">
        <v>2842</v>
      </c>
      <c r="O19" s="928">
        <f>ROUNDDOWN(DATEDIF(E19,G19,"M")/3,0)</f>
        <v>20</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809</v>
      </c>
      <c r="B20" s="2807" t="s">
        <v>2843</v>
      </c>
      <c r="C20" s="929">
        <f ca="1">ROUND(POWER(1+G20,J20-I20)*(POWER(1+G20,I20)-1)/(POWER(1+G20,J20)-1),4)</f>
        <v>0.97619999999999996</v>
      </c>
      <c r="D20" s="2808" t="s">
        <v>2844</v>
      </c>
      <c r="E20" s="1767">
        <f ca="1">存贷款利率!D4/100</f>
        <v>4.3499999999999997E-2</v>
      </c>
      <c r="F20" s="2808" t="s">
        <v>2836</v>
      </c>
      <c r="G20" s="934">
        <f ca="1">SUMIF(M15:P15,E2,M17:P17)</f>
        <v>5.1999999999999998E-2</v>
      </c>
      <c r="H20" s="2808" t="s">
        <v>2845</v>
      </c>
      <c r="I20" s="935">
        <f>SUMIF('数据-取费表'!C6:C15,E2,'数据-取费表'!F6:F15)/COUNTIF('数据-取费表'!C6:C15,E2)</f>
        <v>45.18</v>
      </c>
      <c r="J20" s="936">
        <f>IF(E2="住宅",70,IF(E2="商业",40,50))</f>
        <v>50</v>
      </c>
      <c r="K20" s="1377"/>
      <c r="L20" s="2809" t="s">
        <v>2846</v>
      </c>
      <c r="M20" s="1734">
        <f>ROUND(SUMPRODUCT((地价!A4:A25=YEAR(G19)&amp;"-"&amp;ROUNDUP(MONTH(G19)/3,0))*(地价!B2:F2=E2)*(地价!B4:F25)),0)</f>
        <v>345</v>
      </c>
      <c r="N20" s="2810" t="s">
        <v>2847</v>
      </c>
      <c r="O20" s="2811" t="s">
        <v>2848</v>
      </c>
      <c r="P20" s="2812" t="s">
        <v>2849</v>
      </c>
      <c r="R20" s="1376"/>
      <c r="S20" s="1376"/>
      <c r="T20" s="1371"/>
      <c r="U20" s="1371"/>
      <c r="V20" s="1371"/>
      <c r="W20" s="1370"/>
      <c r="X20" s="1370"/>
      <c r="Y20" s="1370"/>
      <c r="Z20" s="1377"/>
      <c r="AA20" s="1378"/>
      <c r="AB20" s="1378"/>
      <c r="AC20" s="1378"/>
      <c r="AD20" s="1378"/>
      <c r="AE20" s="1378"/>
      <c r="AF20" s="1378"/>
    </row>
    <row r="21" spans="1:37" s="2740" customFormat="1" ht="15">
      <c r="A21" s="2813" t="s">
        <v>810</v>
      </c>
      <c r="B21" s="2814" t="s">
        <v>3053</v>
      </c>
      <c r="C21" s="937">
        <f>IF(B21="容积率修正",IF(G3&lt;=10,D22,J22),C23)</f>
        <v>0.89929999999999999</v>
      </c>
      <c r="D21" s="2815"/>
      <c r="E21" s="2815"/>
      <c r="F21" s="2815"/>
      <c r="G21" s="2815"/>
      <c r="H21" s="2815"/>
      <c r="I21" s="2815"/>
      <c r="J21" s="2816"/>
      <c r="K21" s="1377"/>
      <c r="N21" s="2817" t="s">
        <v>2850</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2851</v>
      </c>
      <c r="B22" s="2818" t="s">
        <v>2852</v>
      </c>
      <c r="C22" s="1809" t="s">
        <v>2853</v>
      </c>
      <c r="D22" s="1809">
        <f>IF(E22=G22,F22,IF(G3&lt;=10,ROUND(F22+(H22-F22)*(G3-E22)/(G22-E22),4),"——"))</f>
        <v>0.89929999999999999</v>
      </c>
      <c r="E22" s="913">
        <f>ROUNDDOWN(G3,1)</f>
        <v>3.5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3">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09" t="s">
        <v>155</v>
      </c>
      <c r="J22" s="938" t="str">
        <f>IF(G3&gt;10,D113,"——")</f>
        <v>——</v>
      </c>
      <c r="K22" s="1377"/>
      <c r="N22" s="2817" t="s">
        <v>2854</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6" t="s">
        <v>2855</v>
      </c>
      <c r="B23" s="2819" t="s">
        <v>2856</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2857</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8"/>
    </row>
    <row r="24" spans="1:37" s="2740" customFormat="1" ht="15.75" thickBot="1">
      <c r="A24" s="2806" t="s">
        <v>811</v>
      </c>
      <c r="B24" s="2792" t="s">
        <v>2858</v>
      </c>
      <c r="C24" s="924">
        <f>SUMIF(A45:A88,E2,B45:B88)</f>
        <v>1</v>
      </c>
      <c r="D24" s="2795"/>
      <c r="E24" s="2825"/>
      <c r="F24" s="2825"/>
      <c r="G24" s="2825"/>
      <c r="H24" s="2825"/>
      <c r="I24" s="2825"/>
      <c r="J24" s="2826"/>
      <c r="K24" s="1377"/>
      <c r="N24" s="2827" t="s">
        <v>2859</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6" t="s">
        <v>812</v>
      </c>
      <c r="B25" s="2828" t="s">
        <v>2860</v>
      </c>
      <c r="C25" s="930"/>
      <c r="D25" s="2750"/>
      <c r="E25" s="2750"/>
      <c r="F25" s="2829"/>
      <c r="G25" s="2750"/>
      <c r="H25" s="2750"/>
      <c r="I25" s="2750"/>
      <c r="J25" s="2751"/>
      <c r="K25" s="1370"/>
      <c r="N25" s="2830" t="s">
        <v>2861</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31"/>
      <c r="B26" s="2818" t="s">
        <v>2862</v>
      </c>
      <c r="C26" s="206">
        <f ca="1">E29+SUM(E33:E39)</f>
        <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2863</v>
      </c>
      <c r="C27" s="931">
        <f ca="1">E30+SUM(I33:I39)</f>
        <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2864</v>
      </c>
      <c r="C28" s="2842" t="s">
        <v>2865</v>
      </c>
      <c r="D28" s="2842" t="s">
        <v>2866</v>
      </c>
      <c r="E28" s="2843" t="s">
        <v>2867</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2868</v>
      </c>
      <c r="C29" s="206">
        <f ca="1">ROUND(C5*C18*C19*C20*C21*C24,0)</f>
        <v>0</v>
      </c>
      <c r="D29" s="2847"/>
      <c r="E29" s="942">
        <f ca="1">ROUND(C29*D29/10000,0)</f>
        <v>0</v>
      </c>
      <c r="F29" s="2848" t="s">
        <v>2869</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5" thickBot="1">
      <c r="A30" s="2851"/>
      <c r="B30" s="2852" t="s">
        <v>2870</v>
      </c>
      <c r="C30" s="229">
        <f ca="1">ROUND(IF(E2="工业",C29*M39,C29*M38),0)</f>
        <v>0</v>
      </c>
      <c r="D30" s="2853"/>
      <c r="E30" s="942">
        <f ca="1">ROUND(C30*D30/10000,0)</f>
        <v>0</v>
      </c>
      <c r="F30" s="2854" t="s">
        <v>2871</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4.25">
      <c r="A31" s="2857"/>
      <c r="B31" s="2858" t="s">
        <v>2872</v>
      </c>
      <c r="C31" s="2859" t="s">
        <v>2873</v>
      </c>
      <c r="D31" s="2763"/>
      <c r="E31" s="2859"/>
      <c r="F31" s="2859"/>
      <c r="G31" s="2761" t="s">
        <v>2874</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24">
      <c r="A32" s="2845"/>
      <c r="B32" s="2861"/>
      <c r="C32" s="501" t="s">
        <v>2865</v>
      </c>
      <c r="D32" s="498" t="s">
        <v>2866</v>
      </c>
      <c r="E32" s="498" t="s">
        <v>2867</v>
      </c>
      <c r="F32" s="388" t="s">
        <v>2875</v>
      </c>
      <c r="G32" s="2862" t="s">
        <v>2865</v>
      </c>
      <c r="H32" s="2862" t="s">
        <v>2866</v>
      </c>
      <c r="I32" s="2862" t="s">
        <v>2867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254" t="s">
        <v>2876</v>
      </c>
      <c r="B33" s="2863" t="s">
        <v>2877</v>
      </c>
      <c r="C33" s="206">
        <f ca="1">ROUND(D5*C19*C20*C24*F33,0)</f>
        <v>6607</v>
      </c>
      <c r="D33" s="2847"/>
      <c r="E33" s="200">
        <f ca="1">ROUND(C33*D33/10000,0)</f>
        <v>0</v>
      </c>
      <c r="F33" s="200">
        <f>SUMIF(修正!A45:A56,G2,修正!B45:B56)</f>
        <v>0.7</v>
      </c>
      <c r="G33" s="200">
        <f t="shared" ref="G33" ca="1" si="6">ROUND(IF(E2="工业",C33*$M$39,C33*$M$38),0)</f>
        <v>1652</v>
      </c>
      <c r="H33" s="200">
        <f>D33</f>
        <v>0</v>
      </c>
      <c r="I33" s="200">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5"/>
      <c r="B34" s="2767" t="s">
        <v>2878</v>
      </c>
      <c r="C34" s="206">
        <f ca="1">ROUND(D5*C19*C20*C24*F34,0)</f>
        <v>3775</v>
      </c>
      <c r="D34" s="2847"/>
      <c r="E34" s="200">
        <f t="shared" ref="E34:E39" ca="1" si="7">ROUND(C34*D34/10000,0)</f>
        <v>0</v>
      </c>
      <c r="F34" s="200">
        <f>SUMIF(修正!A45:A56,G2,修正!C45:C56)</f>
        <v>0.4</v>
      </c>
      <c r="G34" s="200">
        <f ca="1">ROUND(IF(E2="工业",C34*$M$39,C34*$M$38),0)</f>
        <v>944</v>
      </c>
      <c r="H34" s="200">
        <f t="shared" ref="H34:H39" si="8">D34</f>
        <v>0</v>
      </c>
      <c r="I34" s="200">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5"/>
      <c r="B35" s="2767" t="s">
        <v>2879</v>
      </c>
      <c r="C35" s="206">
        <f ca="1">ROUND(D5*C19*C20*C24*F35,0)</f>
        <v>2643</v>
      </c>
      <c r="D35" s="2847"/>
      <c r="E35" s="200">
        <f t="shared" ca="1" si="7"/>
        <v>0</v>
      </c>
      <c r="F35" s="200">
        <f>SUMIF(修正!A45:A56,G2,修正!D45:D56)</f>
        <v>0.28000000000000003</v>
      </c>
      <c r="G35" s="200">
        <f ca="1">ROUND(IF(E2="工业",C35*$M$39,C35*$M$38),0)</f>
        <v>661</v>
      </c>
      <c r="H35" s="200">
        <f t="shared" si="8"/>
        <v>0</v>
      </c>
      <c r="I35" s="200">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256"/>
      <c r="B36" s="2767" t="s">
        <v>2880</v>
      </c>
      <c r="C36" s="206">
        <f ca="1">ROUND(D5*C19*C20*C24*F36,0)</f>
        <v>2360</v>
      </c>
      <c r="D36" s="2847"/>
      <c r="E36" s="200">
        <f t="shared" ca="1" si="7"/>
        <v>0</v>
      </c>
      <c r="F36" s="200">
        <f>SUMIF(修正!A45:A56,G2,修正!E45:E56)</f>
        <v>0.25</v>
      </c>
      <c r="G36" s="200">
        <f ca="1">ROUND(IF(E2="工业",C36*$M$39,C36*$M$38),0)</f>
        <v>590</v>
      </c>
      <c r="H36" s="200">
        <f t="shared" si="8"/>
        <v>0</v>
      </c>
      <c r="I36" s="200">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2881</v>
      </c>
      <c r="C37" s="200">
        <f ca="1">ROUND(D5*C19*C20*C24*F37,0)</f>
        <v>2360</v>
      </c>
      <c r="D37" s="2847"/>
      <c r="E37" s="200">
        <f t="shared" ca="1" si="7"/>
        <v>0</v>
      </c>
      <c r="F37" s="206">
        <f>SUMIF(修正!A45:A56,G2,修正!F45:F56)</f>
        <v>0.25</v>
      </c>
      <c r="G37" s="200">
        <f ca="1">ROUND(IF(E2="工业",C37*$M$39,C37*$M$38),0)</f>
        <v>590</v>
      </c>
      <c r="H37" s="200">
        <f t="shared" si="8"/>
        <v>0</v>
      </c>
      <c r="I37" s="200">
        <f t="shared" ca="1" si="9"/>
        <v>0</v>
      </c>
      <c r="J37" s="2864"/>
      <c r="K37" s="1370"/>
      <c r="L37" s="2866" t="s">
        <v>2882</v>
      </c>
      <c r="M37" s="2867"/>
      <c r="N37" s="1370"/>
      <c r="O37" s="1370"/>
      <c r="P37" s="1370"/>
      <c r="Q37" s="1370"/>
      <c r="R37" s="1370"/>
      <c r="S37" s="1370"/>
      <c r="T37" s="1370"/>
      <c r="U37" s="1370"/>
      <c r="V37" s="1370"/>
      <c r="W37" s="1370"/>
      <c r="X37" s="1370"/>
      <c r="Y37" s="1370"/>
      <c r="Z37" s="1371"/>
    </row>
    <row r="38" spans="1:37">
      <c r="A38" s="2865"/>
      <c r="B38" s="2767" t="s">
        <v>2883</v>
      </c>
      <c r="C38" s="200">
        <f ca="1">ROUND(D5*C19*C41*C24*F38,0)</f>
        <v>0</v>
      </c>
      <c r="D38" s="2847"/>
      <c r="E38" s="200">
        <f t="shared" ca="1" si="7"/>
        <v>0</v>
      </c>
      <c r="F38" s="206">
        <f>SUMIF(修正!A45:A56,G2,修正!G45:G56)</f>
        <v>0.25</v>
      </c>
      <c r="G38" s="200">
        <f ca="1">ROUND(IF(E2="工业",C38*$M$39,C38*$M$38),0)</f>
        <v>0</v>
      </c>
      <c r="H38" s="200">
        <f t="shared" si="8"/>
        <v>0</v>
      </c>
      <c r="I38" s="200">
        <f t="shared" ca="1" si="9"/>
        <v>0</v>
      </c>
      <c r="J38" s="2864"/>
      <c r="K38" s="1370"/>
      <c r="L38" s="1886" t="s">
        <v>2884</v>
      </c>
      <c r="M38" s="2868">
        <v>0.25</v>
      </c>
      <c r="N38" s="1370"/>
      <c r="O38" s="1370"/>
      <c r="P38" s="1370"/>
      <c r="Q38" s="1370"/>
      <c r="R38" s="1370"/>
      <c r="S38" s="1370"/>
      <c r="T38" s="1370"/>
      <c r="U38" s="1370"/>
      <c r="V38" s="1370"/>
      <c r="W38" s="1370"/>
      <c r="X38" s="1370"/>
      <c r="Y38" s="1370"/>
      <c r="Z38" s="1371"/>
    </row>
    <row r="39" spans="1:37" ht="13.5" thickBot="1">
      <c r="A39" s="2851"/>
      <c r="B39" s="2869" t="s">
        <v>2885</v>
      </c>
      <c r="C39" s="229">
        <f ca="1">ROUND(D5*C19*C41*C24*F39,0)</f>
        <v>0</v>
      </c>
      <c r="D39" s="2853"/>
      <c r="E39" s="229">
        <f t="shared" ca="1" si="7"/>
        <v>0</v>
      </c>
      <c r="F39" s="932">
        <f>SUMIF(修正!A45:A56,G2,修正!H45:H56)</f>
        <v>0.2</v>
      </c>
      <c r="G39" s="229">
        <f ca="1">ROUND(IF(E2="工业",C39*$M$39,C39*$M$38),0)</f>
        <v>0</v>
      </c>
      <c r="H39" s="229">
        <f t="shared" si="8"/>
        <v>0</v>
      </c>
      <c r="I39" s="229">
        <f t="shared" ca="1" si="9"/>
        <v>0</v>
      </c>
      <c r="J39" s="2870"/>
      <c r="K39" s="1370"/>
      <c r="L39" s="2871" t="s">
        <v>2828</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40" t="s">
        <v>2996</v>
      </c>
      <c r="C41" s="388">
        <f ca="1">ROUND(POWER(1+E41,H41-G41)*(POWER(1+E41,G41)-1)/(POWER(1+E41,H41)-1),4)</f>
        <v>0</v>
      </c>
      <c r="D41" s="200" t="s">
        <v>2836</v>
      </c>
      <c r="E41" s="2939">
        <f ca="1">G20</f>
        <v>5.1999999999999998E-2</v>
      </c>
      <c r="F41" s="200" t="s">
        <v>2845</v>
      </c>
      <c r="G41" s="218"/>
      <c r="H41" s="200">
        <v>50</v>
      </c>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2886</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2887</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2888</v>
      </c>
      <c r="B47" s="1808" t="s">
        <v>2889</v>
      </c>
      <c r="C47" s="1808" t="s">
        <v>2890</v>
      </c>
      <c r="D47" s="1808" t="s">
        <v>2891</v>
      </c>
      <c r="E47" s="816" t="s">
        <v>2892</v>
      </c>
      <c r="F47" s="2881" t="s">
        <v>2893</v>
      </c>
      <c r="G47" s="1808" t="s">
        <v>754</v>
      </c>
      <c r="H47" s="2882" t="s">
        <v>2894</v>
      </c>
      <c r="I47" s="1808" t="s">
        <v>2895</v>
      </c>
      <c r="J47" s="603" t="s">
        <v>2545</v>
      </c>
      <c r="K47" s="603" t="s">
        <v>2546</v>
      </c>
      <c r="L47" s="603" t="s">
        <v>2547</v>
      </c>
      <c r="M47" s="603" t="s">
        <v>2548</v>
      </c>
      <c r="N47" s="603" t="s">
        <v>2549</v>
      </c>
      <c r="AA47" s="1371"/>
      <c r="AB47" s="1371"/>
      <c r="AC47" s="1371"/>
      <c r="AD47" s="1371"/>
      <c r="AE47" s="1371"/>
      <c r="AF47" s="1371"/>
      <c r="AG47" s="1371"/>
      <c r="AH47" s="1371"/>
      <c r="AI47" s="1371"/>
      <c r="AJ47" s="1371"/>
      <c r="AK47" s="1371"/>
    </row>
    <row r="48" spans="1:37" s="1370" customFormat="1" ht="38.25">
      <c r="A48" s="2880" t="s">
        <v>2896</v>
      </c>
      <c r="B48" s="2883" t="str">
        <f>估价对象房地状况!C4</f>
        <v>估价对象位于经济开发区，周边商业氛围成熟度一般，人流量一般，商业繁华度一般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0" t="s">
        <v>2897</v>
      </c>
      <c r="B49" s="2884" t="str">
        <f>估价对象房地状况!C18</f>
        <v>估价对象周边道路状况一般、公共交通通达情况一般、停车便捷程度一般，周边有开发区2路等公交线路，综合评价交通便捷度一般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2898</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2899</v>
      </c>
      <c r="B51" s="2885" t="s">
        <v>2900</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2901</v>
      </c>
      <c r="B52" s="2884" t="str">
        <f>估价对象房地状况!C24</f>
        <v>城市主干道-科创五街</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2902</v>
      </c>
      <c r="B53" s="2886" t="s">
        <v>2903</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7" t="s">
        <v>2904</v>
      </c>
      <c r="B54" s="1724" t="str">
        <f>估价对象房地状况!C21</f>
        <v>估价对象所在区域公共配套设施齐备情况一般</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2905</v>
      </c>
      <c r="B55" s="2884" t="str">
        <f>估价对象房地状况!C22</f>
        <v>估价对象所在区域基础设施水平较好</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2906</v>
      </c>
      <c r="B56" s="2889" t="str">
        <f>估价对象房地状况!C20</f>
        <v>区域自然环境一般；人文环境一般；综合评价环境状况一般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2907</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2888</v>
      </c>
      <c r="B58" s="1808"/>
      <c r="C58" s="1808" t="s">
        <v>2890</v>
      </c>
      <c r="D58" s="1808" t="s">
        <v>2891</v>
      </c>
      <c r="E58" s="816" t="s">
        <v>2892</v>
      </c>
      <c r="F58" s="2881" t="s">
        <v>2908</v>
      </c>
      <c r="G58" s="1808" t="s">
        <v>754</v>
      </c>
      <c r="H58" s="2882" t="s">
        <v>2894</v>
      </c>
      <c r="I58" s="1808" t="s">
        <v>2895</v>
      </c>
      <c r="J58" s="603" t="s">
        <v>2545</v>
      </c>
      <c r="K58" s="603" t="s">
        <v>2546</v>
      </c>
      <c r="L58" s="603" t="s">
        <v>2547</v>
      </c>
      <c r="M58" s="603" t="s">
        <v>2548</v>
      </c>
      <c r="N58" s="603" t="s">
        <v>2549</v>
      </c>
      <c r="AA58" s="1371"/>
      <c r="AB58" s="1371"/>
      <c r="AC58" s="1371"/>
      <c r="AD58" s="1371"/>
      <c r="AE58" s="1371"/>
      <c r="AF58" s="1371"/>
      <c r="AG58" s="1371"/>
      <c r="AH58" s="1371"/>
      <c r="AI58" s="1371"/>
      <c r="AJ58" s="1371"/>
      <c r="AK58" s="1371"/>
    </row>
    <row r="59" spans="1:37" s="1370" customFormat="1" ht="38.25">
      <c r="A59" s="2880" t="s">
        <v>2909</v>
      </c>
      <c r="B59" s="2883" t="str">
        <f>估价对象房地状况!C17</f>
        <v>估价对象位于经济开发区，周边办公楼项目较多，有中荣科技大厦等，入驻率高，办公集聚程度较好</v>
      </c>
      <c r="C59" s="2772"/>
      <c r="D59" s="1286">
        <f t="shared" ref="D59:D67" si="15">SUMIF($J$58:$N$58,C59,J59:N59)</f>
        <v>0</v>
      </c>
      <c r="E59" s="818">
        <f>ROUND(SUM(D59:D67),4)</f>
        <v>0</v>
      </c>
      <c r="F59" s="2503">
        <f>IF(E2="办公",SUMIF(L1:L12,G2,N1:N12),"——")</f>
        <v>0.127</v>
      </c>
      <c r="G59" s="1284"/>
      <c r="H59" s="1288">
        <f t="shared" ref="H59:H67" si="16">IFERROR(ROUNDDOWN($F$59*I59/2,4),"——")</f>
        <v>1.52E-2</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0" t="s">
        <v>2897</v>
      </c>
      <c r="B60" s="2884" t="str">
        <f>估价对象房地状况!C18</f>
        <v>估价对象周边道路状况一般、公共交通通达情况一般、停车便捷程度一般，周边有开发区2路等公交线路，综合评价交通便捷度一般</v>
      </c>
      <c r="C60" s="2772"/>
      <c r="D60" s="1286">
        <f t="shared" si="15"/>
        <v>0</v>
      </c>
      <c r="E60" s="819"/>
      <c r="F60" s="2503"/>
      <c r="G60" s="1284"/>
      <c r="H60" s="1288">
        <f t="shared" si="16"/>
        <v>1.9E-2</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2898</v>
      </c>
      <c r="B61" s="2884" t="str">
        <f>估价对象房地状况!C19</f>
        <v>较一致</v>
      </c>
      <c r="C61" s="2772"/>
      <c r="D61" s="1286">
        <f t="shared" si="15"/>
        <v>0</v>
      </c>
      <c r="E61" s="819"/>
      <c r="F61" s="2503"/>
      <c r="G61" s="1284"/>
      <c r="H61" s="1288">
        <f t="shared" si="16"/>
        <v>5.0000000000000001E-3</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2899</v>
      </c>
      <c r="B62" s="2885" t="s">
        <v>2900</v>
      </c>
      <c r="C62" s="2772"/>
      <c r="D62" s="1286">
        <f t="shared" si="15"/>
        <v>0</v>
      </c>
      <c r="E62" s="819"/>
      <c r="F62" s="2503"/>
      <c r="G62" s="1284"/>
      <c r="H62" s="1288">
        <f t="shared" si="16"/>
        <v>2.5000000000000001E-3</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2901</v>
      </c>
      <c r="B63" s="2884" t="str">
        <f>估价对象房地状况!C24</f>
        <v>城市主干道-科创五街</v>
      </c>
      <c r="C63" s="2772"/>
      <c r="D63" s="1286">
        <f t="shared" si="15"/>
        <v>0</v>
      </c>
      <c r="E63" s="819"/>
      <c r="F63" s="2503"/>
      <c r="G63" s="1284"/>
      <c r="H63" s="1288">
        <f t="shared" si="16"/>
        <v>3.0999999999999999E-3</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2902</v>
      </c>
      <c r="B64" s="2886" t="s">
        <v>2903</v>
      </c>
      <c r="C64" s="2772"/>
      <c r="D64" s="1286">
        <f t="shared" si="15"/>
        <v>0</v>
      </c>
      <c r="E64" s="819"/>
      <c r="F64" s="2503"/>
      <c r="G64" s="1284"/>
      <c r="H64" s="1288">
        <f t="shared" si="16"/>
        <v>3.0999999999999999E-3</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2904</v>
      </c>
      <c r="B65" s="1724" t="str">
        <f>估价对象房地状况!C21</f>
        <v>估价对象所在区域公共配套设施齐备情况一般</v>
      </c>
      <c r="C65" s="2772"/>
      <c r="D65" s="1286">
        <f t="shared" si="15"/>
        <v>0</v>
      </c>
      <c r="E65" s="819"/>
      <c r="F65" s="2503"/>
      <c r="G65" s="1284"/>
      <c r="H65" s="1288">
        <f t="shared" si="16"/>
        <v>3.8E-3</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2905</v>
      </c>
      <c r="B66" s="1724" t="str">
        <f>估价对象房地状况!C22</f>
        <v>估价对象所在区域基础设施水平较好</v>
      </c>
      <c r="C66" s="2772"/>
      <c r="D66" s="1286">
        <f t="shared" si="15"/>
        <v>0</v>
      </c>
      <c r="E66" s="819"/>
      <c r="F66" s="2503"/>
      <c r="G66" s="1284"/>
      <c r="H66" s="1288">
        <f t="shared" si="16"/>
        <v>7.6E-3</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2906</v>
      </c>
      <c r="B67" s="2890" t="str">
        <f>估价对象房地状况!C20</f>
        <v>区域自然环境一般；人文环境一般；综合评价环境状况一般</v>
      </c>
      <c r="C67" s="2772"/>
      <c r="D67" s="1286">
        <f t="shared" si="15"/>
        <v>0</v>
      </c>
      <c r="E67" s="822"/>
      <c r="F67" s="2503"/>
      <c r="G67" s="1284"/>
      <c r="H67" s="1288">
        <f t="shared" si="16"/>
        <v>3.8E-3</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2910</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2888</v>
      </c>
      <c r="B69" s="1808"/>
      <c r="C69" s="1808" t="s">
        <v>2890</v>
      </c>
      <c r="D69" s="1808" t="s">
        <v>2891</v>
      </c>
      <c r="E69" s="816" t="s">
        <v>2892</v>
      </c>
      <c r="F69" s="2881" t="s">
        <v>2908</v>
      </c>
      <c r="G69" s="1808" t="s">
        <v>754</v>
      </c>
      <c r="H69" s="2882" t="s">
        <v>2894</v>
      </c>
      <c r="I69" s="1808" t="s">
        <v>2895</v>
      </c>
      <c r="J69" s="603" t="s">
        <v>2545</v>
      </c>
      <c r="K69" s="603" t="s">
        <v>2546</v>
      </c>
      <c r="L69" s="603" t="s">
        <v>2547</v>
      </c>
      <c r="M69" s="603" t="s">
        <v>2548</v>
      </c>
      <c r="N69" s="603" t="s">
        <v>2549</v>
      </c>
      <c r="AA69" s="1371"/>
      <c r="AB69" s="1371"/>
      <c r="AC69" s="1371"/>
      <c r="AD69" s="1371"/>
      <c r="AE69" s="1371"/>
      <c r="AF69" s="1371"/>
      <c r="AG69" s="1371"/>
      <c r="AH69" s="1371"/>
      <c r="AI69" s="1371"/>
      <c r="AJ69" s="1371"/>
      <c r="AK69" s="1371"/>
    </row>
    <row r="70" spans="1:37" s="1370" customFormat="1" ht="51">
      <c r="A70" s="2880" t="s">
        <v>2911</v>
      </c>
      <c r="B70" s="2883" t="str">
        <f>估价对象房地状况!C15</f>
        <v>——</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0" t="s">
        <v>2897</v>
      </c>
      <c r="B71" s="2884" t="str">
        <f>估价对象房地状况!C18</f>
        <v>估价对象周边道路状况一般、公共交通通达情况一般、停车便捷程度一般，周边有开发区2路等公交线路，综合评价交通便捷度一般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2898</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2912</v>
      </c>
      <c r="B73" s="2884" t="str">
        <f>估价对象房地状况!C24</f>
        <v>城市主干道-科创五街</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2904</v>
      </c>
      <c r="B74" s="1724" t="str">
        <f>估价对象房地状况!C21</f>
        <v>估价对象所在区域公共配套设施齐备情况一般</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2905</v>
      </c>
      <c r="B75" s="1724" t="str">
        <f>估价对象房地状况!C22</f>
        <v>估价对象所在区域基础设施水平较好</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80" t="s">
        <v>2902</v>
      </c>
      <c r="B76" s="2886" t="s">
        <v>2903</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2906</v>
      </c>
      <c r="B77" s="2883" t="str">
        <f>估价对象房地状况!C20</f>
        <v>区域自然环境一般；人文环境一般；综合评价环境状况一般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24.75" thickBot="1">
      <c r="A78" s="2888" t="s">
        <v>2913</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5">
      <c r="A79" s="2876" t="s">
        <v>2914</v>
      </c>
      <c r="B79" s="2877">
        <f>1+E81</f>
        <v>1</v>
      </c>
      <c r="C79" s="811"/>
      <c r="D79" s="811"/>
      <c r="E79" s="812"/>
      <c r="F79" s="2879"/>
      <c r="G79" s="6"/>
      <c r="H79" s="6"/>
      <c r="I79" s="6"/>
      <c r="J79" s="7"/>
      <c r="K79" s="7"/>
      <c r="L79" s="7"/>
      <c r="M79" s="7"/>
      <c r="N79" s="7"/>
      <c r="Z79" s="2722"/>
      <c r="AA79" s="2798"/>
      <c r="AG79" s="1372"/>
      <c r="AK79" s="2798"/>
    </row>
    <row r="80" spans="1:37" ht="24.75">
      <c r="A80" s="2880" t="s">
        <v>2888</v>
      </c>
      <c r="B80" s="1808"/>
      <c r="C80" s="1808" t="s">
        <v>2890</v>
      </c>
      <c r="D80" s="1808" t="s">
        <v>2891</v>
      </c>
      <c r="E80" s="816" t="s">
        <v>2892</v>
      </c>
      <c r="F80" s="2881" t="s">
        <v>2908</v>
      </c>
      <c r="G80" s="1808" t="s">
        <v>754</v>
      </c>
      <c r="H80" s="2882" t="s">
        <v>2894</v>
      </c>
      <c r="I80" s="1808" t="s">
        <v>2895</v>
      </c>
      <c r="J80" s="603" t="s">
        <v>2545</v>
      </c>
      <c r="K80" s="603" t="s">
        <v>2546</v>
      </c>
      <c r="L80" s="603" t="s">
        <v>2547</v>
      </c>
      <c r="M80" s="603" t="s">
        <v>2548</v>
      </c>
      <c r="N80" s="603" t="s">
        <v>2549</v>
      </c>
      <c r="Z80" s="2722"/>
      <c r="AA80" s="2798"/>
      <c r="AG80" s="1372"/>
      <c r="AK80" s="2798"/>
    </row>
    <row r="81" spans="1:37" ht="38.25">
      <c r="A81" s="2880" t="s">
        <v>2915</v>
      </c>
      <c r="B81" s="2884">
        <f>估价对象房地状况!G15</f>
        <v>0</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51">
      <c r="A82" s="2880" t="s">
        <v>2897</v>
      </c>
      <c r="B82" s="2884">
        <f>估价对象房地状况!G16</f>
        <v>0</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2898</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4.25">
      <c r="A84" s="2880" t="s">
        <v>2912</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5.5">
      <c r="A85" s="2880" t="s">
        <v>2904</v>
      </c>
      <c r="B85" s="1724">
        <f>估价对象房地状况!G19</f>
        <v>0</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5.5">
      <c r="A86" s="2880" t="s">
        <v>2905</v>
      </c>
      <c r="B86" s="1724">
        <f>估价对象房地状况!G20</f>
        <v>0</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24">
      <c r="A87" s="2880" t="s">
        <v>2902</v>
      </c>
      <c r="B87" s="2886" t="s">
        <v>2916</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39" thickBot="1">
      <c r="A88" s="2888" t="s">
        <v>2917</v>
      </c>
      <c r="B88" s="2893">
        <f>估价对象房地状况!G18</f>
        <v>0</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248" t="s">
        <v>2918</v>
      </c>
      <c r="B90" s="3248"/>
      <c r="C90" s="3248"/>
      <c r="D90" s="3248"/>
      <c r="E90" s="3248"/>
      <c r="F90" s="3248"/>
      <c r="G90" s="3248"/>
      <c r="H90" s="3248"/>
      <c r="I90" s="3248"/>
      <c r="J90" s="3248"/>
      <c r="K90" s="2894"/>
      <c r="L90" s="2894"/>
      <c r="M90" s="2894"/>
      <c r="N90" s="2894"/>
    </row>
    <row r="91" spans="1:37">
      <c r="A91" s="3250" t="s">
        <v>2919</v>
      </c>
      <c r="B91" s="3250" t="s">
        <v>2920</v>
      </c>
      <c r="C91" s="2848" t="s">
        <v>2921</v>
      </c>
      <c r="D91" s="2849"/>
      <c r="E91" s="2849"/>
      <c r="F91" s="2849"/>
      <c r="G91" s="2849"/>
      <c r="H91" s="2849"/>
      <c r="I91" s="2849"/>
      <c r="J91" s="2895"/>
      <c r="K91" s="2896"/>
      <c r="L91" s="2896"/>
      <c r="M91" s="2896"/>
      <c r="N91" s="2896"/>
    </row>
    <row r="92" spans="1:37">
      <c r="A92" s="3250"/>
      <c r="B92" s="3250"/>
      <c r="C92" s="942" t="s">
        <v>2787</v>
      </c>
      <c r="D92" s="942" t="s">
        <v>2788</v>
      </c>
      <c r="E92" s="942" t="s">
        <v>2789</v>
      </c>
      <c r="F92" s="942" t="s">
        <v>2790</v>
      </c>
      <c r="G92" s="942" t="s">
        <v>2791</v>
      </c>
      <c r="H92" s="942" t="s">
        <v>2792</v>
      </c>
      <c r="I92" s="942" t="s">
        <v>2793</v>
      </c>
      <c r="J92" s="942" t="s">
        <v>2794</v>
      </c>
      <c r="K92" s="942" t="s">
        <v>2795</v>
      </c>
      <c r="L92" s="942" t="s">
        <v>2796</v>
      </c>
      <c r="M92" s="942" t="s">
        <v>2797</v>
      </c>
      <c r="N92" s="942" t="s">
        <v>2798</v>
      </c>
    </row>
    <row r="93" spans="1:37">
      <c r="A93" s="3251" t="s">
        <v>2922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2"/>
      <c r="B99" s="2897" t="s">
        <v>2803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1" t="s">
        <v>2923</v>
      </c>
      <c r="B101" s="2901" t="s">
        <v>2924</v>
      </c>
      <c r="C101" s="2902">
        <f>$G$3</f>
        <v>3.5</v>
      </c>
      <c r="D101" s="2902">
        <f t="shared" ref="D101:N101" si="31">$G$3</f>
        <v>3.5</v>
      </c>
      <c r="E101" s="2902">
        <f t="shared" si="31"/>
        <v>3.5</v>
      </c>
      <c r="F101" s="2902">
        <f t="shared" si="31"/>
        <v>3.5</v>
      </c>
      <c r="G101" s="2902">
        <f t="shared" si="31"/>
        <v>3.5</v>
      </c>
      <c r="H101" s="2902">
        <f t="shared" si="31"/>
        <v>3.5</v>
      </c>
      <c r="I101" s="2902">
        <f t="shared" si="31"/>
        <v>3.5</v>
      </c>
      <c r="J101" s="2902">
        <f t="shared" si="31"/>
        <v>3.5</v>
      </c>
      <c r="K101" s="2902">
        <f t="shared" si="31"/>
        <v>3.5</v>
      </c>
      <c r="L101" s="2902">
        <f t="shared" si="31"/>
        <v>3.5</v>
      </c>
      <c r="M101" s="2902">
        <f t="shared" si="31"/>
        <v>3.5</v>
      </c>
      <c r="N101" s="2902">
        <f t="shared" si="31"/>
        <v>3.5</v>
      </c>
    </row>
    <row r="102" spans="1:14">
      <c r="A102" s="3252"/>
      <c r="B102" s="2897">
        <v>1</v>
      </c>
      <c r="C102" s="2898">
        <f>1.9362/C101</f>
        <v>0.55320000000000003</v>
      </c>
      <c r="D102" s="2898">
        <f>1.9362/D101</f>
        <v>0.55320000000000003</v>
      </c>
      <c r="E102" s="2898">
        <f>1.8629/E101</f>
        <v>0.53225714285714287</v>
      </c>
      <c r="F102" s="2898">
        <f>1.8629/F101</f>
        <v>0.53225714285714287</v>
      </c>
      <c r="G102" s="2898">
        <f>1.8629/G101</f>
        <v>0.53225714285714287</v>
      </c>
      <c r="H102" s="2898">
        <f>1.8629/H101</f>
        <v>0.53225714285714287</v>
      </c>
      <c r="I102" s="2898">
        <f>1.8629/I101</f>
        <v>0.53225714285714287</v>
      </c>
      <c r="J102" s="2898">
        <f>1.942/J101</f>
        <v>0.55485714285714283</v>
      </c>
      <c r="K102" s="2898">
        <f>1.942/K101</f>
        <v>0.55485714285714283</v>
      </c>
      <c r="L102" s="2898">
        <f>1.942/L101</f>
        <v>0.55485714285714283</v>
      </c>
      <c r="M102" s="2898">
        <f>1.942/M101</f>
        <v>0.55485714285714283</v>
      </c>
      <c r="N102" s="2898">
        <f>1.942/N101</f>
        <v>0.55485714285714283</v>
      </c>
    </row>
    <row r="103" spans="1:14">
      <c r="A103" s="3252"/>
      <c r="B103" s="2897">
        <v>2</v>
      </c>
      <c r="C103" s="2898">
        <f>1.4198/C101</f>
        <v>0.40565714285714283</v>
      </c>
      <c r="D103" s="2898">
        <f>1.4198/D101</f>
        <v>0.40565714285714283</v>
      </c>
      <c r="E103" s="2898">
        <f>1.3372/E101</f>
        <v>0.38205714285714282</v>
      </c>
      <c r="F103" s="2898">
        <f>1.3372/F101</f>
        <v>0.38205714285714282</v>
      </c>
      <c r="G103" s="2898">
        <f>1.3372/G101</f>
        <v>0.38205714285714282</v>
      </c>
      <c r="H103" s="2898">
        <f>1.3372/H101</f>
        <v>0.38205714285714282</v>
      </c>
      <c r="I103" s="2898">
        <f>1.3372/I101</f>
        <v>0.38205714285714282</v>
      </c>
      <c r="J103" s="2898">
        <f>1.2799/J101</f>
        <v>0.36568571428571428</v>
      </c>
      <c r="K103" s="2898">
        <f>1.2799/K101</f>
        <v>0.36568571428571428</v>
      </c>
      <c r="L103" s="2898">
        <f>1.2799/L101</f>
        <v>0.36568571428571428</v>
      </c>
      <c r="M103" s="2898">
        <f>1.2799/M101</f>
        <v>0.36568571428571428</v>
      </c>
      <c r="N103" s="2898">
        <f>1.2799/N101</f>
        <v>0.36568571428571428</v>
      </c>
    </row>
    <row r="104" spans="1:14">
      <c r="A104" s="3252"/>
      <c r="B104" s="2897">
        <v>3</v>
      </c>
      <c r="C104" s="2898">
        <f>1.1594/C101</f>
        <v>0.33125714285714286</v>
      </c>
      <c r="D104" s="2898">
        <f>1.1594/D101</f>
        <v>0.33125714285714286</v>
      </c>
      <c r="E104" s="2898">
        <f>1.0788/E101</f>
        <v>0.30822857142857141</v>
      </c>
      <c r="F104" s="2898">
        <f>1.0788/F101</f>
        <v>0.30822857142857141</v>
      </c>
      <c r="G104" s="2898">
        <f>1.0788/G101</f>
        <v>0.30822857142857141</v>
      </c>
      <c r="H104" s="2898">
        <f>1.0788/H101</f>
        <v>0.30822857142857141</v>
      </c>
      <c r="I104" s="2898">
        <f>1.0788/I101</f>
        <v>0.30822857142857141</v>
      </c>
      <c r="J104" s="2898">
        <f>1.0072/J101</f>
        <v>0.28777142857142862</v>
      </c>
      <c r="K104" s="2898">
        <f>1.0072/K101</f>
        <v>0.28777142857142862</v>
      </c>
      <c r="L104" s="2898">
        <f>1.0072/L101</f>
        <v>0.28777142857142862</v>
      </c>
      <c r="M104" s="2898">
        <f>1.0072/M101</f>
        <v>0.28777142857142862</v>
      </c>
      <c r="N104" s="2898">
        <f>1.0072/N101</f>
        <v>0.28777142857142862</v>
      </c>
    </row>
    <row r="105" spans="1:14">
      <c r="A105" s="3252"/>
      <c r="B105" s="2897">
        <v>4</v>
      </c>
      <c r="C105" s="2898">
        <f>0.9622/C101</f>
        <v>0.27491428571428572</v>
      </c>
      <c r="D105" s="2898">
        <f>0.9622/D101</f>
        <v>0.27491428571428572</v>
      </c>
      <c r="E105" s="2898">
        <f>0.8656/E101</f>
        <v>0.24731428571428574</v>
      </c>
      <c r="F105" s="2898">
        <f>0.8656/F101</f>
        <v>0.24731428571428574</v>
      </c>
      <c r="G105" s="2898">
        <f>0.8656/G101</f>
        <v>0.24731428571428574</v>
      </c>
      <c r="H105" s="2898">
        <f>0.8656/H101</f>
        <v>0.24731428571428574</v>
      </c>
      <c r="I105" s="2898">
        <f>0.8656/I101</f>
        <v>0.24731428571428574</v>
      </c>
      <c r="J105" s="2898">
        <f>0.7525/J101</f>
        <v>0.215</v>
      </c>
      <c r="K105" s="2898">
        <f>0.7525/K101</f>
        <v>0.215</v>
      </c>
      <c r="L105" s="2898">
        <f>0.7525/L101</f>
        <v>0.215</v>
      </c>
      <c r="M105" s="2898">
        <f>0.7525/M101</f>
        <v>0.215</v>
      </c>
      <c r="N105" s="2898">
        <f>0.7525/N101</f>
        <v>0.215</v>
      </c>
    </row>
    <row r="106" spans="1:14">
      <c r="A106" s="3252"/>
      <c r="B106" s="2897">
        <v>5</v>
      </c>
      <c r="C106" s="2898">
        <f>0.8417/C101</f>
        <v>0.24048571428571427</v>
      </c>
      <c r="D106" s="2898">
        <f>0.8417/D101</f>
        <v>0.24048571428571427</v>
      </c>
      <c r="E106" s="2898">
        <f>0.7371/E101</f>
        <v>0.21059999999999998</v>
      </c>
      <c r="F106" s="2898">
        <f>0.7371/F101</f>
        <v>0.21059999999999998</v>
      </c>
      <c r="G106" s="2898">
        <f>0.7371/G101</f>
        <v>0.21059999999999998</v>
      </c>
      <c r="H106" s="2898">
        <f>0.7371/H101</f>
        <v>0.21059999999999998</v>
      </c>
      <c r="I106" s="2898">
        <f>0.7371/I101</f>
        <v>0.21059999999999998</v>
      </c>
      <c r="J106" s="2898">
        <f>0.5659/J101</f>
        <v>0.16168571428571427</v>
      </c>
      <c r="K106" s="2898">
        <f>0.5659/K101</f>
        <v>0.16168571428571427</v>
      </c>
      <c r="L106" s="2898">
        <f>0.5659/L101</f>
        <v>0.16168571428571427</v>
      </c>
      <c r="M106" s="2898">
        <f>0.5659/M101</f>
        <v>0.16168571428571427</v>
      </c>
      <c r="N106" s="2898">
        <f>0.5659/N101</f>
        <v>0.16168571428571427</v>
      </c>
    </row>
    <row r="107" spans="1:14">
      <c r="A107" s="3252"/>
      <c r="B107" s="2897">
        <v>6</v>
      </c>
      <c r="C107" s="2898">
        <f>0.7608/C101</f>
        <v>0.21737142857142858</v>
      </c>
      <c r="D107" s="2898">
        <f>0.7608/D101</f>
        <v>0.21737142857142858</v>
      </c>
      <c r="E107" s="2898">
        <f>0.6482/E101</f>
        <v>0.1852</v>
      </c>
      <c r="F107" s="2898">
        <f>0.6482/F101</f>
        <v>0.1852</v>
      </c>
      <c r="G107" s="2898">
        <f>0.6482/G101</f>
        <v>0.1852</v>
      </c>
      <c r="H107" s="2898">
        <f>0.6482/H101</f>
        <v>0.1852</v>
      </c>
      <c r="I107" s="2898">
        <f>0.6482/I101</f>
        <v>0.1852</v>
      </c>
      <c r="J107" s="2898">
        <f>0.4525/J101</f>
        <v>0.12928571428571428</v>
      </c>
      <c r="K107" s="2898">
        <f>0.4525/K101</f>
        <v>0.12928571428571428</v>
      </c>
      <c r="L107" s="2898">
        <f>0.4525/L101</f>
        <v>0.12928571428571428</v>
      </c>
      <c r="M107" s="2898">
        <f>0.4525/M101</f>
        <v>0.12928571428571428</v>
      </c>
      <c r="N107" s="2898">
        <f>0.4525/N101</f>
        <v>0.12928571428571428</v>
      </c>
    </row>
    <row r="108" spans="1:14">
      <c r="A108" s="3252"/>
      <c r="B108" s="3110" t="s">
        <v>2925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3"/>
      <c r="B109" s="3111"/>
      <c r="C109" s="2900">
        <f>(-0.163*(C108^2)-0.59*C108+7617)*(10^(-4))/C101</f>
        <v>0.21762857142857145</v>
      </c>
      <c r="D109" s="2900">
        <f>(-0.163*(D108^2)-0.59*D108+7617)*(10^(-4))/D101</f>
        <v>0.21762857142857145</v>
      </c>
      <c r="E109" s="2900">
        <f>(-0.161*(E108^2)-7.509*E108+6533)*(10^(-4))/E101</f>
        <v>0.18665714285714285</v>
      </c>
      <c r="F109" s="2900">
        <f>(-0.161*(F108^2)-7.509*F108+6533)*(10^(-4))/F101</f>
        <v>0.18665714285714285</v>
      </c>
      <c r="G109" s="2900">
        <f>(-0.161*(G108^2)-7.509*G108+6533)*(10^(-4))/G101</f>
        <v>0.18665714285714285</v>
      </c>
      <c r="H109" s="2900">
        <f>(-0.161*(H108^2)-7.509*H108+6533)*(10^(-4))/H101</f>
        <v>0.18665714285714285</v>
      </c>
      <c r="I109" s="2900">
        <f>(-0.161*(I108^2)-7.509*I108+6533)*(10^(-4))/I101</f>
        <v>0.18665714285714285</v>
      </c>
      <c r="J109" s="2900">
        <f>(-0.214*(J108^2)-21.991*J108+4665)*(10^(-4))/J101</f>
        <v>0.13328571428571429</v>
      </c>
      <c r="K109" s="2900">
        <f>(-0.214*(K108^2)-21.991*K108+4665)*(10^(-4))/K101</f>
        <v>0.13328571428571429</v>
      </c>
      <c r="L109" s="2900">
        <f>(-0.214*(L108^2)-21.991*L108+4665)*(10^(-4))/L101</f>
        <v>0.13328571428571429</v>
      </c>
      <c r="M109" s="2900">
        <f>(-0.214*(M108^2)-21.991*M108+4665)*(10^(-4))/M101</f>
        <v>0.13328571428571429</v>
      </c>
      <c r="N109" s="2900">
        <f>(-0.214*(N108^2)-21.991*N108+4665)*(10^(-4))/N101</f>
        <v>0.13328571428571429</v>
      </c>
    </row>
    <row r="110" spans="1:14">
      <c r="A110" s="3249" t="s">
        <v>2926</v>
      </c>
      <c r="B110" s="3249"/>
      <c r="C110" s="3249"/>
      <c r="D110" s="3249"/>
      <c r="E110" s="3249"/>
      <c r="F110" s="3249"/>
      <c r="G110" s="3249"/>
      <c r="H110" s="3249"/>
      <c r="I110" s="3249"/>
      <c r="J110" s="3249"/>
      <c r="K110" s="2903"/>
      <c r="L110" s="2903"/>
      <c r="M110" s="2903"/>
      <c r="N110" s="2903"/>
    </row>
    <row r="112" spans="1:14" ht="13.5" thickBot="1"/>
    <row r="113" spans="1:13" ht="25.5" thickBot="1">
      <c r="A113" s="900" t="s">
        <v>2927</v>
      </c>
      <c r="B113" s="1287">
        <f>G3</f>
        <v>3.5</v>
      </c>
      <c r="C113" s="901" t="s">
        <v>2928</v>
      </c>
      <c r="D113" s="902">
        <f>SUMPRODUCT((A115:A118=F113)*(B114:M114=H113)*B115:M118)</f>
        <v>0.81120000000000003</v>
      </c>
      <c r="E113" s="2726" t="s">
        <v>2760</v>
      </c>
      <c r="F113" s="2905" t="str">
        <f>E2</f>
        <v>办公</v>
      </c>
      <c r="G113" s="2726" t="s">
        <v>2761</v>
      </c>
      <c r="H113" s="2905" t="str">
        <f>G2</f>
        <v>七级</v>
      </c>
      <c r="I113" s="2726"/>
      <c r="J113" s="2906"/>
      <c r="K113" s="2906"/>
      <c r="L113" s="2906"/>
      <c r="M113" s="2906"/>
    </row>
    <row r="114" spans="1:13">
      <c r="A114" s="905"/>
      <c r="B114" s="2907" t="s">
        <v>2929</v>
      </c>
      <c r="C114" s="2907" t="s">
        <v>2930</v>
      </c>
      <c r="D114" s="2907" t="s">
        <v>2931</v>
      </c>
      <c r="E114" s="2908" t="s">
        <v>2932</v>
      </c>
      <c r="F114" s="2908" t="s">
        <v>2933</v>
      </c>
      <c r="G114" s="2908" t="s">
        <v>2934</v>
      </c>
      <c r="H114" s="2909" t="s">
        <v>2935</v>
      </c>
      <c r="I114" s="2909" t="s">
        <v>2936</v>
      </c>
      <c r="J114" s="2910" t="s">
        <v>2937</v>
      </c>
      <c r="K114" s="2910" t="s">
        <v>2938</v>
      </c>
      <c r="L114" s="2910" t="s">
        <v>2939</v>
      </c>
      <c r="M114" s="2911" t="s">
        <v>2940</v>
      </c>
    </row>
    <row r="115" spans="1:13">
      <c r="A115" s="906" t="s">
        <v>2825</v>
      </c>
      <c r="B115" s="907">
        <f>ROUND(0.9335-0.0094*B113,4)</f>
        <v>0.90059999999999996</v>
      </c>
      <c r="C115" s="907">
        <f>B115</f>
        <v>0.90059999999999996</v>
      </c>
      <c r="D115" s="907">
        <f>ROUND(0.8331-0.0109*B113,4)</f>
        <v>0.79500000000000004</v>
      </c>
      <c r="E115" s="907">
        <f>D115</f>
        <v>0.79500000000000004</v>
      </c>
      <c r="F115" s="907">
        <f>E115</f>
        <v>0.79500000000000004</v>
      </c>
      <c r="G115" s="907">
        <f>F115</f>
        <v>0.79500000000000004</v>
      </c>
      <c r="H115" s="907">
        <f>G115</f>
        <v>0.79500000000000004</v>
      </c>
      <c r="I115" s="907">
        <f>ROUND(0.689-0.0155*B113,4)</f>
        <v>0.63480000000000003</v>
      </c>
      <c r="J115" s="907">
        <f t="shared" ref="J115:M118" si="33">I115</f>
        <v>0.63480000000000003</v>
      </c>
      <c r="K115" s="907">
        <f t="shared" si="33"/>
        <v>0.63480000000000003</v>
      </c>
      <c r="L115" s="907">
        <f t="shared" si="33"/>
        <v>0.63480000000000003</v>
      </c>
      <c r="M115" s="908">
        <f t="shared" si="33"/>
        <v>0.63480000000000003</v>
      </c>
    </row>
    <row r="116" spans="1:13">
      <c r="A116" s="906" t="s">
        <v>2826</v>
      </c>
      <c r="B116" s="907">
        <f>ROUND(0.949-0.012*B113,4)</f>
        <v>0.90700000000000003</v>
      </c>
      <c r="C116" s="907">
        <f>B116</f>
        <v>0.90700000000000003</v>
      </c>
      <c r="D116" s="907">
        <f>ROUND(0.8567-0.013*B113,4)</f>
        <v>0.81120000000000003</v>
      </c>
      <c r="E116" s="907">
        <f t="shared" ref="E116:H117" si="34">D116</f>
        <v>0.81120000000000003</v>
      </c>
      <c r="F116" s="907">
        <f t="shared" si="34"/>
        <v>0.81120000000000003</v>
      </c>
      <c r="G116" s="907">
        <f t="shared" si="34"/>
        <v>0.81120000000000003</v>
      </c>
      <c r="H116" s="907">
        <f t="shared" si="34"/>
        <v>0.81120000000000003</v>
      </c>
      <c r="I116" s="907">
        <f>ROUND(0.7694-0.014*B113,4)</f>
        <v>0.72040000000000004</v>
      </c>
      <c r="J116" s="907">
        <f t="shared" si="33"/>
        <v>0.72040000000000004</v>
      </c>
      <c r="K116" s="907">
        <f t="shared" si="33"/>
        <v>0.72040000000000004</v>
      </c>
      <c r="L116" s="907">
        <f t="shared" si="33"/>
        <v>0.72040000000000004</v>
      </c>
      <c r="M116" s="908">
        <f t="shared" si="33"/>
        <v>0.72040000000000004</v>
      </c>
    </row>
    <row r="117" spans="1:13">
      <c r="A117" s="906" t="s">
        <v>2827</v>
      </c>
      <c r="B117" s="907">
        <f>ROUND(0.8808-0.006*B113,4)</f>
        <v>0.85980000000000001</v>
      </c>
      <c r="C117" s="907">
        <f>B117</f>
        <v>0.85980000000000001</v>
      </c>
      <c r="D117" s="907">
        <f>ROUND(0.8748-0.008*B113,4)</f>
        <v>0.8468</v>
      </c>
      <c r="E117" s="907">
        <f t="shared" si="34"/>
        <v>0.8468</v>
      </c>
      <c r="F117" s="907">
        <f t="shared" si="34"/>
        <v>0.8468</v>
      </c>
      <c r="G117" s="907">
        <f t="shared" si="34"/>
        <v>0.8468</v>
      </c>
      <c r="H117" s="907">
        <f t="shared" si="34"/>
        <v>0.8468</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4" t="s">
        <v>2828</v>
      </c>
      <c r="B118" s="909">
        <f>ROUND(0.7275-0.01*B113,4)</f>
        <v>0.6925</v>
      </c>
      <c r="C118" s="909">
        <f>B118</f>
        <v>0.6925</v>
      </c>
      <c r="D118" s="909">
        <f>ROUND(0.7043-0.012*B113,4)</f>
        <v>0.6623</v>
      </c>
      <c r="E118" s="909">
        <f>D118</f>
        <v>0.6623</v>
      </c>
      <c r="F118" s="909">
        <f>E118</f>
        <v>0.6623</v>
      </c>
      <c r="G118" s="909">
        <f>ROUND(0.6299-0.0122*B113,4)</f>
        <v>0.58720000000000006</v>
      </c>
      <c r="H118" s="909">
        <f>G118</f>
        <v>0.58720000000000006</v>
      </c>
      <c r="I118" s="909">
        <f>ROUND(0.5667-0.0136*B113,4)</f>
        <v>0.51910000000000001</v>
      </c>
      <c r="J118" s="909">
        <f t="shared" si="33"/>
        <v>0.51910000000000001</v>
      </c>
      <c r="K118" s="909">
        <f t="shared" si="33"/>
        <v>0.51910000000000001</v>
      </c>
      <c r="L118" s="909">
        <f t="shared" si="33"/>
        <v>0.51910000000000001</v>
      </c>
      <c r="M118" s="910">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53" t="str">
        <f>项目基本情况!B1</f>
        <v>北京市北京经济技术开发区东区A18街区出让国有建设用地使用权及在建建筑物房地产抵押价值预评估</v>
      </c>
      <c r="C37" s="2953"/>
      <c r="D37" s="2953"/>
      <c r="E37" s="2953"/>
      <c r="F37" s="2953"/>
      <c r="G37" s="2953"/>
      <c r="H37" s="2953"/>
      <c r="I37" s="2953"/>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崔锴（注册号：1120100036)、郑燚（注册号：1120070131)</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90" zoomScaleNormal="90" workbookViewId="0">
      <selection activeCell="C64" sqref="C6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2692</v>
      </c>
      <c r="B1" s="395"/>
      <c r="C1" s="396" t="s">
        <v>2693</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2278</v>
      </c>
      <c r="B2" s="671">
        <f>F66</f>
        <v>233072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2280</v>
      </c>
      <c r="B3" s="609">
        <f>ROUND(IF(D3="",B2*10000/'数据-汇总表'!E3,B2*10000/D3),0)</f>
        <v>8551</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2593</v>
      </c>
      <c r="B4" s="402"/>
      <c r="C4" s="3185" t="s">
        <v>2594</v>
      </c>
      <c r="D4" s="3186"/>
      <c r="E4" s="3187" t="s">
        <v>2595</v>
      </c>
      <c r="F4" s="3188"/>
      <c r="G4" s="3185" t="s">
        <v>2596</v>
      </c>
      <c r="H4" s="3186"/>
      <c r="I4" s="3185" t="s">
        <v>2597</v>
      </c>
      <c r="J4" s="3186"/>
      <c r="K4" s="610" t="s">
        <v>2598</v>
      </c>
      <c r="L4" s="1130"/>
      <c r="M4" s="1131"/>
      <c r="N4" s="1131"/>
      <c r="O4" s="1131"/>
      <c r="P4" s="3189" t="s">
        <v>2599</v>
      </c>
      <c r="Q4" s="3190"/>
      <c r="R4" s="3195" t="s">
        <v>2595</v>
      </c>
      <c r="S4" s="3196"/>
      <c r="T4" s="3195" t="s">
        <v>2596</v>
      </c>
      <c r="U4" s="3196"/>
      <c r="V4" s="3201" t="s">
        <v>2597</v>
      </c>
      <c r="W4" s="3201"/>
      <c r="X4" s="1812"/>
      <c r="Y4" s="3195" t="s">
        <v>2599</v>
      </c>
      <c r="Z4" s="3196"/>
      <c r="AA4" s="3182" t="s">
        <v>2595</v>
      </c>
      <c r="AB4" s="3183" t="s">
        <v>2596</v>
      </c>
      <c r="AC4" s="3182" t="s">
        <v>2597</v>
      </c>
    </row>
    <row r="5" spans="1:30" ht="15">
      <c r="A5" s="404"/>
      <c r="B5" s="405"/>
      <c r="C5" s="3290" t="str">
        <f>项目基本情况!F10</f>
        <v>北京经济技术开发区东区A18街区</v>
      </c>
      <c r="D5" s="3205"/>
      <c r="E5" s="3211" t="str">
        <f>土地案例!B4</f>
        <v>北京经济技术开发区路东区E16街区E16C-3、E16C-5、E16S-1地块</v>
      </c>
      <c r="F5" s="3212"/>
      <c r="G5" s="3204" t="str">
        <f>土地案例!B5</f>
        <v>北京经济技术开发区路东区C14C-1、C14C-2、C14S-1地块B4综合性商业金融服务业用地及S41公用停车场用地</v>
      </c>
      <c r="H5" s="3205"/>
      <c r="I5" s="3204" t="str">
        <f>土地案例!B7</f>
        <v>大兴区北臧村生物医药基地DX00-0502-0008地块</v>
      </c>
      <c r="J5" s="3205"/>
      <c r="K5" s="610"/>
      <c r="L5" s="1130"/>
      <c r="M5" s="1131"/>
      <c r="N5" s="1131"/>
      <c r="O5" s="1131"/>
      <c r="P5" s="3191"/>
      <c r="Q5" s="3192"/>
      <c r="R5" s="3197"/>
      <c r="S5" s="3198"/>
      <c r="T5" s="3197"/>
      <c r="U5" s="3198"/>
      <c r="V5" s="3201"/>
      <c r="W5" s="3201"/>
      <c r="X5" s="1812"/>
      <c r="Y5" s="3197"/>
      <c r="Z5" s="3198"/>
      <c r="AA5" s="3183"/>
      <c r="AB5" s="3183"/>
      <c r="AC5" s="3183"/>
    </row>
    <row r="6" spans="1:30" ht="15.75" thickBot="1">
      <c r="A6" s="406"/>
      <c r="B6" s="407"/>
      <c r="C6" s="3202" t="s">
        <v>2494</v>
      </c>
      <c r="D6" s="3203"/>
      <c r="E6" s="3209" t="s">
        <v>2494</v>
      </c>
      <c r="F6" s="3210"/>
      <c r="G6" s="3202" t="s">
        <v>2494</v>
      </c>
      <c r="H6" s="3203"/>
      <c r="I6" s="3202" t="s">
        <v>2494</v>
      </c>
      <c r="J6" s="3203"/>
      <c r="K6" s="610" t="s">
        <v>2495</v>
      </c>
      <c r="L6" s="1130"/>
      <c r="M6" s="1131"/>
      <c r="N6" s="1131"/>
      <c r="O6" s="1131"/>
      <c r="P6" s="3193"/>
      <c r="Q6" s="3194"/>
      <c r="R6" s="3197"/>
      <c r="S6" s="3198"/>
      <c r="T6" s="3199"/>
      <c r="U6" s="3200"/>
      <c r="V6" s="3201"/>
      <c r="W6" s="3201"/>
      <c r="X6" s="1812"/>
      <c r="Y6" s="3199"/>
      <c r="Z6" s="3200"/>
      <c r="AA6" s="3184"/>
      <c r="AB6" s="3184"/>
      <c r="AC6" s="3184"/>
    </row>
    <row r="7" spans="1:30" s="117" customFormat="1" ht="15.75" thickBot="1">
      <c r="A7" s="408" t="s">
        <v>2496</v>
      </c>
      <c r="B7" s="409"/>
      <c r="C7" s="410">
        <f>'数据-取费表'!B2</f>
        <v>43537</v>
      </c>
      <c r="D7" s="411">
        <v>100</v>
      </c>
      <c r="E7" s="412" t="str">
        <f>土地案例!H4</f>
        <v>2018-06-14</v>
      </c>
      <c r="F7" s="413">
        <f>SUMIF(70:70,YEAR(E7)&amp;"-"&amp;INT((MONTH(E7)+2)/3),71:71)</f>
        <v>98.5</v>
      </c>
      <c r="G7" s="2698" t="str">
        <f>土地案例!H5</f>
        <v>2017-08-08</v>
      </c>
      <c r="H7" s="411">
        <f>SUMIF(70:70,YEAR(G7)&amp;"-"&amp;INT((MONTH(G7)+2)/3),71:71)</f>
        <v>97</v>
      </c>
      <c r="I7" s="2698" t="str">
        <f>土地案例!H7</f>
        <v>2017-03-30</v>
      </c>
      <c r="J7" s="411">
        <f>SUMIF(70:70,YEAR(I7)&amp;"-"&amp;INT((MONTH(I7)+2)/3),71:71)</f>
        <v>96</v>
      </c>
      <c r="K7" s="611"/>
      <c r="L7" s="1132"/>
      <c r="M7" s="1133"/>
      <c r="N7" s="1133"/>
      <c r="O7" s="1133"/>
      <c r="P7" s="3206" t="s">
        <v>2497</v>
      </c>
      <c r="Q7" s="3208"/>
      <c r="R7" s="770" t="s">
        <v>17</v>
      </c>
      <c r="S7" s="771">
        <f t="shared" ref="S7:S15" si="0">F7</f>
        <v>98.5</v>
      </c>
      <c r="T7" s="770" t="s">
        <v>17</v>
      </c>
      <c r="U7" s="771">
        <f t="shared" ref="U7:U15" si="1">H7</f>
        <v>97</v>
      </c>
      <c r="V7" s="770" t="s">
        <v>17</v>
      </c>
      <c r="W7" s="771">
        <f t="shared" ref="W7:W15" si="2">J7</f>
        <v>96</v>
      </c>
      <c r="X7" s="772"/>
      <c r="Y7" s="3206" t="s">
        <v>2497</v>
      </c>
      <c r="Z7" s="3207"/>
      <c r="AA7" s="773">
        <f>D7/F7</f>
        <v>1.015228426395939</v>
      </c>
      <c r="AB7" s="773">
        <f>D7/H7</f>
        <v>1.0309278350515463</v>
      </c>
      <c r="AC7" s="773">
        <f>D7/J7</f>
        <v>1.0416666666666667</v>
      </c>
    </row>
    <row r="8" spans="1:30" s="117" customFormat="1" ht="15.75" thickBot="1">
      <c r="A8" s="408" t="s">
        <v>2498</v>
      </c>
      <c r="B8" s="409"/>
      <c r="C8" s="414" t="s">
        <v>2499</v>
      </c>
      <c r="D8" s="411">
        <v>100</v>
      </c>
      <c r="E8" s="414" t="s">
        <v>3166</v>
      </c>
      <c r="F8" s="413">
        <f>SUMIF(73:73,E8,74:74)-SUMIF(73:73,C8,74:74)+100</f>
        <v>100</v>
      </c>
      <c r="G8" s="414" t="s">
        <v>3166</v>
      </c>
      <c r="H8" s="411">
        <f>SUMIF(73:73,G8,74:74)-SUMIF(73:73,C8,74:74)+100</f>
        <v>100</v>
      </c>
      <c r="I8" s="414" t="s">
        <v>3166</v>
      </c>
      <c r="J8" s="411">
        <f>SUMIF(73:73,I8,74:74)-SUMIF(73:73,C8,74:74)+100</f>
        <v>100</v>
      </c>
      <c r="K8" s="611"/>
      <c r="L8" s="1132"/>
      <c r="M8" s="1133"/>
      <c r="N8" s="1133"/>
      <c r="O8" s="1133"/>
      <c r="P8" s="3206" t="s">
        <v>2500</v>
      </c>
      <c r="Q8" s="3207"/>
      <c r="R8" s="770" t="s">
        <v>17</v>
      </c>
      <c r="S8" s="771">
        <f t="shared" si="0"/>
        <v>100</v>
      </c>
      <c r="T8" s="770" t="s">
        <v>17</v>
      </c>
      <c r="U8" s="771">
        <f t="shared" si="1"/>
        <v>100</v>
      </c>
      <c r="V8" s="770" t="s">
        <v>17</v>
      </c>
      <c r="W8" s="771">
        <f t="shared" si="2"/>
        <v>100</v>
      </c>
      <c r="X8" s="772"/>
      <c r="Y8" s="3206" t="s">
        <v>2500</v>
      </c>
      <c r="Z8" s="3207"/>
      <c r="AA8" s="773">
        <f t="shared" ref="AA8:AA45" si="3">D8/F8</f>
        <v>1</v>
      </c>
      <c r="AB8" s="773">
        <f t="shared" ref="AB8:AB45" si="4">D8/H8</f>
        <v>1</v>
      </c>
      <c r="AC8" s="773">
        <f t="shared" ref="AC8:AC45" si="5">D8/J8</f>
        <v>1</v>
      </c>
    </row>
    <row r="9" spans="1:30" s="117" customFormat="1">
      <c r="A9" s="415" t="s">
        <v>2501</v>
      </c>
      <c r="B9" s="71" t="s">
        <v>2502</v>
      </c>
      <c r="C9" s="2701" t="s">
        <v>3138</v>
      </c>
      <c r="D9" s="135">
        <v>100</v>
      </c>
      <c r="E9" s="2701" t="s">
        <v>3138</v>
      </c>
      <c r="F9" s="135">
        <f>SUMIF(75:75,E9,76:76)-SUMIF(75:75,C9,76:76)+100</f>
        <v>100</v>
      </c>
      <c r="G9" s="2701" t="s">
        <v>3138</v>
      </c>
      <c r="H9" s="135">
        <f>SUMIF(75:75,G9,76:76)-SUMIF(75:75,C9,76:76)+100</f>
        <v>100</v>
      </c>
      <c r="I9" s="2701" t="s">
        <v>3168</v>
      </c>
      <c r="J9" s="135">
        <f>SUMIF(75:75,I9,76:76)-SUMIF(75:75,C9,76:76)+100</f>
        <v>99</v>
      </c>
      <c r="K9" s="611"/>
      <c r="L9" s="1132"/>
      <c r="M9" s="1133"/>
      <c r="N9" s="1133"/>
      <c r="O9" s="1134"/>
      <c r="P9" s="3170" t="s">
        <v>2503</v>
      </c>
      <c r="Q9" s="1794" t="str">
        <f t="shared" ref="Q9:Q15" si="6">B9</f>
        <v>用途</v>
      </c>
      <c r="R9" s="770" t="s">
        <v>17</v>
      </c>
      <c r="S9" s="771">
        <f t="shared" si="0"/>
        <v>100</v>
      </c>
      <c r="T9" s="770" t="s">
        <v>17</v>
      </c>
      <c r="U9" s="771">
        <f t="shared" si="1"/>
        <v>100</v>
      </c>
      <c r="V9" s="770" t="s">
        <v>17</v>
      </c>
      <c r="W9" s="771">
        <f t="shared" si="2"/>
        <v>99</v>
      </c>
      <c r="X9" s="772"/>
      <c r="Y9" s="2997" t="s">
        <v>2504</v>
      </c>
      <c r="Z9" s="55" t="str">
        <f t="shared" ref="Z9:Z15" si="7">Q9</f>
        <v>用途</v>
      </c>
      <c r="AA9" s="773">
        <f t="shared" si="3"/>
        <v>1</v>
      </c>
      <c r="AB9" s="773">
        <f t="shared" si="4"/>
        <v>1</v>
      </c>
      <c r="AC9" s="773">
        <f t="shared" si="5"/>
        <v>1.0101010101010102</v>
      </c>
    </row>
    <row r="10" spans="1:30" s="427" customFormat="1" ht="27">
      <c r="A10" s="421"/>
      <c r="B10" s="422" t="s">
        <v>2505</v>
      </c>
      <c r="C10" s="432">
        <f>项目基本情况!E15</f>
        <v>35.17</v>
      </c>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70"/>
      <c r="Q10" s="1794" t="str">
        <f t="shared" si="6"/>
        <v>土地使用年限（年）</v>
      </c>
      <c r="R10" s="770" t="s">
        <v>17</v>
      </c>
      <c r="S10" s="771">
        <f t="shared" si="0"/>
        <v>103</v>
      </c>
      <c r="T10" s="770" t="s">
        <v>17</v>
      </c>
      <c r="U10" s="771">
        <f t="shared" si="1"/>
        <v>103</v>
      </c>
      <c r="V10" s="770" t="s">
        <v>17</v>
      </c>
      <c r="W10" s="771">
        <f t="shared" si="2"/>
        <v>103</v>
      </c>
      <c r="X10" s="772"/>
      <c r="Y10" s="2997"/>
      <c r="Z10" s="55" t="str">
        <f t="shared" si="7"/>
        <v>土地使用年限（年）</v>
      </c>
      <c r="AA10" s="773">
        <f t="shared" si="3"/>
        <v>0.970873786407767</v>
      </c>
      <c r="AB10" s="773">
        <f t="shared" si="4"/>
        <v>0.970873786407767</v>
      </c>
      <c r="AC10" s="773">
        <f t="shared" si="5"/>
        <v>0.970873786407767</v>
      </c>
    </row>
    <row r="11" spans="1:30" ht="15">
      <c r="A11" s="428"/>
      <c r="B11" s="422" t="s">
        <v>2506</v>
      </c>
      <c r="C11" s="429">
        <f>'数据-汇总表'!I4</f>
        <v>3.5</v>
      </c>
      <c r="D11" s="136">
        <v>100</v>
      </c>
      <c r="E11" s="429">
        <f>土地案例!G4</f>
        <v>3.7</v>
      </c>
      <c r="F11" s="136">
        <f>LOOKUP(E11,80:80,81:81)-LOOKUP(C11,80:80,81:81)+100</f>
        <v>100</v>
      </c>
      <c r="G11" s="430">
        <f>土地案例!G5</f>
        <v>3.99</v>
      </c>
      <c r="H11" s="136">
        <f>LOOKUP(G11,80:80,81:81)-LOOKUP(C11,80:80,81:81)+100</f>
        <v>100</v>
      </c>
      <c r="I11" s="429">
        <f>土地案例!G7</f>
        <v>2.5</v>
      </c>
      <c r="J11" s="136">
        <f>LOOKUP(I11,80:80,81:81)-LOOKUP(C11,80:80,81:81)+100</f>
        <v>101</v>
      </c>
      <c r="K11" s="673">
        <v>1</v>
      </c>
      <c r="L11" s="1138"/>
      <c r="M11" s="1131"/>
      <c r="N11" s="1131"/>
      <c r="O11" s="1139"/>
      <c r="P11" s="3170"/>
      <c r="Q11" s="1794" t="str">
        <f t="shared" si="6"/>
        <v>容积率</v>
      </c>
      <c r="R11" s="770" t="s">
        <v>17</v>
      </c>
      <c r="S11" s="771">
        <f t="shared" si="0"/>
        <v>100</v>
      </c>
      <c r="T11" s="770" t="s">
        <v>17</v>
      </c>
      <c r="U11" s="771">
        <f t="shared" si="1"/>
        <v>100</v>
      </c>
      <c r="V11" s="770" t="s">
        <v>17</v>
      </c>
      <c r="W11" s="771">
        <f t="shared" si="2"/>
        <v>101</v>
      </c>
      <c r="X11" s="772"/>
      <c r="Y11" s="2997"/>
      <c r="Z11" s="55" t="str">
        <f t="shared" si="7"/>
        <v>容积率</v>
      </c>
      <c r="AA11" s="773">
        <f t="shared" si="3"/>
        <v>1</v>
      </c>
      <c r="AB11" s="773">
        <f t="shared" si="4"/>
        <v>1</v>
      </c>
      <c r="AC11" s="773">
        <f t="shared" si="5"/>
        <v>0.99009900990099009</v>
      </c>
    </row>
    <row r="12" spans="1:30" s="117" customFormat="1" ht="15">
      <c r="A12" s="431"/>
      <c r="B12" s="3298" t="s">
        <v>3187</v>
      </c>
      <c r="C12" s="3299" t="s">
        <v>3188</v>
      </c>
      <c r="D12" s="433">
        <v>100</v>
      </c>
      <c r="E12" s="3299" t="s">
        <v>3188</v>
      </c>
      <c r="F12" s="136">
        <f>SUMIF(82:82,E12,83:83)-SUMIF(82:82,C12,83:83)+100</f>
        <v>100</v>
      </c>
      <c r="G12" s="3299" t="s">
        <v>3188</v>
      </c>
      <c r="H12" s="136">
        <f>SUMIF(82:82,G12,83:83)-SUMIF(82:82,C12,83:83)+100</f>
        <v>100</v>
      </c>
      <c r="I12" s="3300" t="s">
        <v>3189</v>
      </c>
      <c r="J12" s="136">
        <f>SUMIF(82:82,I12,83:83)-SUMIF(82:82,C12,83:83)+100</f>
        <v>105</v>
      </c>
      <c r="K12" s="672"/>
      <c r="L12" s="1132"/>
      <c r="M12" s="1133"/>
      <c r="N12" s="1133"/>
      <c r="O12" s="1134"/>
      <c r="P12" s="3170"/>
      <c r="Q12" s="1794" t="str">
        <f t="shared" si="6"/>
        <v>是否自持</v>
      </c>
      <c r="R12" s="770" t="s">
        <v>17</v>
      </c>
      <c r="S12" s="771">
        <f t="shared" si="0"/>
        <v>100</v>
      </c>
      <c r="T12" s="770" t="s">
        <v>17</v>
      </c>
      <c r="U12" s="771">
        <f t="shared" si="1"/>
        <v>100</v>
      </c>
      <c r="V12" s="770" t="s">
        <v>17</v>
      </c>
      <c r="W12" s="771">
        <f t="shared" si="2"/>
        <v>105</v>
      </c>
      <c r="X12" s="772"/>
      <c r="Y12" s="2997"/>
      <c r="Z12" s="55" t="str">
        <f t="shared" si="7"/>
        <v>是否自持</v>
      </c>
      <c r="AA12" s="773">
        <f>D12/F12</f>
        <v>1</v>
      </c>
      <c r="AB12" s="773">
        <f>D12/H12</f>
        <v>1</v>
      </c>
      <c r="AC12" s="773">
        <f>D12/J12</f>
        <v>0.95238095238095233</v>
      </c>
    </row>
    <row r="13" spans="1:30" ht="15">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0"/>
      <c r="Q13" s="1794">
        <f t="shared" si="6"/>
        <v>0</v>
      </c>
      <c r="R13" s="770" t="s">
        <v>17</v>
      </c>
      <c r="S13" s="771">
        <f t="shared" si="0"/>
        <v>100</v>
      </c>
      <c r="T13" s="770" t="s">
        <v>17</v>
      </c>
      <c r="U13" s="771">
        <f t="shared" si="1"/>
        <v>100</v>
      </c>
      <c r="V13" s="770" t="s">
        <v>17</v>
      </c>
      <c r="W13" s="771">
        <f t="shared" si="2"/>
        <v>100</v>
      </c>
      <c r="X13" s="772"/>
      <c r="Y13" s="2997"/>
      <c r="Z13" s="55">
        <f t="shared" si="7"/>
        <v>0</v>
      </c>
      <c r="AA13" s="773">
        <f>D13/F13</f>
        <v>1</v>
      </c>
      <c r="AB13" s="773">
        <f>D13/H13</f>
        <v>1</v>
      </c>
      <c r="AC13" s="773">
        <f>D13/J13</f>
        <v>1</v>
      </c>
    </row>
    <row r="14" spans="1:30" ht="15.75"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0"/>
      <c r="Q14" s="1794">
        <f t="shared" si="6"/>
        <v>0</v>
      </c>
      <c r="R14" s="770" t="s">
        <v>17</v>
      </c>
      <c r="S14" s="771">
        <f t="shared" si="0"/>
        <v>100</v>
      </c>
      <c r="T14" s="770" t="s">
        <v>17</v>
      </c>
      <c r="U14" s="771">
        <f t="shared" si="1"/>
        <v>100</v>
      </c>
      <c r="V14" s="770" t="s">
        <v>17</v>
      </c>
      <c r="W14" s="771">
        <f t="shared" si="2"/>
        <v>100</v>
      </c>
      <c r="X14" s="772"/>
      <c r="Y14" s="2997"/>
      <c r="Z14" s="55">
        <f t="shared" si="7"/>
        <v>0</v>
      </c>
      <c r="AA14" s="773">
        <f>D14/F14</f>
        <v>1</v>
      </c>
      <c r="AB14" s="773">
        <f>D14/H14</f>
        <v>1</v>
      </c>
      <c r="AC14" s="773">
        <f>D14/J14</f>
        <v>1</v>
      </c>
    </row>
    <row r="15" spans="1:30" ht="15">
      <c r="A15" s="440" t="s">
        <v>2507</v>
      </c>
      <c r="B15" s="69" t="s">
        <v>2043</v>
      </c>
      <c r="C15" s="2605" t="str">
        <f>估价对象房地状况!C15</f>
        <v>——</v>
      </c>
      <c r="D15" s="441">
        <v>100</v>
      </c>
      <c r="E15" s="442" t="s">
        <v>70</v>
      </c>
      <c r="F15" s="441">
        <f>SUMIF(88:88,E16,89:89)-SUMIF(88:88,C16,89:89)+100</f>
        <v>100</v>
      </c>
      <c r="G15" s="442" t="s">
        <v>70</v>
      </c>
      <c r="H15" s="441">
        <f>SUMIF(88:88,G16,89:89)-SUMIF(88:88,C16,89:89)+100</f>
        <v>100</v>
      </c>
      <c r="I15" s="442" t="s">
        <v>70</v>
      </c>
      <c r="J15" s="441">
        <f>SUMIF(88:88,I16,89:89)-SUMIF(88:88,C16,89:89)+100</f>
        <v>100</v>
      </c>
      <c r="K15" s="673">
        <v>1</v>
      </c>
      <c r="L15" s="1140"/>
      <c r="M15" s="1131"/>
      <c r="N15" s="1131"/>
      <c r="O15" s="1139"/>
      <c r="P15" s="3172" t="s">
        <v>2508</v>
      </c>
      <c r="Q15" s="1809" t="str">
        <f t="shared" si="6"/>
        <v>居住社区成熟度</v>
      </c>
      <c r="R15" s="774" t="s">
        <v>17</v>
      </c>
      <c r="S15" s="775">
        <f t="shared" si="0"/>
        <v>100</v>
      </c>
      <c r="T15" s="774" t="s">
        <v>17</v>
      </c>
      <c r="U15" s="775">
        <f t="shared" si="1"/>
        <v>100</v>
      </c>
      <c r="V15" s="774" t="s">
        <v>17</v>
      </c>
      <c r="W15" s="775">
        <f t="shared" si="2"/>
        <v>100</v>
      </c>
      <c r="X15" s="1812"/>
      <c r="Y15" s="3172" t="s">
        <v>2508</v>
      </c>
      <c r="Z15" s="1813" t="str">
        <f t="shared" si="7"/>
        <v>居住社区成熟度</v>
      </c>
      <c r="AA15" s="1810">
        <f t="shared" si="3"/>
        <v>1</v>
      </c>
      <c r="AB15" s="1810">
        <f t="shared" si="4"/>
        <v>1</v>
      </c>
      <c r="AC15" s="1810">
        <f t="shared" si="5"/>
        <v>1</v>
      </c>
    </row>
    <row r="16" spans="1:30" ht="15">
      <c r="A16" s="428"/>
      <c r="B16" s="446"/>
      <c r="C16" s="447" t="s">
        <v>3162</v>
      </c>
      <c r="D16" s="448"/>
      <c r="E16" s="2607" t="s">
        <v>3162</v>
      </c>
      <c r="F16" s="448"/>
      <c r="G16" s="2607" t="s">
        <v>3162</v>
      </c>
      <c r="H16" s="450"/>
      <c r="I16" s="2607" t="s">
        <v>3162</v>
      </c>
      <c r="J16" s="448"/>
      <c r="K16" s="672"/>
      <c r="L16" s="1140"/>
      <c r="M16" s="1131"/>
      <c r="N16" s="1131"/>
      <c r="O16" s="1139"/>
      <c r="P16" s="3173"/>
      <c r="Q16" s="1809"/>
      <c r="R16" s="774"/>
      <c r="S16" s="775"/>
      <c r="T16" s="774"/>
      <c r="U16" s="775"/>
      <c r="V16" s="774"/>
      <c r="W16" s="775"/>
      <c r="X16" s="1812"/>
      <c r="Y16" s="3173"/>
      <c r="Z16" s="1813"/>
      <c r="AA16" s="1810">
        <v>1</v>
      </c>
      <c r="AB16" s="1810">
        <v>1</v>
      </c>
      <c r="AC16" s="1810">
        <v>1</v>
      </c>
    </row>
    <row r="17" spans="1:29" ht="85.5">
      <c r="A17" s="428"/>
      <c r="B17" s="451" t="s">
        <v>2601</v>
      </c>
      <c r="C17" s="2666" t="str">
        <f>估价对象房地状况!C16</f>
        <v>估价对象位于经济开发区，周边商业氛围成熟度一般，人流量一般，商业繁华度一般</v>
      </c>
      <c r="D17" s="450">
        <v>100</v>
      </c>
      <c r="E17" s="452" t="s">
        <v>3151</v>
      </c>
      <c r="F17" s="450">
        <f>SUMIF(90:90,E18,91:91)-SUMIF(90:90,C18,91:91)+100</f>
        <v>100</v>
      </c>
      <c r="G17" s="452" t="s">
        <v>3151</v>
      </c>
      <c r="H17" s="455">
        <f>SUMIF(90:90,G18,91:91)-SUMIF(90:90,C18,91:91)+100</f>
        <v>100</v>
      </c>
      <c r="I17" s="3284" t="s">
        <v>3174</v>
      </c>
      <c r="J17" s="455">
        <f>SUMIF(90:90,I18,91:91)-SUMIF(90:90,C18,91:91)+100</f>
        <v>100</v>
      </c>
      <c r="K17" s="673">
        <v>1</v>
      </c>
      <c r="L17" s="1140"/>
      <c r="M17" s="1131"/>
      <c r="N17" s="1131"/>
      <c r="O17" s="1139"/>
      <c r="P17" s="3173"/>
      <c r="Q17" s="1809" t="str">
        <f>B17</f>
        <v>商业繁华度</v>
      </c>
      <c r="R17" s="774" t="s">
        <v>17</v>
      </c>
      <c r="S17" s="775">
        <f>F17</f>
        <v>100</v>
      </c>
      <c r="T17" s="774" t="s">
        <v>17</v>
      </c>
      <c r="U17" s="775">
        <f>H17</f>
        <v>100</v>
      </c>
      <c r="V17" s="774" t="s">
        <v>17</v>
      </c>
      <c r="W17" s="775">
        <f>J17</f>
        <v>100</v>
      </c>
      <c r="X17" s="1812"/>
      <c r="Y17" s="3173"/>
      <c r="Z17" s="1813" t="str">
        <f>Q17</f>
        <v>商业繁华度</v>
      </c>
      <c r="AA17" s="1810">
        <f t="shared" si="3"/>
        <v>1</v>
      </c>
      <c r="AB17" s="1810">
        <f t="shared" si="4"/>
        <v>1</v>
      </c>
      <c r="AC17" s="1810">
        <f t="shared" si="5"/>
        <v>1</v>
      </c>
    </row>
    <row r="18" spans="1:29" ht="15">
      <c r="A18" s="428"/>
      <c r="B18" s="456"/>
      <c r="C18" s="2610" t="s">
        <v>3163</v>
      </c>
      <c r="D18" s="450"/>
      <c r="E18" s="2612" t="s">
        <v>3163</v>
      </c>
      <c r="F18" s="450"/>
      <c r="G18" s="2612" t="s">
        <v>3163</v>
      </c>
      <c r="H18" s="448"/>
      <c r="I18" s="2612" t="s">
        <v>3163</v>
      </c>
      <c r="J18" s="448"/>
      <c r="K18" s="672"/>
      <c r="L18" s="1140"/>
      <c r="M18" s="1131"/>
      <c r="N18" s="1131"/>
      <c r="O18" s="1139"/>
      <c r="P18" s="3173"/>
      <c r="Q18" s="1809"/>
      <c r="R18" s="774"/>
      <c r="S18" s="775"/>
      <c r="T18" s="774"/>
      <c r="U18" s="775"/>
      <c r="V18" s="774"/>
      <c r="W18" s="775"/>
      <c r="X18" s="1812"/>
      <c r="Y18" s="3173"/>
      <c r="Z18" s="1813"/>
      <c r="AA18" s="1810">
        <v>1</v>
      </c>
      <c r="AB18" s="1810">
        <v>1</v>
      </c>
      <c r="AC18" s="1810">
        <v>1</v>
      </c>
    </row>
    <row r="19" spans="1:29" ht="99.75">
      <c r="A19" s="428"/>
      <c r="B19" s="451" t="s">
        <v>2635</v>
      </c>
      <c r="C19" s="2666" t="str">
        <f>估价对象房地状况!C17</f>
        <v>估价对象位于经济开发区，周边办公楼项目较多，有中荣科技大厦等，入驻率高，办公集聚程度较好</v>
      </c>
      <c r="D19" s="455">
        <v>100</v>
      </c>
      <c r="E19" s="457" t="s">
        <v>3153</v>
      </c>
      <c r="F19" s="455">
        <f>SUMIF(92:92,E20,93:93)-SUMIF(92:92,C20,93:93)+100</f>
        <v>100</v>
      </c>
      <c r="G19" s="457" t="s">
        <v>3153</v>
      </c>
      <c r="H19" s="450">
        <f>SUMIF(92:92,G20,93:93)-SUMIF(92:92,C20,93:93)+100</f>
        <v>100</v>
      </c>
      <c r="I19" s="3296" t="s">
        <v>3175</v>
      </c>
      <c r="J19" s="450">
        <f>SUMIF(92:92,I20,93:93)-SUMIF(92:92,C20,93:93)+100</f>
        <v>98</v>
      </c>
      <c r="K19" s="673">
        <v>2</v>
      </c>
      <c r="L19" s="1140"/>
      <c r="M19" s="1131"/>
      <c r="N19" s="1131"/>
      <c r="O19" s="1139"/>
      <c r="P19" s="3173"/>
      <c r="Q19" s="1809" t="str">
        <f>B19</f>
        <v>办公集聚程度</v>
      </c>
      <c r="R19" s="774" t="s">
        <v>17</v>
      </c>
      <c r="S19" s="775">
        <f>F19</f>
        <v>100</v>
      </c>
      <c r="T19" s="774" t="s">
        <v>17</v>
      </c>
      <c r="U19" s="775">
        <f>H19</f>
        <v>100</v>
      </c>
      <c r="V19" s="774" t="s">
        <v>17</v>
      </c>
      <c r="W19" s="775">
        <f>J19</f>
        <v>98</v>
      </c>
      <c r="X19" s="1812"/>
      <c r="Y19" s="3173"/>
      <c r="Z19" s="1813" t="str">
        <f>Q19</f>
        <v>办公集聚程度</v>
      </c>
      <c r="AA19" s="1810">
        <f t="shared" si="3"/>
        <v>1</v>
      </c>
      <c r="AB19" s="1810">
        <f t="shared" si="4"/>
        <v>1</v>
      </c>
      <c r="AC19" s="1810">
        <f t="shared" si="5"/>
        <v>1.0204081632653061</v>
      </c>
    </row>
    <row r="20" spans="1:29" ht="15">
      <c r="A20" s="428"/>
      <c r="B20" s="456"/>
      <c r="C20" s="447" t="s">
        <v>3131</v>
      </c>
      <c r="D20" s="448"/>
      <c r="E20" s="2607" t="s">
        <v>3131</v>
      </c>
      <c r="F20" s="448"/>
      <c r="G20" s="2607" t="s">
        <v>3131</v>
      </c>
      <c r="H20" s="448"/>
      <c r="I20" s="2607" t="s">
        <v>3163</v>
      </c>
      <c r="J20" s="448"/>
      <c r="K20" s="672"/>
      <c r="L20" s="1140"/>
      <c r="M20" s="1131"/>
      <c r="N20" s="1131"/>
      <c r="O20" s="1139"/>
      <c r="P20" s="3173"/>
      <c r="Q20" s="1809"/>
      <c r="R20" s="774"/>
      <c r="S20" s="775"/>
      <c r="T20" s="774"/>
      <c r="U20" s="775"/>
      <c r="V20" s="774"/>
      <c r="W20" s="775"/>
      <c r="X20" s="1812"/>
      <c r="Y20" s="3173"/>
      <c r="Z20" s="1813"/>
      <c r="AA20" s="1810">
        <v>1</v>
      </c>
      <c r="AB20" s="1810">
        <v>1</v>
      </c>
      <c r="AC20" s="1810">
        <v>1</v>
      </c>
    </row>
    <row r="21" spans="1:29" ht="135">
      <c r="A21" s="428"/>
      <c r="B21" s="451" t="s">
        <v>2657</v>
      </c>
      <c r="C21" s="2609" t="str">
        <f>估价对象房地状况!C18</f>
        <v>估价对象周边道路状况一般、公共交通通达情况一般、停车便捷程度一般，周边有开发区2路等公交线路，综合评价交通便捷度一般</v>
      </c>
      <c r="D21" s="450">
        <v>100</v>
      </c>
      <c r="E21" s="3284" t="s">
        <v>3170</v>
      </c>
      <c r="F21" s="455">
        <f>SUMIF(94:94,E22,95:95)-SUMIF(94:94,C22,95:95)+100</f>
        <v>101</v>
      </c>
      <c r="G21" s="3284" t="s">
        <v>3170</v>
      </c>
      <c r="H21" s="450">
        <f>SUMIF(94:94,G22,95:95)-SUMIF(94:94,C22,95:95)+100</f>
        <v>101</v>
      </c>
      <c r="I21" s="452" t="s">
        <v>3173</v>
      </c>
      <c r="J21" s="450">
        <f>SUMIF(94:94,I22,95:95)-SUMIF(94:94,C22,95:95)+100</f>
        <v>100</v>
      </c>
      <c r="K21" s="673">
        <v>1</v>
      </c>
      <c r="L21" s="1140"/>
      <c r="M21" s="1131"/>
      <c r="N21" s="1131"/>
      <c r="O21" s="1139"/>
      <c r="P21" s="3173"/>
      <c r="Q21" s="1809" t="str">
        <f>B21</f>
        <v>交通便捷度</v>
      </c>
      <c r="R21" s="774" t="s">
        <v>17</v>
      </c>
      <c r="S21" s="775">
        <f>F21</f>
        <v>101</v>
      </c>
      <c r="T21" s="774" t="s">
        <v>17</v>
      </c>
      <c r="U21" s="775">
        <f>H21</f>
        <v>101</v>
      </c>
      <c r="V21" s="774" t="s">
        <v>17</v>
      </c>
      <c r="W21" s="775">
        <f>J21</f>
        <v>100</v>
      </c>
      <c r="X21" s="1812"/>
      <c r="Y21" s="3173"/>
      <c r="Z21" s="1813" t="str">
        <f>Q21</f>
        <v>交通便捷度</v>
      </c>
      <c r="AA21" s="1810">
        <f t="shared" si="3"/>
        <v>0.99009900990099009</v>
      </c>
      <c r="AB21" s="1810">
        <f t="shared" si="4"/>
        <v>0.99009900990099009</v>
      </c>
      <c r="AC21" s="1810">
        <f t="shared" si="5"/>
        <v>1</v>
      </c>
    </row>
    <row r="22" spans="1:29" ht="15">
      <c r="A22" s="428"/>
      <c r="B22" s="1384"/>
      <c r="C22" s="447" t="s">
        <v>3163</v>
      </c>
      <c r="D22" s="450"/>
      <c r="E22" s="2607" t="s">
        <v>3131</v>
      </c>
      <c r="F22" s="448"/>
      <c r="G22" s="2607" t="s">
        <v>3131</v>
      </c>
      <c r="H22" s="448"/>
      <c r="I22" s="2607" t="s">
        <v>3163</v>
      </c>
      <c r="J22" s="448"/>
      <c r="K22" s="672"/>
      <c r="L22" s="1140"/>
      <c r="M22" s="1131"/>
      <c r="N22" s="1131"/>
      <c r="O22" s="1139"/>
      <c r="P22" s="3173"/>
      <c r="Q22" s="1809"/>
      <c r="R22" s="774"/>
      <c r="S22" s="775"/>
      <c r="T22" s="774"/>
      <c r="U22" s="775"/>
      <c r="V22" s="774"/>
      <c r="W22" s="775"/>
      <c r="X22" s="1812"/>
      <c r="Y22" s="3173"/>
      <c r="Z22" s="1813"/>
      <c r="AA22" s="1810">
        <v>1</v>
      </c>
      <c r="AB22" s="1810">
        <v>1</v>
      </c>
      <c r="AC22" s="1810">
        <v>1</v>
      </c>
    </row>
    <row r="23" spans="1:29" ht="15">
      <c r="A23" s="404"/>
      <c r="B23" s="451" t="s">
        <v>2695</v>
      </c>
      <c r="C23" s="1389" t="str">
        <f>估价对象房地状况!C19</f>
        <v>较一致</v>
      </c>
      <c r="D23" s="455">
        <v>100</v>
      </c>
      <c r="E23" s="452" t="s">
        <v>3049</v>
      </c>
      <c r="F23" s="455">
        <f>SUMIF(96:96,E24,97:97)-SUMIF(96:96,C24,97:97)+100</f>
        <v>100</v>
      </c>
      <c r="G23" s="452" t="s">
        <v>3049</v>
      </c>
      <c r="H23" s="455">
        <f>SUMIF(96:96,G24,97:97)-SUMIF(96:96,C24,97:97)+100</f>
        <v>100</v>
      </c>
      <c r="I23" s="452" t="s">
        <v>3049</v>
      </c>
      <c r="J23" s="455">
        <f>SUMIF(96:96,I24,97:97)-SUMIF(96:96,C24,97:97)+100</f>
        <v>100</v>
      </c>
      <c r="K23" s="673">
        <v>1</v>
      </c>
      <c r="L23" s="1140"/>
      <c r="M23" s="1131"/>
      <c r="N23" s="1131"/>
      <c r="O23" s="1139"/>
      <c r="P23" s="3173"/>
      <c r="Q23" s="1809" t="str">
        <f t="shared" ref="Q23:Q37" si="8">B23</f>
        <v>区域土地利用方向</v>
      </c>
      <c r="R23" s="774" t="s">
        <v>17</v>
      </c>
      <c r="S23" s="775">
        <f>F23</f>
        <v>100</v>
      </c>
      <c r="T23" s="774" t="s">
        <v>17</v>
      </c>
      <c r="U23" s="775">
        <f>H23</f>
        <v>100</v>
      </c>
      <c r="V23" s="774" t="s">
        <v>17</v>
      </c>
      <c r="W23" s="775">
        <f>J23</f>
        <v>100</v>
      </c>
      <c r="X23" s="1812"/>
      <c r="Y23" s="3173"/>
      <c r="Z23" s="1813" t="str">
        <f>Q23</f>
        <v>区域土地利用方向</v>
      </c>
      <c r="AA23" s="1810">
        <f t="shared" si="3"/>
        <v>1</v>
      </c>
      <c r="AB23" s="1810">
        <f t="shared" si="4"/>
        <v>1</v>
      </c>
      <c r="AC23" s="1810">
        <f t="shared" si="5"/>
        <v>1</v>
      </c>
    </row>
    <row r="24" spans="1:29" ht="15">
      <c r="A24" s="404"/>
      <c r="B24" s="456"/>
      <c r="C24" s="616" t="s">
        <v>3131</v>
      </c>
      <c r="D24" s="448"/>
      <c r="E24" s="2607" t="s">
        <v>3131</v>
      </c>
      <c r="F24" s="448"/>
      <c r="G24" s="2607" t="s">
        <v>3131</v>
      </c>
      <c r="H24" s="448"/>
      <c r="I24" s="2607" t="s">
        <v>3131</v>
      </c>
      <c r="J24" s="448"/>
      <c r="K24" s="809"/>
      <c r="L24" s="1140"/>
      <c r="M24" s="1131"/>
      <c r="N24" s="1131"/>
      <c r="O24" s="1139"/>
      <c r="P24" s="3173"/>
      <c r="Q24" s="1809"/>
      <c r="R24" s="774"/>
      <c r="S24" s="775"/>
      <c r="T24" s="774"/>
      <c r="U24" s="775"/>
      <c r="V24" s="774"/>
      <c r="W24" s="775"/>
      <c r="X24" s="1812"/>
      <c r="Y24" s="3173"/>
      <c r="Z24" s="1813"/>
      <c r="AA24" s="1810"/>
      <c r="AB24" s="1810"/>
      <c r="AC24" s="1810"/>
    </row>
    <row r="25" spans="1:29" ht="57">
      <c r="A25" s="404"/>
      <c r="B25" s="1384" t="s">
        <v>2696</v>
      </c>
      <c r="C25" s="2666" t="str">
        <f>估价对象房地状况!C20</f>
        <v>区域自然环境一般；人文环境一般；综合评价环境状况一般</v>
      </c>
      <c r="D25" s="450">
        <v>100</v>
      </c>
      <c r="E25" s="452" t="s">
        <v>3158</v>
      </c>
      <c r="F25" s="450">
        <f>SUMIF(98:98,E26,99:99)-SUMIF(98:98,C26,99:99)+100</f>
        <v>100</v>
      </c>
      <c r="G25" s="452" t="s">
        <v>3158</v>
      </c>
      <c r="H25" s="450">
        <f>SUMIF(98:98,G26,99:99)-SUMIF(98:98,C26,99:99)+100</f>
        <v>100</v>
      </c>
      <c r="I25" s="452" t="s">
        <v>3158</v>
      </c>
      <c r="J25" s="450">
        <f>SUMIF(98:98,I26,99:99)-SUMIF(98:98,C26,99:99)+100</f>
        <v>100</v>
      </c>
      <c r="K25" s="673">
        <v>1</v>
      </c>
      <c r="L25" s="1140"/>
      <c r="M25" s="1131"/>
      <c r="N25" s="1131"/>
      <c r="O25" s="1139"/>
      <c r="P25" s="3173"/>
      <c r="Q25" s="1809" t="str">
        <f t="shared" si="8"/>
        <v>自然及人文环境状况</v>
      </c>
      <c r="R25" s="774" t="s">
        <v>17</v>
      </c>
      <c r="S25" s="775">
        <f>F25</f>
        <v>100</v>
      </c>
      <c r="T25" s="774" t="s">
        <v>17</v>
      </c>
      <c r="U25" s="775">
        <f>H25</f>
        <v>100</v>
      </c>
      <c r="V25" s="774" t="s">
        <v>17</v>
      </c>
      <c r="W25" s="775">
        <f>J25</f>
        <v>100</v>
      </c>
      <c r="X25" s="1812"/>
      <c r="Y25" s="3173"/>
      <c r="Z25" s="1813" t="str">
        <f>Q25</f>
        <v>自然及人文环境状况</v>
      </c>
      <c r="AA25" s="1810">
        <f t="shared" si="3"/>
        <v>1</v>
      </c>
      <c r="AB25" s="1810">
        <f t="shared" si="4"/>
        <v>1</v>
      </c>
      <c r="AC25" s="1810">
        <f t="shared" si="5"/>
        <v>1</v>
      </c>
    </row>
    <row r="26" spans="1:29" ht="15">
      <c r="A26" s="404"/>
      <c r="B26" s="456"/>
      <c r="C26" s="447" t="s">
        <v>3163</v>
      </c>
      <c r="D26" s="448"/>
      <c r="E26" s="2613" t="s">
        <v>3163</v>
      </c>
      <c r="F26" s="448"/>
      <c r="G26" s="2613" t="s">
        <v>3163</v>
      </c>
      <c r="H26" s="448"/>
      <c r="I26" s="2613" t="s">
        <v>3163</v>
      </c>
      <c r="J26" s="448"/>
      <c r="K26" s="672"/>
      <c r="L26" s="1140"/>
      <c r="M26" s="1131"/>
      <c r="N26" s="1131"/>
      <c r="O26" s="1139"/>
      <c r="P26" s="3173"/>
      <c r="Q26" s="1809"/>
      <c r="R26" s="774"/>
      <c r="S26" s="775"/>
      <c r="T26" s="774"/>
      <c r="U26" s="775"/>
      <c r="V26" s="774"/>
      <c r="W26" s="775"/>
      <c r="X26" s="1812"/>
      <c r="Y26" s="3173"/>
      <c r="Z26" s="1813"/>
      <c r="AA26" s="1810">
        <v>1</v>
      </c>
      <c r="AB26" s="1810">
        <v>1</v>
      </c>
      <c r="AC26" s="1810">
        <v>1</v>
      </c>
    </row>
    <row r="27" spans="1:29" s="117" customFormat="1" ht="42.75">
      <c r="A27" s="649"/>
      <c r="B27" s="1384" t="s">
        <v>2602</v>
      </c>
      <c r="C27" s="2609" t="str">
        <f>估价对象房地状况!C21</f>
        <v>估价对象所在区域公共配套设施齐备情况一般</v>
      </c>
      <c r="D27" s="450">
        <v>100</v>
      </c>
      <c r="E27" s="452" t="s">
        <v>3164</v>
      </c>
      <c r="F27" s="450">
        <f>SUMIF(100:100,E28,101:101)-SUMIF(100:100,C28,101:101)+100</f>
        <v>100</v>
      </c>
      <c r="G27" s="452" t="s">
        <v>3164</v>
      </c>
      <c r="H27" s="450">
        <f>SUMIF(100:100,G28,101:101)-SUMIF(100:100,C28,101:101)+100</f>
        <v>100</v>
      </c>
      <c r="I27" s="452" t="s">
        <v>3164</v>
      </c>
      <c r="J27" s="450">
        <f>SUMIF(100:100,I28,101:101)-SUMIF(100:100,C28,101:101)+100</f>
        <v>100</v>
      </c>
      <c r="K27" s="673">
        <v>1</v>
      </c>
      <c r="L27" s="1132"/>
      <c r="M27" s="1133"/>
      <c r="N27" s="1133"/>
      <c r="O27" s="1134"/>
      <c r="P27" s="3173"/>
      <c r="Q27" s="1794" t="str">
        <f t="shared" si="8"/>
        <v>公共配套设施</v>
      </c>
      <c r="R27" s="770" t="s">
        <v>17</v>
      </c>
      <c r="S27" s="771">
        <f>F27</f>
        <v>100</v>
      </c>
      <c r="T27" s="770" t="s">
        <v>17</v>
      </c>
      <c r="U27" s="771">
        <f>H27</f>
        <v>100</v>
      </c>
      <c r="V27" s="770" t="s">
        <v>17</v>
      </c>
      <c r="W27" s="771">
        <f>J27</f>
        <v>100</v>
      </c>
      <c r="X27" s="772"/>
      <c r="Y27" s="3173"/>
      <c r="Z27" s="55" t="str">
        <f>Q27</f>
        <v>公共配套设施</v>
      </c>
      <c r="AA27" s="1810">
        <f>D27/F27</f>
        <v>1</v>
      </c>
      <c r="AB27" s="1810">
        <f>D27/H27</f>
        <v>1</v>
      </c>
      <c r="AC27" s="1810">
        <f>D27/J27</f>
        <v>1</v>
      </c>
    </row>
    <row r="28" spans="1:29" s="117" customFormat="1" ht="15">
      <c r="A28" s="649"/>
      <c r="B28" s="456"/>
      <c r="C28" s="2702" t="s">
        <v>3163</v>
      </c>
      <c r="D28" s="448"/>
      <c r="E28" s="2613" t="s">
        <v>3163</v>
      </c>
      <c r="F28" s="448"/>
      <c r="G28" s="2613" t="s">
        <v>3163</v>
      </c>
      <c r="H28" s="448"/>
      <c r="I28" s="2613" t="s">
        <v>3163</v>
      </c>
      <c r="J28" s="448"/>
      <c r="K28" s="672"/>
      <c r="L28" s="1132"/>
      <c r="M28" s="1133"/>
      <c r="N28" s="1133"/>
      <c r="O28" s="1134"/>
      <c r="P28" s="3173"/>
      <c r="Q28" s="1794"/>
      <c r="R28" s="770"/>
      <c r="S28" s="771"/>
      <c r="T28" s="770"/>
      <c r="U28" s="771"/>
      <c r="V28" s="770"/>
      <c r="W28" s="771"/>
      <c r="X28" s="772"/>
      <c r="Y28" s="3173"/>
      <c r="Z28" s="55"/>
      <c r="AA28" s="1810">
        <v>1</v>
      </c>
      <c r="AB28" s="1810">
        <v>1</v>
      </c>
      <c r="AC28" s="1810">
        <v>1</v>
      </c>
    </row>
    <row r="29" spans="1:29" s="117" customFormat="1" ht="42.75">
      <c r="A29" s="649"/>
      <c r="B29" s="1384" t="s">
        <v>2603</v>
      </c>
      <c r="C29" s="2609" t="str">
        <f>估价对象房地状况!C22</f>
        <v>估价对象所在区域基础设施水平较好</v>
      </c>
      <c r="D29" s="450">
        <v>100</v>
      </c>
      <c r="E29" s="452" t="s">
        <v>3156</v>
      </c>
      <c r="F29" s="450">
        <f>SUMIF(102:102,E30,103:103)-SUMIF(102:102,C30,103:103)+100</f>
        <v>100</v>
      </c>
      <c r="G29" s="452" t="s">
        <v>3156</v>
      </c>
      <c r="H29" s="450">
        <f>SUMIF(102:102,G30,103:103)-SUMIF(102:102,C30,103:103)+100</f>
        <v>100</v>
      </c>
      <c r="I29" s="452" t="s">
        <v>3156</v>
      </c>
      <c r="J29" s="450">
        <f>SUMIF(102:102,I30,103:103)-SUMIF(102:102,C30,103:103)+100</f>
        <v>100</v>
      </c>
      <c r="K29" s="673">
        <v>1</v>
      </c>
      <c r="L29" s="1132"/>
      <c r="M29" s="1133"/>
      <c r="N29" s="1133"/>
      <c r="O29" s="1134"/>
      <c r="P29" s="3173"/>
      <c r="Q29" s="1794" t="str">
        <f t="shared" ref="Q29" si="9">B29</f>
        <v>基础设施水平</v>
      </c>
      <c r="R29" s="770" t="s">
        <v>17</v>
      </c>
      <c r="S29" s="771">
        <f>F29</f>
        <v>100</v>
      </c>
      <c r="T29" s="770" t="s">
        <v>17</v>
      </c>
      <c r="U29" s="771">
        <f>H29</f>
        <v>100</v>
      </c>
      <c r="V29" s="770" t="s">
        <v>17</v>
      </c>
      <c r="W29" s="771">
        <f>J29</f>
        <v>100</v>
      </c>
      <c r="X29" s="772"/>
      <c r="Y29" s="3173"/>
      <c r="Z29" s="55" t="str">
        <f>Q29</f>
        <v>基础设施水平</v>
      </c>
      <c r="AA29" s="1810">
        <f>D29/F29</f>
        <v>1</v>
      </c>
      <c r="AB29" s="1810">
        <f>D29/H29</f>
        <v>1</v>
      </c>
      <c r="AC29" s="1810">
        <f>D29/J29</f>
        <v>1</v>
      </c>
    </row>
    <row r="30" spans="1:29" s="117" customFormat="1" ht="15">
      <c r="A30" s="649"/>
      <c r="B30" s="456"/>
      <c r="C30" s="2702" t="s">
        <v>3133</v>
      </c>
      <c r="D30" s="448"/>
      <c r="E30" s="2703" t="s">
        <v>3133</v>
      </c>
      <c r="F30" s="448"/>
      <c r="G30" s="2703" t="s">
        <v>3133</v>
      </c>
      <c r="H30" s="448"/>
      <c r="I30" s="2703" t="s">
        <v>3133</v>
      </c>
      <c r="J30" s="448"/>
      <c r="K30" s="672"/>
      <c r="L30" s="1132"/>
      <c r="M30" s="1133"/>
      <c r="N30" s="1133"/>
      <c r="O30" s="1134"/>
      <c r="P30" s="3173"/>
      <c r="Q30" s="1794"/>
      <c r="R30" s="770"/>
      <c r="S30" s="771"/>
      <c r="T30" s="770"/>
      <c r="U30" s="771"/>
      <c r="V30" s="770"/>
      <c r="W30" s="771"/>
      <c r="X30" s="772"/>
      <c r="Y30" s="3173"/>
      <c r="Z30" s="55"/>
      <c r="AA30" s="1810">
        <v>1</v>
      </c>
      <c r="AB30" s="1810">
        <v>1</v>
      </c>
      <c r="AC30" s="1810">
        <v>1</v>
      </c>
    </row>
    <row r="31" spans="1:29" ht="15">
      <c r="A31" s="428"/>
      <c r="B31" s="456" t="s">
        <v>2604</v>
      </c>
      <c r="C31" s="616" t="s">
        <v>3051</v>
      </c>
      <c r="D31" s="435">
        <v>100</v>
      </c>
      <c r="E31" s="634" t="s">
        <v>3051</v>
      </c>
      <c r="F31" s="435">
        <f>SUMIF(104:104,E31,105:105)-SUMIF(104:104,C31,105:105)+100</f>
        <v>100</v>
      </c>
      <c r="G31" s="634" t="s">
        <v>3051</v>
      </c>
      <c r="H31" s="435">
        <f>SUMIF(104:104,G31,105:105)-SUMIF(104:104,C31,105:105)+100</f>
        <v>100</v>
      </c>
      <c r="I31" s="634" t="s">
        <v>3051</v>
      </c>
      <c r="J31" s="435">
        <f>SUMIF(104:104,I31,105:105)-SUMIF(104:104,C31,105:105)+100</f>
        <v>100</v>
      </c>
      <c r="K31" s="673">
        <v>1</v>
      </c>
      <c r="L31" s="1140"/>
      <c r="M31" s="1131"/>
      <c r="N31" s="1131"/>
      <c r="O31" s="1139"/>
      <c r="P31" s="3173"/>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3"/>
      <c r="Z31" s="1813" t="str">
        <f t="shared" ref="Z31:Z45" si="13">Q31</f>
        <v>临街状况</v>
      </c>
      <c r="AA31" s="1810">
        <f t="shared" si="3"/>
        <v>1</v>
      </c>
      <c r="AB31" s="1810">
        <f t="shared" si="4"/>
        <v>1</v>
      </c>
      <c r="AC31" s="1810">
        <f t="shared" si="5"/>
        <v>1</v>
      </c>
    </row>
    <row r="32" spans="1:29" ht="28.5">
      <c r="A32" s="428"/>
      <c r="B32" s="1384" t="s">
        <v>2639</v>
      </c>
      <c r="C32" s="3295" t="str">
        <f>估价对象房地状况!C10</f>
        <v>城市主干道-科创五街</v>
      </c>
      <c r="D32" s="450">
        <v>100</v>
      </c>
      <c r="E32" s="3284" t="s">
        <v>3123</v>
      </c>
      <c r="F32" s="450">
        <f>SUMIF(106:106,E33,107:107)-SUMIF(106:106,C33,107:107)+100</f>
        <v>99</v>
      </c>
      <c r="G32" s="3284" t="s">
        <v>3171</v>
      </c>
      <c r="H32" s="450">
        <f>SUMIF(106:106,G33,107:107)-SUMIF(106:106,C33,107:107)+100</f>
        <v>99</v>
      </c>
      <c r="I32" s="3284" t="s">
        <v>3172</v>
      </c>
      <c r="J32" s="450">
        <f>SUMIF(106:106,I33,107:107)-SUMIF(106:106,C33,107:107)+100</f>
        <v>99</v>
      </c>
      <c r="K32" s="673">
        <v>1</v>
      </c>
      <c r="L32" s="1140"/>
      <c r="M32" s="1131"/>
      <c r="N32" s="1131"/>
      <c r="O32" s="1139"/>
      <c r="P32" s="3173"/>
      <c r="Q32" s="1809" t="str">
        <f t="shared" si="8"/>
        <v>毗邻道路的类型与等级</v>
      </c>
      <c r="R32" s="774" t="s">
        <v>17</v>
      </c>
      <c r="S32" s="775">
        <f t="shared" si="10"/>
        <v>99</v>
      </c>
      <c r="T32" s="774" t="s">
        <v>17</v>
      </c>
      <c r="U32" s="775">
        <f t="shared" si="11"/>
        <v>99</v>
      </c>
      <c r="V32" s="774" t="s">
        <v>17</v>
      </c>
      <c r="W32" s="775">
        <f t="shared" si="12"/>
        <v>99</v>
      </c>
      <c r="X32" s="1812"/>
      <c r="Y32" s="3173"/>
      <c r="Z32" s="1813" t="str">
        <f t="shared" si="13"/>
        <v>毗邻道路的类型与等级</v>
      </c>
      <c r="AA32" s="1810">
        <f t="shared" si="3"/>
        <v>1.0101010101010102</v>
      </c>
      <c r="AB32" s="1810">
        <f t="shared" si="4"/>
        <v>1.0101010101010102</v>
      </c>
      <c r="AC32" s="1810">
        <f t="shared" si="5"/>
        <v>1.0101010101010102</v>
      </c>
    </row>
    <row r="33" spans="1:29" ht="15">
      <c r="A33" s="428"/>
      <c r="B33" s="456"/>
      <c r="C33" s="447" t="s">
        <v>3125</v>
      </c>
      <c r="D33" s="448"/>
      <c r="E33" s="2613" t="s">
        <v>3122</v>
      </c>
      <c r="F33" s="448"/>
      <c r="G33" s="2613" t="s">
        <v>3122</v>
      </c>
      <c r="H33" s="448"/>
      <c r="I33" s="447" t="s">
        <v>3122</v>
      </c>
      <c r="J33" s="448"/>
      <c r="K33" s="613"/>
      <c r="L33" s="1140"/>
      <c r="M33" s="1131"/>
      <c r="N33" s="1131"/>
      <c r="O33" s="1139"/>
      <c r="P33" s="3173"/>
      <c r="Q33" s="1809"/>
      <c r="R33" s="774"/>
      <c r="S33" s="775"/>
      <c r="T33" s="774"/>
      <c r="U33" s="775"/>
      <c r="V33" s="774"/>
      <c r="W33" s="775"/>
      <c r="X33" s="1812"/>
      <c r="Y33" s="3173"/>
      <c r="Z33" s="1813"/>
      <c r="AA33" s="1810">
        <v>1</v>
      </c>
      <c r="AB33" s="1810">
        <v>1</v>
      </c>
      <c r="AC33" s="1810">
        <v>1</v>
      </c>
    </row>
    <row r="34" spans="1:29" ht="15">
      <c r="A34" s="428"/>
      <c r="B34" s="422" t="s">
        <v>2697</v>
      </c>
      <c r="C34" s="616" t="s">
        <v>70</v>
      </c>
      <c r="D34" s="435">
        <v>100</v>
      </c>
      <c r="E34" s="634" t="s">
        <v>3124</v>
      </c>
      <c r="F34" s="435">
        <f>SUMIF(108:108,E34,109:109)-SUMIF(108:108,C34,109:109)+100</f>
        <v>100</v>
      </c>
      <c r="G34" s="634" t="s">
        <v>3124</v>
      </c>
      <c r="H34" s="435">
        <f>SUMIF(108:108,G34,109:109)-SUMIF(108:108,C34,109:109)+100</f>
        <v>100</v>
      </c>
      <c r="I34" s="616" t="s">
        <v>3169</v>
      </c>
      <c r="J34" s="435">
        <f>SUMIF(108:108,I34,109:109)-SUMIF(108:108,C34,109:109)+100</f>
        <v>100</v>
      </c>
      <c r="K34" s="612">
        <v>1</v>
      </c>
      <c r="L34" s="1140"/>
      <c r="M34" s="1131"/>
      <c r="N34" s="1131"/>
      <c r="O34" s="1139"/>
      <c r="P34" s="3173"/>
      <c r="Q34" s="1809" t="str">
        <f t="shared" si="8"/>
        <v>土地级别</v>
      </c>
      <c r="R34" s="774" t="s">
        <v>17</v>
      </c>
      <c r="S34" s="775">
        <f t="shared" si="10"/>
        <v>100</v>
      </c>
      <c r="T34" s="774" t="s">
        <v>17</v>
      </c>
      <c r="U34" s="775">
        <f t="shared" si="11"/>
        <v>100</v>
      </c>
      <c r="V34" s="774" t="s">
        <v>17</v>
      </c>
      <c r="W34" s="775">
        <f t="shared" si="12"/>
        <v>100</v>
      </c>
      <c r="X34" s="1812"/>
      <c r="Y34" s="3173"/>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3"/>
      <c r="Q35" s="1809">
        <f t="shared" si="8"/>
        <v>0</v>
      </c>
      <c r="R35" s="774" t="s">
        <v>17</v>
      </c>
      <c r="S35" s="775">
        <f t="shared" si="10"/>
        <v>100</v>
      </c>
      <c r="T35" s="774" t="s">
        <v>17</v>
      </c>
      <c r="U35" s="775">
        <f t="shared" si="11"/>
        <v>100</v>
      </c>
      <c r="V35" s="774" t="s">
        <v>17</v>
      </c>
      <c r="W35" s="775">
        <f t="shared" si="12"/>
        <v>100</v>
      </c>
      <c r="X35" s="1812"/>
      <c r="Y35" s="3173"/>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8" t="s">
        <v>2513</v>
      </c>
      <c r="Q36" s="1809">
        <f t="shared" si="8"/>
        <v>0</v>
      </c>
      <c r="R36" s="774" t="s">
        <v>17</v>
      </c>
      <c r="S36" s="775">
        <f t="shared" si="10"/>
        <v>100</v>
      </c>
      <c r="T36" s="774" t="s">
        <v>17</v>
      </c>
      <c r="U36" s="775">
        <f t="shared" si="11"/>
        <v>100</v>
      </c>
      <c r="V36" s="774" t="s">
        <v>17</v>
      </c>
      <c r="W36" s="775">
        <f t="shared" si="12"/>
        <v>100</v>
      </c>
      <c r="X36" s="1812"/>
      <c r="Y36" s="3177" t="s">
        <v>2513</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7"/>
      <c r="Q37" s="1809">
        <f t="shared" si="8"/>
        <v>0</v>
      </c>
      <c r="R37" s="777" t="s">
        <v>17</v>
      </c>
      <c r="S37" s="778">
        <f t="shared" si="10"/>
        <v>100</v>
      </c>
      <c r="T37" s="777" t="s">
        <v>17</v>
      </c>
      <c r="U37" s="778">
        <f t="shared" si="11"/>
        <v>100</v>
      </c>
      <c r="V37" s="777" t="s">
        <v>17</v>
      </c>
      <c r="W37" s="778">
        <f t="shared" si="12"/>
        <v>100</v>
      </c>
      <c r="X37" s="779"/>
      <c r="Y37" s="3177"/>
      <c r="Z37" s="780">
        <f t="shared" si="13"/>
        <v>0</v>
      </c>
      <c r="AA37" s="1810">
        <f t="shared" si="3"/>
        <v>1</v>
      </c>
      <c r="AB37" s="1810">
        <f t="shared" si="4"/>
        <v>1</v>
      </c>
      <c r="AC37" s="1810">
        <f t="shared" si="5"/>
        <v>1</v>
      </c>
    </row>
    <row r="38" spans="1:29" ht="15">
      <c r="A38" s="472" t="s">
        <v>2511</v>
      </c>
      <c r="B38" s="456" t="s">
        <v>2698</v>
      </c>
      <c r="C38" s="679">
        <f>'数据-汇总表'!D3</f>
        <v>54579.4</v>
      </c>
      <c r="D38" s="467">
        <v>100</v>
      </c>
      <c r="E38" s="679">
        <f>土地案例!F4</f>
        <v>33071.620000000003</v>
      </c>
      <c r="F38" s="467">
        <f>LOOKUP(E38,117:117,118:118)-LOOKUP(C38,117:117,118:118)+100</f>
        <v>99</v>
      </c>
      <c r="G38" s="679">
        <f>土地案例!F5</f>
        <v>66237.2</v>
      </c>
      <c r="H38" s="467">
        <f>LOOKUP(G38,117:117,118:118)-LOOKUP(C38,117:117,118:118)+100</f>
        <v>101</v>
      </c>
      <c r="I38" s="530">
        <f>土地案例!F7</f>
        <v>29183.54</v>
      </c>
      <c r="J38" s="467">
        <f>LOOKUP(I38,117:117,118:118)-LOOKUP(C38,117:117,118:118)+100</f>
        <v>99</v>
      </c>
      <c r="K38" s="613"/>
      <c r="L38" s="1140"/>
      <c r="M38" s="1131"/>
      <c r="N38" s="1131"/>
      <c r="O38" s="1139"/>
      <c r="P38" s="3177"/>
      <c r="Q38" s="1809" t="str">
        <f>B38</f>
        <v>宗地面积</v>
      </c>
      <c r="R38" s="774" t="s">
        <v>17</v>
      </c>
      <c r="S38" s="775">
        <f t="shared" si="10"/>
        <v>99</v>
      </c>
      <c r="T38" s="774" t="s">
        <v>17</v>
      </c>
      <c r="U38" s="775">
        <f t="shared" si="11"/>
        <v>101</v>
      </c>
      <c r="V38" s="774" t="s">
        <v>17</v>
      </c>
      <c r="W38" s="775">
        <f t="shared" si="12"/>
        <v>99</v>
      </c>
      <c r="X38" s="1812"/>
      <c r="Y38" s="3177"/>
      <c r="Z38" s="1813" t="str">
        <f t="shared" si="13"/>
        <v>宗地面积</v>
      </c>
      <c r="AA38" s="1810">
        <f t="shared" si="3"/>
        <v>1.0101010101010102</v>
      </c>
      <c r="AB38" s="1810">
        <f t="shared" si="4"/>
        <v>0.99009900990099009</v>
      </c>
      <c r="AC38" s="1810">
        <f t="shared" si="5"/>
        <v>1.0101010101010102</v>
      </c>
    </row>
    <row r="39" spans="1:29" ht="15">
      <c r="A39" s="472"/>
      <c r="B39" s="422" t="s">
        <v>2699</v>
      </c>
      <c r="C39" s="2615" t="s">
        <v>3129</v>
      </c>
      <c r="D39" s="435">
        <v>100</v>
      </c>
      <c r="E39" s="2615" t="s">
        <v>3129</v>
      </c>
      <c r="F39" s="435">
        <f>SUMIF(119:119,E39,120:120)-SUMIF(119:119,C39,120:120)+100</f>
        <v>100</v>
      </c>
      <c r="G39" s="2615" t="s">
        <v>3129</v>
      </c>
      <c r="H39" s="435">
        <f>SUMIF(119:119,G39,120:120)-SUMIF(119:119,C39,120:120)+100</f>
        <v>100</v>
      </c>
      <c r="I39" s="2615" t="s">
        <v>3129</v>
      </c>
      <c r="J39" s="435">
        <f>SUMIF(119:119,I39,120:120)-SUMIF(119:119,C39,120:120)+100</f>
        <v>100</v>
      </c>
      <c r="K39" s="612">
        <v>1</v>
      </c>
      <c r="L39" s="1140"/>
      <c r="M39" s="1131"/>
      <c r="N39" s="1131"/>
      <c r="O39" s="1139"/>
      <c r="P39" s="3177"/>
      <c r="Q39" s="1809" t="str">
        <f t="shared" ref="Q39:Q45" si="14">B39</f>
        <v>宗地形状</v>
      </c>
      <c r="R39" s="774" t="s">
        <v>17</v>
      </c>
      <c r="S39" s="775">
        <f t="shared" si="10"/>
        <v>100</v>
      </c>
      <c r="T39" s="774" t="s">
        <v>17</v>
      </c>
      <c r="U39" s="775">
        <f t="shared" si="11"/>
        <v>100</v>
      </c>
      <c r="V39" s="774" t="s">
        <v>17</v>
      </c>
      <c r="W39" s="775">
        <f t="shared" si="12"/>
        <v>100</v>
      </c>
      <c r="X39" s="1812"/>
      <c r="Y39" s="3177"/>
      <c r="Z39" s="1813" t="str">
        <f t="shared" si="13"/>
        <v>宗地形状</v>
      </c>
      <c r="AA39" s="1810">
        <f t="shared" si="3"/>
        <v>1</v>
      </c>
      <c r="AB39" s="1810">
        <f t="shared" si="4"/>
        <v>1</v>
      </c>
      <c r="AC39" s="1810">
        <f t="shared" si="5"/>
        <v>1</v>
      </c>
    </row>
    <row r="40" spans="1:29" ht="15">
      <c r="A40" s="472"/>
      <c r="B40" s="422" t="s">
        <v>2700</v>
      </c>
      <c r="C40" s="2615" t="s">
        <v>3131</v>
      </c>
      <c r="D40" s="435">
        <v>100</v>
      </c>
      <c r="E40" s="2615" t="s">
        <v>3131</v>
      </c>
      <c r="F40" s="435">
        <f>SUMIF(121:121,E40,122:122)-SUMIF(121:121,C40,122:122)+100</f>
        <v>100</v>
      </c>
      <c r="G40" s="2615" t="s">
        <v>3131</v>
      </c>
      <c r="H40" s="435">
        <f>SUMIF(121:121,G40,122:122)-SUMIF(121:121,C40,122:122)+100</f>
        <v>100</v>
      </c>
      <c r="I40" s="2615" t="s">
        <v>3131</v>
      </c>
      <c r="J40" s="435">
        <f>SUMIF(121:121,I40,122:122)-SUMIF(121:121,C40,122:122)+100</f>
        <v>100</v>
      </c>
      <c r="K40" s="612">
        <v>1</v>
      </c>
      <c r="L40" s="1140"/>
      <c r="M40" s="1131"/>
      <c r="N40" s="1131"/>
      <c r="O40" s="1139"/>
      <c r="P40" s="3177"/>
      <c r="Q40" s="1809" t="str">
        <f t="shared" si="14"/>
        <v>临街宽度及深度</v>
      </c>
      <c r="R40" s="774" t="s">
        <v>17</v>
      </c>
      <c r="S40" s="775">
        <f t="shared" si="10"/>
        <v>100</v>
      </c>
      <c r="T40" s="774" t="s">
        <v>17</v>
      </c>
      <c r="U40" s="775">
        <f t="shared" si="11"/>
        <v>100</v>
      </c>
      <c r="V40" s="774" t="s">
        <v>17</v>
      </c>
      <c r="W40" s="775">
        <f t="shared" si="12"/>
        <v>100</v>
      </c>
      <c r="X40" s="1812"/>
      <c r="Y40" s="3177"/>
      <c r="Z40" s="1813" t="str">
        <f t="shared" si="13"/>
        <v>临街宽度及深度</v>
      </c>
      <c r="AA40" s="1810">
        <f t="shared" si="3"/>
        <v>1</v>
      </c>
      <c r="AB40" s="1810">
        <f t="shared" si="4"/>
        <v>1</v>
      </c>
      <c r="AC40" s="1810">
        <f t="shared" si="5"/>
        <v>1</v>
      </c>
    </row>
    <row r="41" spans="1:29" s="117" customFormat="1" ht="15">
      <c r="A41" s="473"/>
      <c r="B41" s="422" t="s">
        <v>2701</v>
      </c>
      <c r="C41" s="2704" t="s">
        <v>3133</v>
      </c>
      <c r="D41" s="136">
        <v>100</v>
      </c>
      <c r="E41" s="2704" t="s">
        <v>3133</v>
      </c>
      <c r="F41" s="435">
        <f>SUMIF(123:123,E41,124:124)-SUMIF(123:123,C41,124:124)+100</f>
        <v>100</v>
      </c>
      <c r="G41" s="2704" t="s">
        <v>3133</v>
      </c>
      <c r="H41" s="435">
        <f>SUMIF(123:123,G41,124:124)-SUMIF(123:123,C41,124:124)+100</f>
        <v>100</v>
      </c>
      <c r="I41" s="2704" t="s">
        <v>3133</v>
      </c>
      <c r="J41" s="435">
        <f>SUMIF(123:123,I41,124:124)-SUMIF(123:123,C41,124:124)+100</f>
        <v>100</v>
      </c>
      <c r="K41" s="612">
        <v>1</v>
      </c>
      <c r="L41" s="1132"/>
      <c r="M41" s="1133"/>
      <c r="N41" s="1133"/>
      <c r="O41" s="1134"/>
      <c r="P41" s="3177"/>
      <c r="Q41" s="1809" t="str">
        <f t="shared" si="14"/>
        <v>宗地开发程度</v>
      </c>
      <c r="R41" s="770" t="s">
        <v>17</v>
      </c>
      <c r="S41" s="771">
        <f t="shared" si="10"/>
        <v>100</v>
      </c>
      <c r="T41" s="770" t="s">
        <v>17</v>
      </c>
      <c r="U41" s="771">
        <f t="shared" si="11"/>
        <v>100</v>
      </c>
      <c r="V41" s="770" t="s">
        <v>17</v>
      </c>
      <c r="W41" s="771">
        <f t="shared" si="12"/>
        <v>100</v>
      </c>
      <c r="X41" s="772"/>
      <c r="Y41" s="3177"/>
      <c r="Z41" s="55" t="str">
        <f t="shared" si="13"/>
        <v>宗地开发程度</v>
      </c>
      <c r="AA41" s="773">
        <f t="shared" si="3"/>
        <v>1</v>
      </c>
      <c r="AB41" s="773">
        <f t="shared" si="4"/>
        <v>1</v>
      </c>
      <c r="AC41" s="773">
        <f t="shared" si="5"/>
        <v>1</v>
      </c>
    </row>
    <row r="42" spans="1:29" ht="15">
      <c r="A42" s="472"/>
      <c r="B42" s="422" t="s">
        <v>2702</v>
      </c>
      <c r="C42" s="2615" t="s">
        <v>3131</v>
      </c>
      <c r="D42" s="435">
        <v>100</v>
      </c>
      <c r="E42" s="2615" t="s">
        <v>3131</v>
      </c>
      <c r="F42" s="435">
        <f>SUMIF(125:125,E42,126:126)-SUMIF(125:125,C42,126:126)+100</f>
        <v>100</v>
      </c>
      <c r="G42" s="2615" t="s">
        <v>3131</v>
      </c>
      <c r="H42" s="435">
        <f>SUMIF(125:125,G42,126:126)-SUMIF(125:125,C42,126:126)+100</f>
        <v>100</v>
      </c>
      <c r="I42" s="2615" t="s">
        <v>3131</v>
      </c>
      <c r="J42" s="435">
        <f>SUMIF(125:125,I42,126:126)-SUMIF(125:125,C42,126:126)+100</f>
        <v>100</v>
      </c>
      <c r="K42" s="612">
        <v>1</v>
      </c>
      <c r="L42" s="1140"/>
      <c r="M42" s="1131"/>
      <c r="N42" s="1131"/>
      <c r="O42" s="1139"/>
      <c r="P42" s="3177" t="s">
        <v>2513</v>
      </c>
      <c r="Q42" s="1809" t="str">
        <f t="shared" si="14"/>
        <v>工程地质条件</v>
      </c>
      <c r="R42" s="774" t="s">
        <v>17</v>
      </c>
      <c r="S42" s="775">
        <f t="shared" si="10"/>
        <v>100</v>
      </c>
      <c r="T42" s="774" t="s">
        <v>17</v>
      </c>
      <c r="U42" s="775">
        <f t="shared" si="11"/>
        <v>100</v>
      </c>
      <c r="V42" s="774" t="s">
        <v>17</v>
      </c>
      <c r="W42" s="775">
        <f t="shared" si="12"/>
        <v>100</v>
      </c>
      <c r="X42" s="1812"/>
      <c r="Y42" s="3177" t="s">
        <v>2513</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7"/>
      <c r="Q43" s="1809">
        <f t="shared" si="14"/>
        <v>0</v>
      </c>
      <c r="R43" s="774" t="s">
        <v>17</v>
      </c>
      <c r="S43" s="775">
        <f t="shared" si="10"/>
        <v>100</v>
      </c>
      <c r="T43" s="774" t="s">
        <v>17</v>
      </c>
      <c r="U43" s="775">
        <f t="shared" si="11"/>
        <v>100</v>
      </c>
      <c r="V43" s="774" t="s">
        <v>17</v>
      </c>
      <c r="W43" s="775">
        <f t="shared" si="12"/>
        <v>100</v>
      </c>
      <c r="X43" s="1812"/>
      <c r="Y43" s="3177"/>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7"/>
      <c r="Q44" s="1809">
        <f t="shared" si="14"/>
        <v>0</v>
      </c>
      <c r="R44" s="774" t="s">
        <v>17</v>
      </c>
      <c r="S44" s="775">
        <f t="shared" si="10"/>
        <v>100</v>
      </c>
      <c r="T44" s="774" t="s">
        <v>17</v>
      </c>
      <c r="U44" s="775">
        <f t="shared" si="11"/>
        <v>100</v>
      </c>
      <c r="V44" s="774" t="s">
        <v>17</v>
      </c>
      <c r="W44" s="775">
        <f t="shared" si="12"/>
        <v>100</v>
      </c>
      <c r="X44" s="1812"/>
      <c r="Y44" s="3177"/>
      <c r="Z44" s="1813">
        <f t="shared" si="13"/>
        <v>0</v>
      </c>
      <c r="AA44" s="1810">
        <f t="shared" si="3"/>
        <v>1</v>
      </c>
      <c r="AB44" s="1810">
        <f t="shared" si="4"/>
        <v>1</v>
      </c>
      <c r="AC44" s="1810">
        <f t="shared" si="5"/>
        <v>1</v>
      </c>
    </row>
    <row r="45" spans="1:29" s="471" customFormat="1" ht="15.75" thickBot="1">
      <c r="A45" s="468"/>
      <c r="B45" s="1387"/>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7"/>
      <c r="Q45" s="1809">
        <f t="shared" si="14"/>
        <v>0</v>
      </c>
      <c r="R45" s="777" t="s">
        <v>17</v>
      </c>
      <c r="S45" s="778">
        <f t="shared" si="10"/>
        <v>100</v>
      </c>
      <c r="T45" s="777" t="s">
        <v>17</v>
      </c>
      <c r="U45" s="778">
        <f t="shared" si="11"/>
        <v>100</v>
      </c>
      <c r="V45" s="777" t="s">
        <v>17</v>
      </c>
      <c r="W45" s="778">
        <f t="shared" si="12"/>
        <v>100</v>
      </c>
      <c r="X45" s="779"/>
      <c r="Y45" s="3177"/>
      <c r="Z45" s="780">
        <f t="shared" si="13"/>
        <v>0</v>
      </c>
      <c r="AA45" s="1810">
        <f t="shared" si="3"/>
        <v>1</v>
      </c>
      <c r="AB45" s="1810">
        <f t="shared" si="4"/>
        <v>1</v>
      </c>
      <c r="AC45" s="1810">
        <f t="shared" si="5"/>
        <v>1</v>
      </c>
    </row>
    <row r="46" spans="1:29" ht="15">
      <c r="A46" s="479" t="s">
        <v>2668</v>
      </c>
      <c r="B46" s="2706" t="s">
        <v>2703</v>
      </c>
      <c r="C46" s="682" t="s">
        <v>1</v>
      </c>
      <c r="D46" s="481"/>
      <c r="E46" s="482">
        <f>ROUND(土地案例!I4,0)</f>
        <v>14948</v>
      </c>
      <c r="F46" s="483"/>
      <c r="G46" s="484">
        <f>ROUND(土地案例!I5,0)</f>
        <v>14580</v>
      </c>
      <c r="H46" s="485"/>
      <c r="I46" s="482">
        <f>ROUND(土地案例!I7,0)</f>
        <v>14529</v>
      </c>
      <c r="J46" s="485"/>
      <c r="K46" s="783"/>
      <c r="L46" s="1143"/>
      <c r="M46" s="1144"/>
      <c r="N46" s="1131"/>
      <c r="O46" s="1144"/>
      <c r="P46" s="3170" t="str">
        <f>A46</f>
        <v>成交单价</v>
      </c>
      <c r="Q46" s="3170"/>
      <c r="R46" s="3201">
        <f>E46</f>
        <v>14948</v>
      </c>
      <c r="S46" s="3201"/>
      <c r="T46" s="3201">
        <f>G46</f>
        <v>14580</v>
      </c>
      <c r="U46" s="3201"/>
      <c r="V46" s="3201">
        <f>I46</f>
        <v>14529</v>
      </c>
      <c r="W46" s="3201"/>
      <c r="X46" s="759"/>
      <c r="Y46" s="781"/>
      <c r="Z46" s="759"/>
      <c r="AA46" s="759"/>
      <c r="AB46" s="759"/>
      <c r="AC46" s="759"/>
    </row>
    <row r="47" spans="1:29" ht="15.75" thickBot="1">
      <c r="A47" s="486" t="s">
        <v>2617</v>
      </c>
      <c r="B47" s="683"/>
      <c r="C47" s="490">
        <f>R48</f>
        <v>14635</v>
      </c>
      <c r="D47" s="489"/>
      <c r="E47" s="490">
        <f>R47</f>
        <v>14884</v>
      </c>
      <c r="F47" s="491"/>
      <c r="G47" s="488">
        <f>T47</f>
        <v>14450</v>
      </c>
      <c r="H47" s="489"/>
      <c r="I47" s="490">
        <f>V47</f>
        <v>14571</v>
      </c>
      <c r="J47" s="489"/>
      <c r="K47" s="784"/>
      <c r="L47" s="1143"/>
      <c r="M47" s="1144"/>
      <c r="N47" s="1144"/>
      <c r="O47" s="1144"/>
      <c r="P47" s="3170" t="str">
        <f>A47</f>
        <v>比较价值（元/平方米）</v>
      </c>
      <c r="Q47" s="3170"/>
      <c r="R47" s="3229">
        <f>ROUND(PRODUCT(R46,AA7:AA45),0)</f>
        <v>14884</v>
      </c>
      <c r="S47" s="3229"/>
      <c r="T47" s="3229">
        <f>ROUND(PRODUCT(T46,AB7:AB45),0)</f>
        <v>14450</v>
      </c>
      <c r="U47" s="3229"/>
      <c r="V47" s="3229">
        <f>ROUND(PRODUCT(V46,AC7:AC45),0)</f>
        <v>14571</v>
      </c>
      <c r="W47" s="3229"/>
      <c r="X47" s="759"/>
      <c r="Y47" s="759"/>
      <c r="Z47" s="759"/>
      <c r="AA47" s="759"/>
      <c r="AB47" s="759"/>
      <c r="AC47" s="759"/>
    </row>
    <row r="48" spans="1:29" ht="15.75" thickBot="1">
      <c r="A48" s="492" t="s">
        <v>3148</v>
      </c>
      <c r="B48" s="493"/>
      <c r="C48" s="494">
        <f>R48</f>
        <v>14635</v>
      </c>
      <c r="D48" s="494"/>
      <c r="E48" s="494"/>
      <c r="F48" s="494"/>
      <c r="G48" s="494"/>
      <c r="H48" s="494"/>
      <c r="I48" s="494"/>
      <c r="J48" s="494"/>
      <c r="K48" s="785"/>
      <c r="L48" s="1143"/>
      <c r="M48" s="1144"/>
      <c r="N48" s="1144"/>
      <c r="O48" s="1144"/>
      <c r="P48" s="3167" t="str">
        <f>A48</f>
        <v>估价对象综合、商业用房的比较价值（楼面单价，元/平方米）</v>
      </c>
      <c r="Q48" s="3168"/>
      <c r="R48" s="3230">
        <f>ROUND(AVERAGE(R47:V47),0)</f>
        <v>14635</v>
      </c>
      <c r="S48" s="3230"/>
      <c r="T48" s="3230"/>
      <c r="U48" s="3230"/>
      <c r="V48" s="3230"/>
      <c r="W48" s="323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2619</v>
      </c>
      <c r="D51" s="498"/>
      <c r="E51" s="499">
        <f>IF(E46&lt;E47,E47/E46-1,E46/E47-1)</f>
        <v>4.2999193765116406E-3</v>
      </c>
      <c r="F51" s="500" t="str">
        <f>IF(OR(E51&gt;=0.3,E51&lt;=-0.3),"超过30%","")</f>
        <v/>
      </c>
      <c r="G51" s="499">
        <f>IF(G46&lt;G47,G47/G46-1,G46/G47-1)</f>
        <v>8.996539792387459E-3</v>
      </c>
      <c r="H51" s="500" t="str">
        <f>IF(OR(G51&gt;=0.3,G51&lt;=-0.3),"超过30%","")</f>
        <v/>
      </c>
      <c r="I51" s="499">
        <f>IF(I46&lt;I47,I47/I46-1,I46/I47-1)</f>
        <v>2.8907701837703748E-3</v>
      </c>
      <c r="J51" s="500" t="str">
        <f>IF(OR(I51&gt;=0.3,I51&lt;=-0.3),"超过30%","")</f>
        <v/>
      </c>
      <c r="K51" s="1105"/>
      <c r="L51" s="1106"/>
      <c r="M51" s="1144"/>
      <c r="N51" s="1144"/>
      <c r="O51" s="1144"/>
    </row>
    <row r="52" spans="1:15" ht="13.5" customHeight="1">
      <c r="A52" s="1144"/>
      <c r="B52" s="1144"/>
      <c r="C52" s="497" t="s">
        <v>2620</v>
      </c>
      <c r="D52" s="501"/>
      <c r="E52" s="499">
        <f>IF(E47&lt;G47,G47/E47-1,E47/G47-1)</f>
        <v>3.0034602076124628E-2</v>
      </c>
      <c r="F52" s="500" t="str">
        <f>IF(OR(E52&gt;=0.2,E52&lt;=-0.2),"超过20%","")</f>
        <v/>
      </c>
      <c r="G52" s="499">
        <f>IF(G47&lt;I47,I47/G47-1,G47/I47-1)</f>
        <v>8.3737024221453016E-3</v>
      </c>
      <c r="H52" s="500" t="str">
        <f>IF(OR(G52&gt;=0.2,G52&lt;=-0.2),"超过20%","")</f>
        <v/>
      </c>
      <c r="I52" s="499">
        <f>IF(I47&lt;E47,E47/I47-1,I47/E47-1)</f>
        <v>2.1481023951684941E-2</v>
      </c>
      <c r="J52" s="500" t="str">
        <f>IF(OR(I52&gt;=0.2,I52&lt;=-0.2),"超过20%","")</f>
        <v/>
      </c>
      <c r="K52" s="1105"/>
      <c r="L52" s="1106"/>
      <c r="M52" s="1144"/>
      <c r="N52" s="1144"/>
      <c r="O52" s="1144"/>
    </row>
    <row r="53" spans="1:15" s="502" customFormat="1" ht="13.5" customHeight="1">
      <c r="A53" s="1145"/>
      <c r="B53" s="1145"/>
      <c r="C53" s="497" t="s">
        <v>2621</v>
      </c>
      <c r="D53" s="501"/>
      <c r="E53" s="499">
        <f>IF(E46&lt;G46,G46/E46-1,E46/G46-1)</f>
        <v>2.5240054869684503E-2</v>
      </c>
      <c r="F53" s="500" t="str">
        <f>IF(OR(E53&gt;=0.3,E53&lt;=-0.3),"超过30%","")</f>
        <v/>
      </c>
      <c r="G53" s="499">
        <f>IF(G46&lt;I46,I46/G46-1,G46/I46-1)</f>
        <v>3.5102209374355819E-3</v>
      </c>
      <c r="H53" s="500" t="str">
        <f>IF(OR(G53&gt;=0.3,G53&lt;=-0.3),"超过30%","")</f>
        <v/>
      </c>
      <c r="I53" s="499">
        <f>IF(I46&lt;E46,E46/I46-1,I46/E46-1)</f>
        <v>2.8838873976185564E-2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2704</v>
      </c>
      <c r="B55" s="685" t="s">
        <v>2705</v>
      </c>
      <c r="C55" s="2707" t="s">
        <v>2706</v>
      </c>
      <c r="D55" s="2708" t="s">
        <v>2707</v>
      </c>
      <c r="E55" s="686" t="s">
        <v>2708</v>
      </c>
      <c r="F55" s="1107" t="s">
        <v>2709</v>
      </c>
      <c r="G55" s="3185" t="s">
        <v>2710</v>
      </c>
      <c r="H55" s="3231"/>
      <c r="I55" s="144" t="s">
        <v>2711</v>
      </c>
      <c r="J55" s="2709">
        <f>项目基本情况!F35</f>
        <v>0</v>
      </c>
      <c r="K55" s="2710" t="s">
        <v>2712</v>
      </c>
      <c r="L55" s="1106"/>
      <c r="M55" s="1144"/>
      <c r="N55" s="1144"/>
      <c r="O55" s="1144"/>
    </row>
    <row r="56" spans="1:15" s="692" customFormat="1">
      <c r="A56" s="688" t="s">
        <v>2713</v>
      </c>
      <c r="B56" s="689">
        <f>C48</f>
        <v>14635</v>
      </c>
      <c r="C56" s="690">
        <v>1</v>
      </c>
      <c r="D56" s="1163">
        <v>1</v>
      </c>
      <c r="E56" s="690">
        <f>'数据-汇总表'!E8+'数据-汇总表'!E9</f>
        <v>155771.74000000002</v>
      </c>
      <c r="F56" s="1103">
        <f t="shared" ref="F56:F65" si="15">ROUND(B56*E56/10000,0)</f>
        <v>227972</v>
      </c>
      <c r="G56" s="3181"/>
      <c r="H56" s="3170"/>
      <c r="I56" s="1108">
        <v>1</v>
      </c>
      <c r="J56" s="1111">
        <v>1</v>
      </c>
      <c r="K56" s="1145"/>
      <c r="L56" s="941"/>
      <c r="M56" s="941"/>
      <c r="N56" s="941"/>
      <c r="O56" s="941"/>
    </row>
    <row r="57" spans="1:15" s="692" customFormat="1">
      <c r="A57" s="693" t="s">
        <v>2714</v>
      </c>
      <c r="B57" s="262">
        <f>ROUND($C$48*C57*D57,0)</f>
        <v>2561</v>
      </c>
      <c r="C57" s="200">
        <f t="shared" ref="C57:C65" si="16">IF($C$55="北京市系数",I57,J57)</f>
        <v>0.7</v>
      </c>
      <c r="D57" s="1164">
        <v>0.25</v>
      </c>
      <c r="E57" s="694"/>
      <c r="F57" s="1103">
        <f t="shared" si="15"/>
        <v>0</v>
      </c>
      <c r="G57" s="3232" t="s">
        <v>2715</v>
      </c>
      <c r="H57" s="1104" t="str">
        <f>项目基本情况!B37</f>
        <v>七级</v>
      </c>
      <c r="I57" s="1108">
        <f>SUMIF(修正!A45:A56,H57,修正!B45:B56)</f>
        <v>0.7</v>
      </c>
      <c r="J57" s="1112"/>
      <c r="K57" s="1144"/>
      <c r="L57" s="941"/>
      <c r="M57" s="941"/>
      <c r="N57" s="941"/>
      <c r="O57" s="941"/>
    </row>
    <row r="58" spans="1:15" s="692" customFormat="1">
      <c r="A58" s="693" t="s">
        <v>2716</v>
      </c>
      <c r="B58" s="262">
        <f t="shared" ref="B58:B65" si="17">ROUND($C$48*C58*D58,0)</f>
        <v>1464</v>
      </c>
      <c r="C58" s="200">
        <f t="shared" si="16"/>
        <v>0.4</v>
      </c>
      <c r="D58" s="1164">
        <v>0.25</v>
      </c>
      <c r="E58" s="694"/>
      <c r="F58" s="1103">
        <f t="shared" si="15"/>
        <v>0</v>
      </c>
      <c r="G58" s="3232"/>
      <c r="H58" s="1104" t="str">
        <f>项目基本情况!B37</f>
        <v>七级</v>
      </c>
      <c r="I58" s="1108">
        <f>SUMIF(修正!A45:A56,H58,修正!C45:C56)</f>
        <v>0.4</v>
      </c>
      <c r="J58" s="1112"/>
      <c r="K58" s="1145"/>
      <c r="L58" s="941"/>
      <c r="M58" s="941"/>
      <c r="N58" s="941"/>
      <c r="O58" s="941"/>
    </row>
    <row r="59" spans="1:15" s="692" customFormat="1">
      <c r="A59" s="693" t="s">
        <v>2717</v>
      </c>
      <c r="B59" s="262">
        <f t="shared" si="17"/>
        <v>1024</v>
      </c>
      <c r="C59" s="200">
        <f t="shared" si="16"/>
        <v>0.28000000000000003</v>
      </c>
      <c r="D59" s="1164">
        <v>0.25</v>
      </c>
      <c r="E59" s="694"/>
      <c r="F59" s="1103">
        <f t="shared" si="15"/>
        <v>0</v>
      </c>
      <c r="G59" s="3232"/>
      <c r="H59" s="1104" t="str">
        <f>项目基本情况!B37</f>
        <v>七级</v>
      </c>
      <c r="I59" s="1108">
        <f>SUMIF(修正!A45:A56,H59,修正!D45:D56)</f>
        <v>0.28000000000000003</v>
      </c>
      <c r="J59" s="1112"/>
      <c r="K59" s="1144"/>
      <c r="L59" s="941"/>
      <c r="M59" s="941"/>
      <c r="N59" s="941"/>
      <c r="O59" s="941"/>
    </row>
    <row r="60" spans="1:15" s="692" customFormat="1">
      <c r="A60" s="693" t="s">
        <v>2718</v>
      </c>
      <c r="B60" s="262">
        <f t="shared" si="17"/>
        <v>915</v>
      </c>
      <c r="C60" s="200">
        <f t="shared" si="16"/>
        <v>0.25</v>
      </c>
      <c r="D60" s="1164">
        <v>0.25</v>
      </c>
      <c r="E60" s="694"/>
      <c r="F60" s="1103">
        <f t="shared" si="15"/>
        <v>0</v>
      </c>
      <c r="G60" s="3232"/>
      <c r="H60" s="1104" t="str">
        <f>项目基本情况!B37</f>
        <v>七级</v>
      </c>
      <c r="I60" s="1108">
        <f>SUMIF(修正!A45:A56,H60,修正!E45:E56)</f>
        <v>0.25</v>
      </c>
      <c r="J60" s="1112"/>
      <c r="K60" s="1145"/>
      <c r="L60" s="941"/>
      <c r="M60" s="941"/>
      <c r="N60" s="941"/>
      <c r="O60" s="941"/>
    </row>
    <row r="61" spans="1:15" s="692" customFormat="1">
      <c r="A61" s="693" t="s">
        <v>2719</v>
      </c>
      <c r="B61" s="262">
        <f t="shared" si="17"/>
        <v>915</v>
      </c>
      <c r="C61" s="200">
        <f t="shared" si="16"/>
        <v>0.25</v>
      </c>
      <c r="D61" s="1164">
        <v>0.25</v>
      </c>
      <c r="E61" s="261">
        <f>'数据-汇总表'!E11</f>
        <v>0</v>
      </c>
      <c r="F61" s="1103">
        <f t="shared" si="15"/>
        <v>0</v>
      </c>
      <c r="G61" s="2711" t="s">
        <v>2720</v>
      </c>
      <c r="H61" s="1104" t="str">
        <f>项目基本情况!C37</f>
        <v>七级</v>
      </c>
      <c r="I61" s="1108">
        <f>SUMIF(修正!A45:A56,H61,修正!F45:F56)</f>
        <v>0.25</v>
      </c>
      <c r="J61" s="1112"/>
      <c r="K61" s="1144"/>
      <c r="L61" s="941"/>
      <c r="M61" s="941"/>
      <c r="N61" s="941"/>
      <c r="O61" s="941"/>
    </row>
    <row r="62" spans="1:15" s="692" customFormat="1">
      <c r="A62" s="693" t="s">
        <v>2721</v>
      </c>
      <c r="B62" s="262">
        <f t="shared" si="17"/>
        <v>915</v>
      </c>
      <c r="C62" s="200">
        <f t="shared" si="16"/>
        <v>0.25</v>
      </c>
      <c r="D62" s="1164">
        <v>0.25</v>
      </c>
      <c r="E62" s="261">
        <f>'数据-汇总表'!E12</f>
        <v>0</v>
      </c>
      <c r="F62" s="1103">
        <f t="shared" si="15"/>
        <v>0</v>
      </c>
      <c r="G62" s="1109" t="s">
        <v>2722</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2723</v>
      </c>
      <c r="B63" s="262">
        <f t="shared" si="17"/>
        <v>732</v>
      </c>
      <c r="C63" s="200">
        <f t="shared" si="16"/>
        <v>0.2</v>
      </c>
      <c r="D63" s="1164">
        <v>0.25</v>
      </c>
      <c r="E63" s="261">
        <f>'数据-汇总表'!E13</f>
        <v>69675.600000000006</v>
      </c>
      <c r="F63" s="1103">
        <f t="shared" si="15"/>
        <v>5100</v>
      </c>
      <c r="G63" s="1109" t="s">
        <v>3183</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2725</v>
      </c>
      <c r="B64" s="262">
        <f t="shared" si="17"/>
        <v>732</v>
      </c>
      <c r="C64" s="200">
        <f t="shared" si="16"/>
        <v>0.2</v>
      </c>
      <c r="D64" s="1164">
        <v>0.25</v>
      </c>
      <c r="E64" s="261">
        <f>'数据-汇总表'!E14</f>
        <v>0</v>
      </c>
      <c r="F64" s="1103">
        <f t="shared" si="15"/>
        <v>0</v>
      </c>
      <c r="G64" s="2711" t="s">
        <v>2715</v>
      </c>
      <c r="H64" s="1104" t="str">
        <f>项目基本情况!B37</f>
        <v>七级</v>
      </c>
      <c r="I64" s="1108">
        <f>SUMIF(修正!A45:A56,H64,修正!H45:H56)</f>
        <v>0.2</v>
      </c>
      <c r="J64" s="1112"/>
      <c r="K64" s="1145"/>
      <c r="L64" s="941"/>
      <c r="M64" s="941"/>
      <c r="N64" s="941"/>
      <c r="O64" s="941"/>
    </row>
    <row r="65" spans="1:17" s="692" customFormat="1" ht="15" thickBot="1">
      <c r="A65" s="693" t="s">
        <v>2726</v>
      </c>
      <c r="B65" s="262">
        <f t="shared" si="17"/>
        <v>732</v>
      </c>
      <c r="C65" s="200">
        <f t="shared" si="16"/>
        <v>0.2</v>
      </c>
      <c r="D65" s="1164">
        <v>0.25</v>
      </c>
      <c r="E65" s="261">
        <f>'数据-汇总表'!E15</f>
        <v>0</v>
      </c>
      <c r="F65" s="1103">
        <f t="shared" si="15"/>
        <v>0</v>
      </c>
      <c r="G65" s="2712" t="s">
        <v>2720</v>
      </c>
      <c r="H65" s="1114" t="str">
        <f>项目基本情况!C37</f>
        <v>七级</v>
      </c>
      <c r="I65" s="1110">
        <f>SUMIF(修正!A45:A56,H65,修正!H45:H56)</f>
        <v>0.2</v>
      </c>
      <c r="J65" s="1113"/>
      <c r="K65" s="1144"/>
      <c r="L65" s="941"/>
      <c r="M65" s="941"/>
      <c r="N65" s="941"/>
      <c r="O65" s="941"/>
    </row>
    <row r="66" spans="1:17" s="692" customFormat="1" ht="13.5" thickBot="1">
      <c r="A66" s="695" t="s">
        <v>2727</v>
      </c>
      <c r="B66" s="696" t="s">
        <v>28</v>
      </c>
      <c r="C66" s="696" t="s">
        <v>29</v>
      </c>
      <c r="D66" s="696" t="s">
        <v>1025</v>
      </c>
      <c r="E66" s="696">
        <f>IF(B46="楼面地价",SUM(E56:E65),'数据-汇总表'!D3)</f>
        <v>225447.34000000003</v>
      </c>
      <c r="F66" s="697">
        <f>IF(B46="楼面地价",SUM(F56:F65),ROUND(C48*E66/10000,0))</f>
        <v>233072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2622</v>
      </c>
      <c r="B69" s="759"/>
      <c r="C69" s="764"/>
      <c r="D69" s="764"/>
      <c r="E69" s="764"/>
      <c r="F69" s="765"/>
      <c r="G69" s="765"/>
      <c r="H69" s="764"/>
      <c r="I69" s="764"/>
      <c r="J69" s="1159"/>
      <c r="K69" s="1160"/>
      <c r="L69" s="1161"/>
      <c r="M69" s="1159"/>
      <c r="N69" s="1159"/>
      <c r="O69" s="1159"/>
      <c r="P69" s="503"/>
      <c r="Q69" s="504"/>
    </row>
    <row r="70" spans="1:17" s="508" customFormat="1" ht="15">
      <c r="A70" s="2713" t="s">
        <v>2728</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7"/>
    </row>
    <row r="71" spans="1:17" s="117" customFormat="1" ht="30" customHeight="1">
      <c r="A71" s="2714" t="s">
        <v>2729</v>
      </c>
      <c r="B71" s="332" t="str">
        <f>"北京市平均增长率"&amp;TEXT(SUMIF(基准地价修正!N21:N25,A71,基准地价修正!P21:P25),"0.00%")</f>
        <v>北京市平均增长率2.34%</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2533</v>
      </c>
      <c r="B72" s="516"/>
      <c r="C72" s="517"/>
      <c r="D72" s="518"/>
      <c r="E72" s="518"/>
      <c r="F72" s="518"/>
      <c r="G72" s="518"/>
      <c r="H72" s="518"/>
      <c r="I72" s="518"/>
      <c r="J72" s="518"/>
      <c r="K72" s="518"/>
      <c r="L72" s="518"/>
      <c r="M72" s="519"/>
      <c r="N72" s="518"/>
      <c r="O72" s="1162"/>
      <c r="P72" s="504"/>
      <c r="Q72" s="504"/>
    </row>
    <row r="73" spans="1:17" s="117" customFormat="1" ht="15">
      <c r="A73" s="521" t="s">
        <v>2498</v>
      </c>
      <c r="B73" s="510"/>
      <c r="C73" s="522" t="s">
        <v>2600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2536</v>
      </c>
      <c r="B75" s="528" t="s">
        <v>2502</v>
      </c>
      <c r="C75" s="3289" t="s">
        <v>3139</v>
      </c>
      <c r="D75" s="530" t="s">
        <v>3167</v>
      </c>
      <c r="E75" s="530"/>
      <c r="F75" s="530"/>
      <c r="G75" s="530"/>
      <c r="H75" s="530"/>
      <c r="I75" s="530"/>
      <c r="J75" s="530"/>
      <c r="K75" s="531"/>
      <c r="L75" s="532"/>
      <c r="M75" s="533"/>
      <c r="N75" s="1152"/>
      <c r="O75" s="1152"/>
      <c r="P75" s="45"/>
      <c r="Q75" s="504"/>
    </row>
    <row r="76" spans="1:17" ht="15.75" thickBot="1">
      <c r="A76" s="534"/>
      <c r="B76" s="535"/>
      <c r="C76" s="536">
        <v>100</v>
      </c>
      <c r="D76" s="536">
        <v>99</v>
      </c>
      <c r="E76" s="536"/>
      <c r="F76" s="536"/>
      <c r="G76" s="536"/>
      <c r="H76" s="536"/>
      <c r="I76" s="536"/>
      <c r="J76" s="536"/>
      <c r="K76" s="536"/>
      <c r="L76" s="536"/>
      <c r="M76" s="537"/>
      <c r="N76" s="1153"/>
      <c r="O76" s="1153"/>
      <c r="P76" s="45"/>
      <c r="Q76" s="504"/>
    </row>
    <row r="77" spans="1:17" ht="27.75" thickTop="1">
      <c r="A77" s="534"/>
      <c r="B77" s="538" t="s">
        <v>2505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2506</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5.75" thickTop="1">
      <c r="A82" s="553"/>
      <c r="B82" s="538" t="str">
        <f>B12</f>
        <v>是否自持</v>
      </c>
      <c r="C82" s="3287" t="s">
        <v>3188</v>
      </c>
      <c r="D82" s="3287" t="s">
        <v>3189</v>
      </c>
      <c r="E82" s="554"/>
      <c r="F82" s="554"/>
      <c r="G82" s="554"/>
      <c r="H82" s="555"/>
      <c r="I82" s="555"/>
      <c r="J82" s="555"/>
      <c r="K82" s="555"/>
      <c r="L82" s="556"/>
      <c r="M82" s="557"/>
      <c r="N82" s="1154"/>
      <c r="O82" s="1154"/>
      <c r="P82" s="558"/>
      <c r="Q82" s="559"/>
    </row>
    <row r="83" spans="1:17" s="471" customFormat="1" ht="15.75" thickBot="1">
      <c r="A83" s="553"/>
      <c r="B83" s="543"/>
      <c r="C83" s="560">
        <v>100</v>
      </c>
      <c r="D83" s="536">
        <v>105</v>
      </c>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2507</v>
      </c>
      <c r="B88" s="528" t="s">
        <v>2544</v>
      </c>
      <c r="C88" s="573" t="s">
        <v>2545</v>
      </c>
      <c r="D88" s="573" t="s">
        <v>2546</v>
      </c>
      <c r="E88" s="573" t="s">
        <v>2547</v>
      </c>
      <c r="F88" s="573" t="s">
        <v>2548</v>
      </c>
      <c r="G88" s="573" t="s">
        <v>2549</v>
      </c>
      <c r="H88" s="529"/>
      <c r="I88" s="529"/>
      <c r="J88" s="529"/>
      <c r="K88" s="574"/>
      <c r="L88" s="575"/>
      <c r="M88" s="576"/>
      <c r="N88" s="1152"/>
      <c r="O88" s="1152"/>
      <c r="P88" s="577"/>
      <c r="Q88" s="504"/>
    </row>
    <row r="89" spans="1:17" ht="15.75" thickBot="1">
      <c r="A89" s="534"/>
      <c r="B89" s="543"/>
      <c r="C89" s="544">
        <v>100</v>
      </c>
      <c r="D89" s="544">
        <f>C89-$K15</f>
        <v>99</v>
      </c>
      <c r="E89" s="544">
        <f>D89-$K15</f>
        <v>98</v>
      </c>
      <c r="F89" s="544">
        <f>E89-$K15</f>
        <v>97</v>
      </c>
      <c r="G89" s="544">
        <f>F89-$K15</f>
        <v>96</v>
      </c>
      <c r="H89" s="544"/>
      <c r="I89" s="544"/>
      <c r="J89" s="544"/>
      <c r="K89" s="544"/>
      <c r="L89" s="544"/>
      <c r="M89" s="545"/>
      <c r="N89" s="1153"/>
      <c r="O89" s="1153"/>
      <c r="P89" s="45"/>
      <c r="Q89" s="504"/>
    </row>
    <row r="90" spans="1:17" ht="15.75" thickTop="1">
      <c r="A90" s="534"/>
      <c r="B90" s="538" t="s">
        <v>2730</v>
      </c>
      <c r="C90" s="578" t="s">
        <v>2545</v>
      </c>
      <c r="D90" s="578" t="s">
        <v>2546</v>
      </c>
      <c r="E90" s="578" t="s">
        <v>2547</v>
      </c>
      <c r="F90" s="578" t="s">
        <v>2548</v>
      </c>
      <c r="G90" s="578" t="s">
        <v>2549</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2645</v>
      </c>
      <c r="C92" s="578" t="s">
        <v>2545</v>
      </c>
      <c r="D92" s="578" t="s">
        <v>2546</v>
      </c>
      <c r="E92" s="578" t="s">
        <v>2547</v>
      </c>
      <c r="F92" s="578" t="s">
        <v>2548</v>
      </c>
      <c r="G92" s="578" t="s">
        <v>2549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2550</v>
      </c>
      <c r="C94" s="578" t="s">
        <v>2545</v>
      </c>
      <c r="D94" s="578" t="s">
        <v>2546</v>
      </c>
      <c r="E94" s="578" t="s">
        <v>2547</v>
      </c>
      <c r="F94" s="578" t="s">
        <v>2548</v>
      </c>
      <c r="G94" s="578" t="s">
        <v>2549</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2731</v>
      </c>
      <c r="C96" s="578" t="s">
        <v>2545</v>
      </c>
      <c r="D96" s="578" t="s">
        <v>2546</v>
      </c>
      <c r="E96" s="578" t="s">
        <v>2547</v>
      </c>
      <c r="F96" s="578" t="s">
        <v>2548</v>
      </c>
      <c r="G96" s="578" t="s">
        <v>2549</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2732</v>
      </c>
      <c r="C98" s="573" t="s">
        <v>2545</v>
      </c>
      <c r="D98" s="573" t="s">
        <v>2546</v>
      </c>
      <c r="E98" s="573" t="s">
        <v>2547</v>
      </c>
      <c r="F98" s="573" t="s">
        <v>2548</v>
      </c>
      <c r="G98" s="573" t="s">
        <v>2549</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2602</v>
      </c>
      <c r="C100" s="573" t="s">
        <v>2545</v>
      </c>
      <c r="D100" s="573" t="s">
        <v>2546</v>
      </c>
      <c r="E100" s="573" t="s">
        <v>2547</v>
      </c>
      <c r="F100" s="573" t="s">
        <v>2548</v>
      </c>
      <c r="G100" s="573" t="s">
        <v>2549</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2603</v>
      </c>
      <c r="C102" s="660" t="s">
        <v>2623</v>
      </c>
      <c r="D102" s="660" t="s">
        <v>2624</v>
      </c>
      <c r="E102" s="660" t="s">
        <v>2625</v>
      </c>
      <c r="F102" s="660" t="s">
        <v>2626</v>
      </c>
      <c r="G102" s="660" t="s">
        <v>2627</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2733</v>
      </c>
      <c r="D104" s="539" t="s">
        <v>2734</v>
      </c>
      <c r="E104" s="539" t="s">
        <v>2735</v>
      </c>
      <c r="F104" s="539" t="s">
        <v>2736</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7.75" thickTop="1">
      <c r="A106" s="534"/>
      <c r="B106" s="538" t="s">
        <v>2639</v>
      </c>
      <c r="C106" s="3287" t="s">
        <v>3126</v>
      </c>
      <c r="D106" s="3287" t="s">
        <v>3127</v>
      </c>
      <c r="E106" s="3287" t="s">
        <v>3128</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75" thickTop="1">
      <c r="A108" s="534"/>
      <c r="B108" s="538" t="s">
        <v>2697</v>
      </c>
      <c r="C108" s="583" t="s">
        <v>3124</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5">D109-$K34</f>
        <v>98</v>
      </c>
      <c r="F109" s="544">
        <f t="shared" si="25"/>
        <v>97</v>
      </c>
      <c r="G109" s="544">
        <f t="shared" si="25"/>
        <v>96</v>
      </c>
      <c r="H109" s="544">
        <f t="shared" si="25"/>
        <v>95</v>
      </c>
      <c r="I109" s="544">
        <f t="shared" si="25"/>
        <v>94</v>
      </c>
      <c r="J109" s="544">
        <f t="shared" si="25"/>
        <v>93</v>
      </c>
      <c r="K109" s="544">
        <f t="shared" si="25"/>
        <v>92</v>
      </c>
      <c r="L109" s="544">
        <f t="shared" si="25"/>
        <v>91</v>
      </c>
      <c r="M109" s="544">
        <f t="shared" si="25"/>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2511</v>
      </c>
      <c r="B116" s="528" t="s">
        <v>2737</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20000</v>
      </c>
      <c r="E117" s="595">
        <v>40000</v>
      </c>
      <c r="F117" s="595">
        <v>60000</v>
      </c>
      <c r="G117" s="595">
        <v>80000</v>
      </c>
      <c r="H117" s="595"/>
      <c r="I117" s="595"/>
      <c r="J117" s="596"/>
      <c r="K117" s="596"/>
      <c r="L117" s="597"/>
      <c r="M117" s="598"/>
      <c r="N117" s="1152"/>
      <c r="O117" s="1152"/>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53"/>
      <c r="O118" s="1153"/>
      <c r="P118" s="45"/>
      <c r="Q118" s="504"/>
    </row>
    <row r="119" spans="1:17" ht="15" thickTop="1">
      <c r="A119" s="599"/>
      <c r="B119" s="538" t="s">
        <v>2738</v>
      </c>
      <c r="C119" s="3288" t="s">
        <v>3130</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2739</v>
      </c>
      <c r="C121" s="3287" t="s">
        <v>3132</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2740</v>
      </c>
      <c r="C123" s="3287" t="s">
        <v>3133</v>
      </c>
      <c r="D123" s="554" t="s">
        <v>3134</v>
      </c>
      <c r="E123" s="554" t="s">
        <v>3135</v>
      </c>
      <c r="F123" s="554" t="s">
        <v>3136</v>
      </c>
      <c r="G123" s="554" t="s">
        <v>3137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2741</v>
      </c>
      <c r="C125" s="3287" t="s">
        <v>3132</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671" t="s">
        <v>2634</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IF(C2="——",ROUND(C50*D3/10000,0),ROUND(C50*D3/10000,0)-D2)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IF(C2="——",C50,ROUND(B2*10000/D3,0))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2593</v>
      </c>
      <c r="B4" s="402"/>
      <c r="C4" s="3185" t="s">
        <v>2594</v>
      </c>
      <c r="D4" s="3186"/>
      <c r="E4" s="3187" t="s">
        <v>2595</v>
      </c>
      <c r="F4" s="3188"/>
      <c r="G4" s="3185" t="s">
        <v>2596</v>
      </c>
      <c r="H4" s="3186"/>
      <c r="I4" s="3185" t="s">
        <v>2597</v>
      </c>
      <c r="J4" s="3186"/>
      <c r="K4" s="610" t="s">
        <v>2598</v>
      </c>
      <c r="L4" s="1130"/>
      <c r="M4" s="1131"/>
      <c r="N4" s="1131"/>
      <c r="O4" s="1131"/>
      <c r="P4" s="3219" t="s">
        <v>2599</v>
      </c>
      <c r="Q4" s="3220"/>
      <c r="R4" s="3223" t="s">
        <v>2595</v>
      </c>
      <c r="S4" s="3224"/>
      <c r="T4" s="3223" t="s">
        <v>2596</v>
      </c>
      <c r="U4" s="3224"/>
      <c r="V4" s="3225" t="s">
        <v>2597</v>
      </c>
      <c r="W4" s="3225"/>
      <c r="X4" s="2672"/>
      <c r="Y4" s="3223" t="s">
        <v>2599</v>
      </c>
      <c r="Z4" s="3224"/>
      <c r="AA4" s="3227" t="s">
        <v>2595</v>
      </c>
      <c r="AB4" s="3227" t="s">
        <v>2596</v>
      </c>
      <c r="AC4" s="3216" t="s">
        <v>2597</v>
      </c>
    </row>
    <row r="5" spans="1:29" ht="15">
      <c r="A5" s="404"/>
      <c r="B5" s="405"/>
      <c r="C5" s="3204" t="s">
        <v>2490</v>
      </c>
      <c r="D5" s="3205"/>
      <c r="E5" s="3211" t="s">
        <v>2491</v>
      </c>
      <c r="F5" s="3212"/>
      <c r="G5" s="3204" t="s">
        <v>2492</v>
      </c>
      <c r="H5" s="3205"/>
      <c r="I5" s="3204" t="s">
        <v>2493</v>
      </c>
      <c r="J5" s="3205"/>
      <c r="K5" s="610"/>
      <c r="L5" s="1130"/>
      <c r="M5" s="1131"/>
      <c r="N5" s="1131"/>
      <c r="O5" s="1131"/>
      <c r="P5" s="3221"/>
      <c r="Q5" s="3192"/>
      <c r="R5" s="3197"/>
      <c r="S5" s="3198"/>
      <c r="T5" s="3197"/>
      <c r="U5" s="3198"/>
      <c r="V5" s="3201"/>
      <c r="W5" s="3201"/>
      <c r="X5" s="1812"/>
      <c r="Y5" s="3197"/>
      <c r="Z5" s="3198"/>
      <c r="AA5" s="3183"/>
      <c r="AB5" s="3183"/>
      <c r="AC5" s="3217"/>
    </row>
    <row r="6" spans="1:29" ht="15.75" thickBot="1">
      <c r="A6" s="406"/>
      <c r="B6" s="407"/>
      <c r="C6" s="3202" t="s">
        <v>2494</v>
      </c>
      <c r="D6" s="3203"/>
      <c r="E6" s="3209" t="s">
        <v>2494</v>
      </c>
      <c r="F6" s="3210"/>
      <c r="G6" s="3202" t="s">
        <v>2494</v>
      </c>
      <c r="H6" s="3203"/>
      <c r="I6" s="3202" t="s">
        <v>2494</v>
      </c>
      <c r="J6" s="3203"/>
      <c r="K6" s="610" t="s">
        <v>2495</v>
      </c>
      <c r="L6" s="1130"/>
      <c r="M6" s="1131"/>
      <c r="N6" s="1131"/>
      <c r="O6" s="1131"/>
      <c r="P6" s="3222"/>
      <c r="Q6" s="3194"/>
      <c r="R6" s="3197"/>
      <c r="S6" s="3198"/>
      <c r="T6" s="3199"/>
      <c r="U6" s="3200"/>
      <c r="V6" s="3201"/>
      <c r="W6" s="3201"/>
      <c r="X6" s="1812"/>
      <c r="Y6" s="3199"/>
      <c r="Z6" s="3200"/>
      <c r="AA6" s="3184"/>
      <c r="AB6" s="3184"/>
      <c r="AC6" s="3218"/>
    </row>
    <row r="7" spans="1:29" s="117" customFormat="1" ht="15.75" thickBot="1">
      <c r="A7" s="408" t="s">
        <v>2496</v>
      </c>
      <c r="B7" s="409"/>
      <c r="C7" s="410">
        <f>'数据-取费表'!B2</f>
        <v>43537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6" t="s">
        <v>2497</v>
      </c>
      <c r="Q7" s="3208"/>
      <c r="R7" s="770" t="s">
        <v>17</v>
      </c>
      <c r="S7" s="771">
        <f t="shared" ref="S7:S15" si="0">F7</f>
        <v>0</v>
      </c>
      <c r="T7" s="770" t="s">
        <v>17</v>
      </c>
      <c r="U7" s="771">
        <f t="shared" ref="U7:U15" si="1">H7</f>
        <v>0</v>
      </c>
      <c r="V7" s="770" t="s">
        <v>17</v>
      </c>
      <c r="W7" s="771">
        <f t="shared" ref="W7:W15" si="2">J7</f>
        <v>0</v>
      </c>
      <c r="X7" s="772"/>
      <c r="Y7" s="3206" t="s">
        <v>2497</v>
      </c>
      <c r="Z7" s="3207"/>
      <c r="AA7" s="773" t="e">
        <f>D7/F7</f>
        <v>#DIV/0!</v>
      </c>
      <c r="AB7" s="773" t="e">
        <f>D7/H7</f>
        <v>#DIV/0!</v>
      </c>
      <c r="AC7" s="2673" t="e">
        <f>D7/J7</f>
        <v>#DIV/0!</v>
      </c>
    </row>
    <row r="8" spans="1:29" s="117" customFormat="1" ht="15.75" thickBot="1">
      <c r="A8" s="408" t="s">
        <v>2498</v>
      </c>
      <c r="B8" s="409"/>
      <c r="C8" s="414" t="s">
        <v>2600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6" t="s">
        <v>2500</v>
      </c>
      <c r="Q8" s="3207"/>
      <c r="R8" s="770" t="s">
        <v>17</v>
      </c>
      <c r="S8" s="771">
        <f t="shared" si="0"/>
        <v>0</v>
      </c>
      <c r="T8" s="770" t="s">
        <v>17</v>
      </c>
      <c r="U8" s="771">
        <f t="shared" si="1"/>
        <v>0</v>
      </c>
      <c r="V8" s="770" t="s">
        <v>17</v>
      </c>
      <c r="W8" s="771">
        <f t="shared" si="2"/>
        <v>0</v>
      </c>
      <c r="X8" s="772"/>
      <c r="Y8" s="3206" t="s">
        <v>2500</v>
      </c>
      <c r="Z8" s="3207"/>
      <c r="AA8" s="773" t="e">
        <f t="shared" ref="AA8:AA47" si="3">D8/F8</f>
        <v>#DIV/0!</v>
      </c>
      <c r="AB8" s="773" t="e">
        <f t="shared" ref="AB8:AB47" si="4">D8/H8</f>
        <v>#DIV/0!</v>
      </c>
      <c r="AC8" s="2673" t="e">
        <f t="shared" ref="AC8:AC47" si="5">D8/J8</f>
        <v>#DIV/0!</v>
      </c>
    </row>
    <row r="9" spans="1:29" s="117" customFormat="1">
      <c r="A9" s="415" t="s">
        <v>2501</v>
      </c>
      <c r="B9" s="71" t="s">
        <v>2502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1" t="s">
        <v>2503</v>
      </c>
      <c r="Q9" s="1794" t="str">
        <f t="shared" ref="Q9:Q15" si="6">B9</f>
        <v>用途</v>
      </c>
      <c r="R9" s="770" t="s">
        <v>17</v>
      </c>
      <c r="S9" s="771">
        <f t="shared" si="0"/>
        <v>100</v>
      </c>
      <c r="T9" s="770" t="s">
        <v>17</v>
      </c>
      <c r="U9" s="771">
        <f t="shared" si="1"/>
        <v>100</v>
      </c>
      <c r="V9" s="770" t="s">
        <v>17</v>
      </c>
      <c r="W9" s="771">
        <f t="shared" si="2"/>
        <v>100</v>
      </c>
      <c r="X9" s="772"/>
      <c r="Y9" s="2997" t="s">
        <v>2504</v>
      </c>
      <c r="Z9" s="55" t="str">
        <f t="shared" ref="Z9:Z15" si="7">Q9</f>
        <v>用途</v>
      </c>
      <c r="AA9" s="773">
        <f t="shared" si="3"/>
        <v>1</v>
      </c>
      <c r="AB9" s="773">
        <f t="shared" si="4"/>
        <v>1</v>
      </c>
      <c r="AC9" s="2673">
        <f t="shared" si="5"/>
        <v>1</v>
      </c>
    </row>
    <row r="10" spans="1:29" s="427" customFormat="1" ht="27">
      <c r="A10" s="421"/>
      <c r="B10" s="422" t="s">
        <v>2505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3">
        <f t="shared" si="5"/>
        <v>1</v>
      </c>
    </row>
    <row r="11" spans="1:29" ht="15">
      <c r="A11" s="428"/>
      <c r="B11" s="422" t="s">
        <v>2506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1"/>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1"/>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1"/>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1"/>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3">
        <f t="shared" si="5"/>
        <v>1</v>
      </c>
    </row>
    <row r="15" spans="1:29" ht="71.25">
      <c r="A15" s="440" t="s">
        <v>2507</v>
      </c>
      <c r="B15" s="629" t="s">
        <v>2635</v>
      </c>
      <c r="C15" s="2675" t="str">
        <f>估价对象房地状况!C5</f>
        <v>估价对象位于经济开发区，周边办公楼项目较多，有中荣科技大厦等，入驻率高，办公集聚程度较好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79" t="s">
        <v>2508</v>
      </c>
      <c r="Q15" s="1809" t="str">
        <f t="shared" si="6"/>
        <v>办公集聚程度</v>
      </c>
      <c r="R15" s="774" t="s">
        <v>17</v>
      </c>
      <c r="S15" s="775">
        <f t="shared" si="0"/>
        <v>100</v>
      </c>
      <c r="T15" s="774" t="s">
        <v>17</v>
      </c>
      <c r="U15" s="775">
        <f t="shared" si="1"/>
        <v>100</v>
      </c>
      <c r="V15" s="774" t="s">
        <v>17</v>
      </c>
      <c r="W15" s="775">
        <f t="shared" si="2"/>
        <v>100</v>
      </c>
      <c r="X15" s="1812"/>
      <c r="Y15" s="3172" t="s">
        <v>2508</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180"/>
      <c r="Q16" s="1809"/>
      <c r="R16" s="774"/>
      <c r="S16" s="775"/>
      <c r="T16" s="774"/>
      <c r="U16" s="775"/>
      <c r="V16" s="774"/>
      <c r="W16" s="775"/>
      <c r="X16" s="1812"/>
      <c r="Y16" s="3173"/>
      <c r="Z16" s="1813"/>
      <c r="AA16" s="1810">
        <v>1</v>
      </c>
      <c r="AB16" s="1810">
        <v>1</v>
      </c>
      <c r="AC16" s="2676">
        <v>1</v>
      </c>
    </row>
    <row r="17" spans="1:29" ht="71.25">
      <c r="A17" s="428"/>
      <c r="B17" s="631" t="s">
        <v>2049</v>
      </c>
      <c r="C17" s="2677" t="str">
        <f>估价对象房地状况!C6</f>
        <v>估价对象周边道路状况一般、公共交通通达情况一般、停车便捷程度一般，周边有开发区2路等公交线路，综合评价交通便捷度一般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0"/>
      <c r="Q17" s="1809" t="str">
        <f>B17</f>
        <v>交通便捷度</v>
      </c>
      <c r="R17" s="774" t="s">
        <v>17</v>
      </c>
      <c r="S17" s="775">
        <f>F17</f>
        <v>100</v>
      </c>
      <c r="T17" s="774" t="s">
        <v>17</v>
      </c>
      <c r="U17" s="775">
        <f>H17</f>
        <v>100</v>
      </c>
      <c r="V17" s="774" t="s">
        <v>17</v>
      </c>
      <c r="W17" s="775">
        <f>J17</f>
        <v>100</v>
      </c>
      <c r="X17" s="1812"/>
      <c r="Y17" s="3173"/>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180"/>
      <c r="Q18" s="1809"/>
      <c r="R18" s="774"/>
      <c r="S18" s="775"/>
      <c r="T18" s="774"/>
      <c r="U18" s="775"/>
      <c r="V18" s="774"/>
      <c r="W18" s="775"/>
      <c r="X18" s="1812"/>
      <c r="Y18" s="3173"/>
      <c r="Z18" s="1813"/>
      <c r="AA18" s="1810">
        <v>1</v>
      </c>
      <c r="AB18" s="1810">
        <v>1</v>
      </c>
      <c r="AC18" s="2676">
        <v>1</v>
      </c>
    </row>
    <row r="19" spans="1:29" ht="42.75">
      <c r="A19" s="428"/>
      <c r="B19" s="631" t="s">
        <v>2636</v>
      </c>
      <c r="C19" s="2677"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0"/>
      <c r="Q19" s="1809" t="str">
        <f>B19</f>
        <v>公共配套设施</v>
      </c>
      <c r="R19" s="774" t="s">
        <v>17</v>
      </c>
      <c r="S19" s="775">
        <f>F19</f>
        <v>100</v>
      </c>
      <c r="T19" s="774" t="s">
        <v>17</v>
      </c>
      <c r="U19" s="775">
        <f>H19</f>
        <v>100</v>
      </c>
      <c r="V19" s="774" t="s">
        <v>17</v>
      </c>
      <c r="W19" s="775">
        <f>J19</f>
        <v>100</v>
      </c>
      <c r="X19" s="1812"/>
      <c r="Y19" s="3173"/>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180"/>
      <c r="Q20" s="1809"/>
      <c r="R20" s="774"/>
      <c r="S20" s="775"/>
      <c r="T20" s="774"/>
      <c r="U20" s="775"/>
      <c r="V20" s="774"/>
      <c r="W20" s="775"/>
      <c r="X20" s="1812"/>
      <c r="Y20" s="3173"/>
      <c r="Z20" s="1813"/>
      <c r="AA20" s="1810">
        <v>1</v>
      </c>
      <c r="AB20" s="1810">
        <v>1</v>
      </c>
      <c r="AC20" s="2676">
        <v>1</v>
      </c>
    </row>
    <row r="21" spans="1:29" ht="28.5">
      <c r="A21" s="428"/>
      <c r="B21" s="633" t="s">
        <v>2637</v>
      </c>
      <c r="C21" s="2677"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0"/>
      <c r="Q21" s="1809" t="str">
        <f>B21</f>
        <v>基础设施水平</v>
      </c>
      <c r="R21" s="774" t="s">
        <v>17</v>
      </c>
      <c r="S21" s="775">
        <f>F21</f>
        <v>100</v>
      </c>
      <c r="T21" s="774" t="s">
        <v>17</v>
      </c>
      <c r="U21" s="775">
        <f>H21</f>
        <v>100</v>
      </c>
      <c r="V21" s="774" t="s">
        <v>17</v>
      </c>
      <c r="W21" s="775">
        <f>J21</f>
        <v>100</v>
      </c>
      <c r="X21" s="1812"/>
      <c r="Y21" s="3173"/>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180"/>
      <c r="Q22" s="1809"/>
      <c r="R22" s="774"/>
      <c r="S22" s="775"/>
      <c r="T22" s="774"/>
      <c r="U22" s="775"/>
      <c r="V22" s="774"/>
      <c r="W22" s="775"/>
      <c r="X22" s="1812"/>
      <c r="Y22" s="3173"/>
      <c r="Z22" s="1813"/>
      <c r="AA22" s="1810">
        <v>1</v>
      </c>
      <c r="AB22" s="1810">
        <v>1</v>
      </c>
      <c r="AC22" s="2676">
        <v>1</v>
      </c>
    </row>
    <row r="23" spans="1:29" ht="42.75">
      <c r="A23" s="428"/>
      <c r="B23" s="631" t="s">
        <v>2638</v>
      </c>
      <c r="C23" s="2677" t="str">
        <f>估价对象房地状况!C9</f>
        <v>区域自然环境一般；人文环境一般；综合评价环境状况一般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0"/>
      <c r="Q23" s="1809" t="str">
        <f>B23</f>
        <v>环境质量</v>
      </c>
      <c r="R23" s="774" t="s">
        <v>17</v>
      </c>
      <c r="S23" s="775">
        <f>F23</f>
        <v>100</v>
      </c>
      <c r="T23" s="774" t="s">
        <v>17</v>
      </c>
      <c r="U23" s="775">
        <f>H23</f>
        <v>100</v>
      </c>
      <c r="V23" s="774" t="s">
        <v>17</v>
      </c>
      <c r="W23" s="775">
        <f>J23</f>
        <v>100</v>
      </c>
      <c r="X23" s="1812"/>
      <c r="Y23" s="3173"/>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180"/>
      <c r="Q24" s="1809"/>
      <c r="R24" s="774"/>
      <c r="S24" s="775"/>
      <c r="T24" s="774"/>
      <c r="U24" s="775"/>
      <c r="V24" s="774"/>
      <c r="W24" s="775"/>
      <c r="X24" s="1812"/>
      <c r="Y24" s="3173"/>
      <c r="Z24" s="1813"/>
      <c r="AA24" s="1810">
        <v>1</v>
      </c>
      <c r="AB24" s="1810">
        <v>1</v>
      </c>
      <c r="AC24" s="2676">
        <v>1</v>
      </c>
    </row>
    <row r="25" spans="1:29" ht="27">
      <c r="A25" s="404"/>
      <c r="B25" s="631" t="s">
        <v>2639</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180"/>
      <c r="Q25" s="1809" t="str">
        <f>B25</f>
        <v>毗邻道路的类型与等级</v>
      </c>
      <c r="R25" s="774" t="s">
        <v>17</v>
      </c>
      <c r="S25" s="775">
        <f>F25</f>
        <v>100</v>
      </c>
      <c r="T25" s="774" t="s">
        <v>17</v>
      </c>
      <c r="U25" s="775">
        <f>H25</f>
        <v>100</v>
      </c>
      <c r="V25" s="774" t="s">
        <v>17</v>
      </c>
      <c r="W25" s="775">
        <f>J25</f>
        <v>100</v>
      </c>
      <c r="X25" s="1812"/>
      <c r="Y25" s="3173"/>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180"/>
      <c r="Q26" s="1809"/>
      <c r="R26" s="774"/>
      <c r="S26" s="775"/>
      <c r="T26" s="774"/>
      <c r="U26" s="775"/>
      <c r="V26" s="774"/>
      <c r="W26" s="775"/>
      <c r="X26" s="1812"/>
      <c r="Y26" s="3173"/>
      <c r="Z26" s="1813"/>
      <c r="AA26" s="1810">
        <v>1</v>
      </c>
      <c r="AB26" s="1810">
        <v>1</v>
      </c>
      <c r="AC26" s="2676">
        <v>1</v>
      </c>
    </row>
    <row r="27" spans="1:29" ht="15">
      <c r="A27" s="428"/>
      <c r="B27" s="632" t="s">
        <v>2607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0"/>
      <c r="Q27" s="1809" t="str">
        <f t="shared" ref="Q27:Q47" si="11">B27</f>
        <v>楼层</v>
      </c>
      <c r="R27" s="774" t="s">
        <v>17</v>
      </c>
      <c r="S27" s="775">
        <f>F27</f>
        <v>100</v>
      </c>
      <c r="T27" s="774" t="s">
        <v>17</v>
      </c>
      <c r="U27" s="775">
        <f>H27</f>
        <v>100</v>
      </c>
      <c r="V27" s="774" t="s">
        <v>17</v>
      </c>
      <c r="W27" s="775">
        <f>J27</f>
        <v>100</v>
      </c>
      <c r="X27" s="1812"/>
      <c r="Y27" s="3173"/>
      <c r="Z27" s="1813" t="str">
        <f>Q27</f>
        <v>楼层</v>
      </c>
      <c r="AA27" s="1810">
        <f t="shared" si="3"/>
        <v>1</v>
      </c>
      <c r="AB27" s="1810">
        <f t="shared" si="4"/>
        <v>1</v>
      </c>
      <c r="AC27" s="2676">
        <f t="shared" si="5"/>
        <v>1</v>
      </c>
    </row>
    <row r="28" spans="1:29" s="117" customFormat="1" ht="15">
      <c r="A28" s="431"/>
      <c r="B28" s="631" t="s">
        <v>2640</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180"/>
      <c r="Q28" s="1794" t="str">
        <f t="shared" si="11"/>
        <v>朝向</v>
      </c>
      <c r="R28" s="770" t="s">
        <v>17</v>
      </c>
      <c r="S28" s="771">
        <f>F28</f>
        <v>100</v>
      </c>
      <c r="T28" s="770" t="s">
        <v>17</v>
      </c>
      <c r="U28" s="771">
        <f>H28</f>
        <v>100</v>
      </c>
      <c r="V28" s="770" t="s">
        <v>17</v>
      </c>
      <c r="W28" s="771">
        <f>J28</f>
        <v>100</v>
      </c>
      <c r="X28" s="772"/>
      <c r="Y28" s="3173"/>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180"/>
      <c r="Q29" s="1809">
        <f t="shared" si="11"/>
        <v>111</v>
      </c>
      <c r="R29" s="774" t="s">
        <v>17</v>
      </c>
      <c r="S29" s="775">
        <f t="shared" ref="S29:S47" si="12">F29</f>
        <v>100</v>
      </c>
      <c r="T29" s="774" t="s">
        <v>17</v>
      </c>
      <c r="U29" s="775">
        <f t="shared" ref="U29:U47" si="13">H29</f>
        <v>100</v>
      </c>
      <c r="V29" s="774" t="s">
        <v>17</v>
      </c>
      <c r="W29" s="775">
        <f t="shared" ref="W29:W47" si="14">J29</f>
        <v>100</v>
      </c>
      <c r="X29" s="1812"/>
      <c r="Y29" s="3173"/>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180"/>
      <c r="Q30" s="1809">
        <f t="shared" si="11"/>
        <v>111</v>
      </c>
      <c r="R30" s="774" t="s">
        <v>17</v>
      </c>
      <c r="S30" s="775">
        <f t="shared" si="12"/>
        <v>100</v>
      </c>
      <c r="T30" s="774" t="s">
        <v>17</v>
      </c>
      <c r="U30" s="775">
        <f t="shared" si="13"/>
        <v>100</v>
      </c>
      <c r="V30" s="774" t="s">
        <v>17</v>
      </c>
      <c r="W30" s="775">
        <f t="shared" si="14"/>
        <v>100</v>
      </c>
      <c r="X30" s="1812"/>
      <c r="Y30" s="3173"/>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180"/>
      <c r="Q31" s="1809">
        <f t="shared" si="11"/>
        <v>111</v>
      </c>
      <c r="R31" s="774" t="s">
        <v>17</v>
      </c>
      <c r="S31" s="775">
        <f t="shared" si="12"/>
        <v>100</v>
      </c>
      <c r="T31" s="774" t="s">
        <v>17</v>
      </c>
      <c r="U31" s="775">
        <f t="shared" si="13"/>
        <v>100</v>
      </c>
      <c r="V31" s="774" t="s">
        <v>17</v>
      </c>
      <c r="W31" s="775">
        <f t="shared" si="14"/>
        <v>100</v>
      </c>
      <c r="X31" s="1812"/>
      <c r="Y31" s="3173"/>
      <c r="Z31" s="1813">
        <f t="shared" si="15"/>
        <v>111</v>
      </c>
      <c r="AA31" s="1810">
        <f t="shared" si="3"/>
        <v>1</v>
      </c>
      <c r="AB31" s="1810">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180"/>
      <c r="Q32" s="1809">
        <f t="shared" si="11"/>
        <v>111</v>
      </c>
      <c r="R32" s="774" t="s">
        <v>17</v>
      </c>
      <c r="S32" s="775">
        <f t="shared" si="12"/>
        <v>100</v>
      </c>
      <c r="T32" s="774" t="s">
        <v>17</v>
      </c>
      <c r="U32" s="775">
        <f t="shared" si="13"/>
        <v>100</v>
      </c>
      <c r="V32" s="774" t="s">
        <v>17</v>
      </c>
      <c r="W32" s="775">
        <f t="shared" si="14"/>
        <v>100</v>
      </c>
      <c r="X32" s="1812"/>
      <c r="Y32" s="3173"/>
      <c r="Z32" s="1813">
        <f t="shared" si="15"/>
        <v>111</v>
      </c>
      <c r="AA32" s="1810">
        <f t="shared" si="3"/>
        <v>1</v>
      </c>
      <c r="AB32" s="1810">
        <f t="shared" si="4"/>
        <v>1</v>
      </c>
      <c r="AC32" s="2676">
        <f t="shared" si="5"/>
        <v>1</v>
      </c>
    </row>
    <row r="33" spans="1:29" ht="15">
      <c r="A33" s="440" t="s">
        <v>2511</v>
      </c>
      <c r="B33" s="71" t="s">
        <v>2641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74" t="s">
        <v>2513</v>
      </c>
      <c r="Q33" s="1809" t="str">
        <f t="shared" si="11"/>
        <v>建筑类型</v>
      </c>
      <c r="R33" s="774" t="s">
        <v>17</v>
      </c>
      <c r="S33" s="775">
        <f t="shared" si="12"/>
        <v>100</v>
      </c>
      <c r="T33" s="774" t="s">
        <v>17</v>
      </c>
      <c r="U33" s="775">
        <f t="shared" si="13"/>
        <v>100</v>
      </c>
      <c r="V33" s="774" t="s">
        <v>17</v>
      </c>
      <c r="W33" s="775">
        <f t="shared" si="14"/>
        <v>100</v>
      </c>
      <c r="X33" s="1812"/>
      <c r="Y33" s="3177" t="s">
        <v>2513</v>
      </c>
      <c r="Z33" s="1813" t="str">
        <f t="shared" si="15"/>
        <v>建筑类型</v>
      </c>
      <c r="AA33" s="1810">
        <f t="shared" si="3"/>
        <v>1</v>
      </c>
      <c r="AB33" s="1810">
        <f t="shared" si="4"/>
        <v>1</v>
      </c>
      <c r="AC33" s="2676">
        <f t="shared" si="5"/>
        <v>1</v>
      </c>
    </row>
    <row r="34" spans="1:29" s="471" customFormat="1" ht="15">
      <c r="A34" s="468"/>
      <c r="B34" s="422" t="s">
        <v>2514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5"/>
      <c r="Q34" s="776" t="str">
        <f t="shared" si="11"/>
        <v>项目建筑规模</v>
      </c>
      <c r="R34" s="777" t="s">
        <v>17</v>
      </c>
      <c r="S34" s="778" t="e">
        <f t="shared" si="12"/>
        <v>#N/A</v>
      </c>
      <c r="T34" s="777" t="s">
        <v>17</v>
      </c>
      <c r="U34" s="778" t="e">
        <f t="shared" si="13"/>
        <v>#N/A</v>
      </c>
      <c r="V34" s="777" t="s">
        <v>17</v>
      </c>
      <c r="W34" s="778" t="e">
        <f t="shared" si="14"/>
        <v>#N/A</v>
      </c>
      <c r="X34" s="779"/>
      <c r="Y34" s="3177"/>
      <c r="Z34" s="780" t="str">
        <f t="shared" si="15"/>
        <v>项目建筑规模</v>
      </c>
      <c r="AA34" s="1810" t="e">
        <f t="shared" si="3"/>
        <v>#N/A</v>
      </c>
      <c r="AB34" s="1810" t="e">
        <f t="shared" si="4"/>
        <v>#N/A</v>
      </c>
      <c r="AC34" s="2676" t="e">
        <f t="shared" si="5"/>
        <v>#N/A</v>
      </c>
    </row>
    <row r="35" spans="1:29" ht="15">
      <c r="A35" s="472"/>
      <c r="B35" s="422" t="s">
        <v>2515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5"/>
      <c r="Q35" s="1809" t="str">
        <f t="shared" si="11"/>
        <v>建筑结构</v>
      </c>
      <c r="R35" s="774" t="s">
        <v>17</v>
      </c>
      <c r="S35" s="775">
        <f t="shared" si="12"/>
        <v>100</v>
      </c>
      <c r="T35" s="774" t="s">
        <v>17</v>
      </c>
      <c r="U35" s="775">
        <f t="shared" si="13"/>
        <v>100</v>
      </c>
      <c r="V35" s="774" t="s">
        <v>17</v>
      </c>
      <c r="W35" s="775">
        <f t="shared" si="14"/>
        <v>100</v>
      </c>
      <c r="X35" s="1812"/>
      <c r="Y35" s="3177"/>
      <c r="Z35" s="1813" t="str">
        <f t="shared" si="15"/>
        <v>建筑结构</v>
      </c>
      <c r="AA35" s="1810">
        <f t="shared" si="3"/>
        <v>1</v>
      </c>
      <c r="AB35" s="1810">
        <f t="shared" si="4"/>
        <v>1</v>
      </c>
      <c r="AC35" s="2676">
        <f t="shared" si="5"/>
        <v>1</v>
      </c>
    </row>
    <row r="36" spans="1:29" ht="15">
      <c r="A36" s="472"/>
      <c r="B36" s="422" t="s">
        <v>2609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5"/>
      <c r="Q36" s="1809" t="str">
        <f t="shared" si="11"/>
        <v>公共部分装修</v>
      </c>
      <c r="R36" s="774" t="s">
        <v>17</v>
      </c>
      <c r="S36" s="775">
        <f t="shared" si="12"/>
        <v>100</v>
      </c>
      <c r="T36" s="774" t="s">
        <v>17</v>
      </c>
      <c r="U36" s="775">
        <f t="shared" si="13"/>
        <v>100</v>
      </c>
      <c r="V36" s="774" t="s">
        <v>17</v>
      </c>
      <c r="W36" s="775">
        <f t="shared" si="14"/>
        <v>100</v>
      </c>
      <c r="X36" s="1812"/>
      <c r="Y36" s="3177"/>
      <c r="Z36" s="1813" t="str">
        <f t="shared" si="15"/>
        <v>公共部分装修</v>
      </c>
      <c r="AA36" s="1810">
        <f t="shared" si="3"/>
        <v>1</v>
      </c>
      <c r="AB36" s="1810">
        <f t="shared" si="4"/>
        <v>1</v>
      </c>
      <c r="AC36" s="2676">
        <f t="shared" si="5"/>
        <v>1</v>
      </c>
    </row>
    <row r="37" spans="1:29" ht="15">
      <c r="A37" s="472"/>
      <c r="B37" s="422" t="s">
        <v>2610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5"/>
      <c r="Q37" s="1809" t="str">
        <f t="shared" si="11"/>
        <v>成新度</v>
      </c>
      <c r="R37" s="774" t="s">
        <v>17</v>
      </c>
      <c r="S37" s="775" t="e">
        <f t="shared" si="12"/>
        <v>#N/A</v>
      </c>
      <c r="T37" s="774" t="s">
        <v>17</v>
      </c>
      <c r="U37" s="775" t="e">
        <f t="shared" si="13"/>
        <v>#N/A</v>
      </c>
      <c r="V37" s="774" t="s">
        <v>17</v>
      </c>
      <c r="W37" s="775" t="e">
        <f t="shared" si="14"/>
        <v>#N/A</v>
      </c>
      <c r="X37" s="1812"/>
      <c r="Y37" s="3177"/>
      <c r="Z37" s="1813" t="str">
        <f t="shared" si="15"/>
        <v>成新度</v>
      </c>
      <c r="AA37" s="1810" t="e">
        <f t="shared" si="3"/>
        <v>#N/A</v>
      </c>
      <c r="AB37" s="1810" t="e">
        <f t="shared" si="4"/>
        <v>#N/A</v>
      </c>
      <c r="AC37" s="2676" t="e">
        <f t="shared" si="5"/>
        <v>#N/A</v>
      </c>
    </row>
    <row r="38" spans="1:29" s="117" customFormat="1" ht="15">
      <c r="A38" s="473"/>
      <c r="B38" s="422" t="s">
        <v>2642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5"/>
      <c r="Q38" s="1794" t="str">
        <f t="shared" si="11"/>
        <v>写字楼等级</v>
      </c>
      <c r="R38" s="770" t="s">
        <v>17</v>
      </c>
      <c r="S38" s="771">
        <f t="shared" si="12"/>
        <v>100</v>
      </c>
      <c r="T38" s="770" t="s">
        <v>17</v>
      </c>
      <c r="U38" s="771">
        <f t="shared" si="13"/>
        <v>100</v>
      </c>
      <c r="V38" s="770" t="s">
        <v>17</v>
      </c>
      <c r="W38" s="771">
        <f t="shared" si="14"/>
        <v>100</v>
      </c>
      <c r="X38" s="772"/>
      <c r="Y38" s="3177"/>
      <c r="Z38" s="55" t="str">
        <f t="shared" si="15"/>
        <v>写字楼等级</v>
      </c>
      <c r="AA38" s="773">
        <f t="shared" si="3"/>
        <v>1</v>
      </c>
      <c r="AB38" s="773">
        <f t="shared" si="4"/>
        <v>1</v>
      </c>
      <c r="AC38" s="2673">
        <f t="shared" si="5"/>
        <v>1</v>
      </c>
    </row>
    <row r="39" spans="1:29" ht="15">
      <c r="A39" s="472"/>
      <c r="B39" s="422" t="s">
        <v>2643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5" t="s">
        <v>2513</v>
      </c>
      <c r="Q39" s="1809" t="str">
        <f t="shared" si="11"/>
        <v>物业管理</v>
      </c>
      <c r="R39" s="774" t="s">
        <v>17</v>
      </c>
      <c r="S39" s="775">
        <f t="shared" si="12"/>
        <v>100</v>
      </c>
      <c r="T39" s="774" t="s">
        <v>17</v>
      </c>
      <c r="U39" s="775">
        <f t="shared" si="13"/>
        <v>100</v>
      </c>
      <c r="V39" s="774" t="s">
        <v>17</v>
      </c>
      <c r="W39" s="775">
        <f t="shared" si="14"/>
        <v>100</v>
      </c>
      <c r="X39" s="1812"/>
      <c r="Y39" s="3177" t="s">
        <v>2513</v>
      </c>
      <c r="Z39" s="1813" t="str">
        <f t="shared" si="15"/>
        <v>物业管理</v>
      </c>
      <c r="AA39" s="1810">
        <f t="shared" si="3"/>
        <v>1</v>
      </c>
      <c r="AB39" s="1810">
        <f t="shared" si="4"/>
        <v>1</v>
      </c>
      <c r="AC39" s="2676">
        <f t="shared" si="5"/>
        <v>1</v>
      </c>
    </row>
    <row r="40" spans="1:29" ht="15">
      <c r="A40" s="472"/>
      <c r="B40" s="422" t="s">
        <v>2611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5"/>
      <c r="Q40" s="1809" t="str">
        <f t="shared" si="11"/>
        <v>市政基础设施</v>
      </c>
      <c r="R40" s="774" t="s">
        <v>17</v>
      </c>
      <c r="S40" s="775">
        <f t="shared" si="12"/>
        <v>100</v>
      </c>
      <c r="T40" s="774" t="s">
        <v>17</v>
      </c>
      <c r="U40" s="775">
        <f t="shared" si="13"/>
        <v>100</v>
      </c>
      <c r="V40" s="774" t="s">
        <v>17</v>
      </c>
      <c r="W40" s="775">
        <f t="shared" si="14"/>
        <v>100</v>
      </c>
      <c r="X40" s="1812"/>
      <c r="Y40" s="3177"/>
      <c r="Z40" s="1813" t="str">
        <f t="shared" si="15"/>
        <v>市政基础设施</v>
      </c>
      <c r="AA40" s="1810">
        <f t="shared" si="3"/>
        <v>1</v>
      </c>
      <c r="AB40" s="1810">
        <f t="shared" si="4"/>
        <v>1</v>
      </c>
      <c r="AC40" s="2676">
        <f t="shared" si="5"/>
        <v>1</v>
      </c>
    </row>
    <row r="41" spans="1:29" ht="15">
      <c r="A41" s="472"/>
      <c r="B41" s="422" t="s">
        <v>2613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5"/>
      <c r="Q41" s="1809" t="str">
        <f t="shared" si="11"/>
        <v>层高</v>
      </c>
      <c r="R41" s="774" t="s">
        <v>17</v>
      </c>
      <c r="S41" s="775">
        <f t="shared" si="12"/>
        <v>100</v>
      </c>
      <c r="T41" s="774" t="s">
        <v>17</v>
      </c>
      <c r="U41" s="775">
        <f t="shared" si="13"/>
        <v>100</v>
      </c>
      <c r="V41" s="774" t="s">
        <v>17</v>
      </c>
      <c r="W41" s="775">
        <f t="shared" si="14"/>
        <v>100</v>
      </c>
      <c r="X41" s="1812"/>
      <c r="Y41" s="3177"/>
      <c r="Z41" s="1813" t="str">
        <f t="shared" si="15"/>
        <v>层高</v>
      </c>
      <c r="AA41" s="1810">
        <f t="shared" si="3"/>
        <v>1</v>
      </c>
      <c r="AB41" s="1810">
        <f t="shared" si="4"/>
        <v>1</v>
      </c>
      <c r="AC41" s="2676">
        <f t="shared" si="5"/>
        <v>1</v>
      </c>
    </row>
    <row r="42" spans="1:29" s="471" customFormat="1" ht="15">
      <c r="A42" s="468"/>
      <c r="B42" s="1811" t="s">
        <v>2644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5"/>
      <c r="Q42" s="776" t="str">
        <f t="shared" si="11"/>
        <v>单套建筑面积</v>
      </c>
      <c r="R42" s="777" t="s">
        <v>17</v>
      </c>
      <c r="S42" s="778">
        <f t="shared" si="12"/>
        <v>100</v>
      </c>
      <c r="T42" s="777" t="s">
        <v>17</v>
      </c>
      <c r="U42" s="778">
        <f t="shared" si="13"/>
        <v>100</v>
      </c>
      <c r="V42" s="777" t="s">
        <v>17</v>
      </c>
      <c r="W42" s="778">
        <f t="shared" si="14"/>
        <v>100</v>
      </c>
      <c r="X42" s="779"/>
      <c r="Y42" s="3177"/>
      <c r="Z42" s="780" t="str">
        <f t="shared" si="15"/>
        <v>单套建筑面积</v>
      </c>
      <c r="AA42" s="1810">
        <f t="shared" si="3"/>
        <v>1</v>
      </c>
      <c r="AB42" s="1810">
        <f t="shared" si="4"/>
        <v>1</v>
      </c>
      <c r="AC42" s="2676">
        <f t="shared" si="5"/>
        <v>1</v>
      </c>
    </row>
    <row r="43" spans="1:29" ht="15">
      <c r="A43" s="472"/>
      <c r="B43" s="422" t="s">
        <v>2616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5"/>
      <c r="Q43" s="1809" t="str">
        <f t="shared" si="11"/>
        <v>内部装修</v>
      </c>
      <c r="R43" s="774" t="s">
        <v>17</v>
      </c>
      <c r="S43" s="775">
        <f t="shared" si="12"/>
        <v>100</v>
      </c>
      <c r="T43" s="774" t="s">
        <v>17</v>
      </c>
      <c r="U43" s="775">
        <f t="shared" si="13"/>
        <v>100</v>
      </c>
      <c r="V43" s="774" t="s">
        <v>17</v>
      </c>
      <c r="W43" s="775">
        <f t="shared" si="14"/>
        <v>100</v>
      </c>
      <c r="X43" s="1812"/>
      <c r="Y43" s="3177"/>
      <c r="Z43" s="1813" t="str">
        <f t="shared" si="15"/>
        <v>内部装修</v>
      </c>
      <c r="AA43" s="1810">
        <f t="shared" si="3"/>
        <v>1</v>
      </c>
      <c r="AB43" s="1810">
        <f t="shared" si="4"/>
        <v>1</v>
      </c>
      <c r="AC43" s="2676">
        <f t="shared" si="5"/>
        <v>1</v>
      </c>
    </row>
    <row r="44" spans="1:29" ht="15">
      <c r="A44" s="472"/>
      <c r="B44" s="422" t="s">
        <v>2524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175"/>
      <c r="Q44" s="1809" t="str">
        <f t="shared" si="11"/>
        <v>内部装修维护情况</v>
      </c>
      <c r="R44" s="774" t="s">
        <v>17</v>
      </c>
      <c r="S44" s="775">
        <f t="shared" si="12"/>
        <v>100</v>
      </c>
      <c r="T44" s="774" t="s">
        <v>17</v>
      </c>
      <c r="U44" s="775">
        <f t="shared" si="13"/>
        <v>100</v>
      </c>
      <c r="V44" s="774" t="s">
        <v>17</v>
      </c>
      <c r="W44" s="775">
        <f t="shared" si="14"/>
        <v>100</v>
      </c>
      <c r="X44" s="1812"/>
      <c r="Y44" s="3177"/>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5"/>
      <c r="Q45" s="1794">
        <f t="shared" si="11"/>
        <v>111</v>
      </c>
      <c r="R45" s="770" t="s">
        <v>17</v>
      </c>
      <c r="S45" s="771">
        <f t="shared" si="12"/>
        <v>100</v>
      </c>
      <c r="T45" s="770" t="s">
        <v>17</v>
      </c>
      <c r="U45" s="771">
        <f t="shared" si="13"/>
        <v>100</v>
      </c>
      <c r="V45" s="770" t="s">
        <v>17</v>
      </c>
      <c r="W45" s="771">
        <f t="shared" si="14"/>
        <v>100</v>
      </c>
      <c r="X45" s="772"/>
      <c r="Y45" s="3177"/>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5"/>
      <c r="Q46" s="1809">
        <f t="shared" si="11"/>
        <v>111</v>
      </c>
      <c r="R46" s="774" t="s">
        <v>17</v>
      </c>
      <c r="S46" s="775">
        <f t="shared" si="12"/>
        <v>100</v>
      </c>
      <c r="T46" s="774" t="s">
        <v>17</v>
      </c>
      <c r="U46" s="775">
        <f t="shared" si="13"/>
        <v>100</v>
      </c>
      <c r="V46" s="774" t="s">
        <v>17</v>
      </c>
      <c r="W46" s="775">
        <f t="shared" si="14"/>
        <v>100</v>
      </c>
      <c r="X46" s="1812"/>
      <c r="Y46" s="3177"/>
      <c r="Z46" s="1813">
        <f t="shared" si="15"/>
        <v>111</v>
      </c>
      <c r="AA46" s="1810">
        <f t="shared" si="3"/>
        <v>1</v>
      </c>
      <c r="AB46" s="1810">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6"/>
      <c r="Q47" s="1809">
        <f t="shared" si="11"/>
        <v>111</v>
      </c>
      <c r="R47" s="774" t="s">
        <v>17</v>
      </c>
      <c r="S47" s="775">
        <f t="shared" si="12"/>
        <v>100</v>
      </c>
      <c r="T47" s="774" t="s">
        <v>17</v>
      </c>
      <c r="U47" s="775">
        <f t="shared" si="13"/>
        <v>100</v>
      </c>
      <c r="V47" s="774" t="s">
        <v>17</v>
      </c>
      <c r="W47" s="775">
        <f t="shared" si="14"/>
        <v>100</v>
      </c>
      <c r="X47" s="1812"/>
      <c r="Y47" s="3178"/>
      <c r="Z47" s="1813">
        <f t="shared" si="15"/>
        <v>111</v>
      </c>
      <c r="AA47" s="1810">
        <f t="shared" si="3"/>
        <v>1</v>
      </c>
      <c r="AB47" s="1810">
        <f t="shared" si="4"/>
        <v>1</v>
      </c>
      <c r="AC47" s="2676">
        <f t="shared" si="5"/>
        <v>1</v>
      </c>
    </row>
    <row r="48" spans="1:29" ht="15">
      <c r="A48" s="479" t="s">
        <v>2525</v>
      </c>
      <c r="B48" s="480"/>
      <c r="C48" s="1407" t="s">
        <v>1</v>
      </c>
      <c r="D48" s="1408"/>
      <c r="E48" s="1409"/>
      <c r="F48" s="1410"/>
      <c r="G48" s="1411"/>
      <c r="H48" s="1412"/>
      <c r="I48" s="1409"/>
      <c r="J48" s="485"/>
      <c r="K48" s="783"/>
      <c r="L48" s="1143"/>
      <c r="M48" s="1131"/>
      <c r="N48" s="1131"/>
      <c r="O48" s="1131"/>
      <c r="P48" s="3181" t="str">
        <f>A48</f>
        <v>成交单价（元/平方米）</v>
      </c>
      <c r="Q48" s="3170"/>
      <c r="R48" s="3171">
        <f>E48</f>
        <v>0</v>
      </c>
      <c r="S48" s="3171"/>
      <c r="T48" s="3171">
        <f>G48</f>
        <v>0</v>
      </c>
      <c r="U48" s="3171"/>
      <c r="V48" s="3171">
        <f>I48</f>
        <v>0</v>
      </c>
      <c r="W48" s="3171"/>
      <c r="X48" s="446"/>
      <c r="Y48" s="781"/>
      <c r="Z48" s="446"/>
      <c r="AA48" s="446"/>
      <c r="AB48" s="446"/>
      <c r="AC48" s="630"/>
    </row>
    <row r="49" spans="1:29" ht="15.75" thickBot="1">
      <c r="A49" s="486" t="s">
        <v>2617</v>
      </c>
      <c r="B49" s="487"/>
      <c r="C49" s="1413" t="e">
        <f>R50</f>
        <v>#DIV/0!</v>
      </c>
      <c r="D49" s="1414"/>
      <c r="E49" s="1415" t="e">
        <f>R49</f>
        <v>#DIV/0!</v>
      </c>
      <c r="F49" s="1415"/>
      <c r="G49" s="1413" t="e">
        <f>T49</f>
        <v>#DIV/0!</v>
      </c>
      <c r="H49" s="1414"/>
      <c r="I49" s="1415" t="e">
        <f>V49</f>
        <v>#DIV/0!</v>
      </c>
      <c r="J49" s="489"/>
      <c r="K49" s="784"/>
      <c r="L49" s="1143"/>
      <c r="M49" s="1131"/>
      <c r="N49" s="1131"/>
      <c r="O49" s="1131"/>
      <c r="P49" s="3181" t="str">
        <f>A49</f>
        <v>比较价值（元/平方米）</v>
      </c>
      <c r="Q49" s="3170"/>
      <c r="R49" s="3171" t="e">
        <f>IF(F1="售价",ROUND(PRODUCT(R48,AA7:AA47),0),ROUND(PRODUCT(R48,AA7:AA47),1))</f>
        <v>#DIV/0!</v>
      </c>
      <c r="S49" s="3171"/>
      <c r="T49" s="3171" t="e">
        <f>IF(F1="售价",ROUND(PRODUCT(T48,AB7:AB47),0),ROUND(PRODUCT(T48,AB7:AB47),1))</f>
        <v>#DIV/0!</v>
      </c>
      <c r="U49" s="3171"/>
      <c r="V49" s="3171" t="e">
        <f>IF(F1="售价",ROUND(PRODUCT(V48,AC7:AC47),0),ROUND(PRODUCT(V48,AC7:AC47),1))</f>
        <v>#DIV/0!</v>
      </c>
      <c r="W49" s="3171"/>
      <c r="X49" s="446"/>
      <c r="Y49" s="446"/>
      <c r="Z49" s="446"/>
      <c r="AA49" s="446"/>
      <c r="AB49" s="446"/>
      <c r="AC49" s="630"/>
    </row>
    <row r="50" spans="1:29" ht="15.75" thickBot="1">
      <c r="A50" s="492" t="s">
        <v>2618</v>
      </c>
      <c r="B50" s="493"/>
      <c r="C50" s="1417" t="e">
        <f>R50</f>
        <v>#DIV/0!</v>
      </c>
      <c r="D50" s="1417"/>
      <c r="E50" s="1417"/>
      <c r="F50" s="1417"/>
      <c r="G50" s="1417"/>
      <c r="H50" s="1417"/>
      <c r="I50" s="1417"/>
      <c r="J50" s="494"/>
      <c r="K50" s="785"/>
      <c r="L50" s="1143"/>
      <c r="M50" s="1131"/>
      <c r="N50" s="1131"/>
      <c r="O50" s="1131"/>
      <c r="P50" s="3213" t="str">
        <f>A50</f>
        <v>估价对象XX用房的比较价值（楼面单价，元/平方米）</v>
      </c>
      <c r="Q50" s="3214"/>
      <c r="R50" s="3215" t="e">
        <f>IF(F1="售价",ROUND(AVERAGE(R49:V49),0),ROUND(AVERAGE(R49:V49),1))</f>
        <v>#DIV/0!</v>
      </c>
      <c r="S50" s="3215"/>
      <c r="T50" s="3215"/>
      <c r="U50" s="3215"/>
      <c r="V50" s="3215"/>
      <c r="W50" s="3215"/>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2619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2622</v>
      </c>
      <c r="B58" s="759"/>
      <c r="C58" s="764"/>
      <c r="D58" s="764"/>
      <c r="E58" s="764"/>
      <c r="F58" s="765"/>
      <c r="G58" s="765"/>
      <c r="H58" s="764"/>
      <c r="I58" s="764"/>
      <c r="J58" s="764"/>
      <c r="K58" s="766"/>
      <c r="L58" s="1161"/>
      <c r="M58" s="1159"/>
      <c r="N58" s="1159"/>
      <c r="O58" s="1159"/>
      <c r="P58" s="2683"/>
      <c r="Q58" s="504"/>
    </row>
    <row r="59" spans="1:29" s="508" customFormat="1" ht="15">
      <c r="A59" s="505" t="s">
        <v>2496</v>
      </c>
      <c r="B59" s="506"/>
      <c r="C59" s="1573" t="str">
        <f>YEAR(C7)&amp;"-"&amp;MONTH(C7)</f>
        <v>2019-3</v>
      </c>
      <c r="D59" s="1574">
        <f>EDATE(C59,-1)</f>
        <v>43497</v>
      </c>
      <c r="E59" s="1574">
        <f>EDATE(D59,-1)</f>
        <v>43466</v>
      </c>
      <c r="F59" s="1574">
        <f t="shared" ref="F59:O59" si="16">EDATE(E59,-1)</f>
        <v>43435</v>
      </c>
      <c r="G59" s="1574">
        <f t="shared" si="16"/>
        <v>43405</v>
      </c>
      <c r="H59" s="1574">
        <f t="shared" si="16"/>
        <v>43374</v>
      </c>
      <c r="I59" s="1574">
        <f t="shared" si="16"/>
        <v>43344</v>
      </c>
      <c r="J59" s="1574">
        <f t="shared" si="16"/>
        <v>43313</v>
      </c>
      <c r="K59" s="1574">
        <f t="shared" si="16"/>
        <v>43282</v>
      </c>
      <c r="L59" s="1574">
        <f t="shared" si="16"/>
        <v>43252</v>
      </c>
      <c r="M59" s="1574">
        <f t="shared" si="16"/>
        <v>43221</v>
      </c>
      <c r="N59" s="1574">
        <f t="shared" si="16"/>
        <v>43191</v>
      </c>
      <c r="O59" s="1574">
        <f t="shared" si="16"/>
        <v>43160</v>
      </c>
      <c r="P59" s="1570"/>
    </row>
    <row r="60" spans="1:29" s="117" customFormat="1" ht="15">
      <c r="A60" s="509"/>
      <c r="B60" s="510"/>
      <c r="C60" s="1572">
        <v>100</v>
      </c>
      <c r="D60" s="512"/>
      <c r="E60" s="512"/>
      <c r="F60" s="512"/>
      <c r="G60" s="512"/>
      <c r="H60" s="512"/>
      <c r="I60" s="512"/>
      <c r="J60" s="512"/>
      <c r="K60" s="512"/>
      <c r="L60" s="512"/>
      <c r="M60" s="513"/>
      <c r="N60" s="512"/>
      <c r="O60" s="513"/>
      <c r="P60" s="2684"/>
    </row>
    <row r="61" spans="1:29" s="117" customFormat="1" ht="15.75" thickBot="1">
      <c r="A61" s="515" t="s">
        <v>2533</v>
      </c>
      <c r="B61" s="516"/>
      <c r="C61" s="517"/>
      <c r="D61" s="518"/>
      <c r="E61" s="518"/>
      <c r="F61" s="518"/>
      <c r="G61" s="518"/>
      <c r="H61" s="518"/>
      <c r="I61" s="518"/>
      <c r="J61" s="518"/>
      <c r="K61" s="518"/>
      <c r="L61" s="518"/>
      <c r="M61" s="519"/>
      <c r="N61" s="518"/>
      <c r="O61" s="519"/>
      <c r="P61" s="2684"/>
      <c r="Q61" s="504"/>
    </row>
    <row r="62" spans="1:29" s="117" customFormat="1" ht="15">
      <c r="A62" s="521" t="s">
        <v>2498</v>
      </c>
      <c r="B62" s="510"/>
      <c r="C62" s="522" t="s">
        <v>2600</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2536</v>
      </c>
      <c r="B64" s="528" t="s">
        <v>2502</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2505</v>
      </c>
      <c r="C66" s="539" t="s">
        <v>2537</v>
      </c>
      <c r="D66" s="539" t="s">
        <v>2538</v>
      </c>
      <c r="E66" s="539" t="s">
        <v>2539</v>
      </c>
      <c r="F66" s="539" t="s">
        <v>2540</v>
      </c>
      <c r="G66" s="539" t="s">
        <v>2541</v>
      </c>
      <c r="H66" s="539" t="s">
        <v>2542</v>
      </c>
      <c r="I66" s="539" t="s">
        <v>2543</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2506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2507</v>
      </c>
      <c r="B77" s="528" t="s">
        <v>2645</v>
      </c>
      <c r="C77" s="573" t="s">
        <v>2545</v>
      </c>
      <c r="D77" s="573" t="s">
        <v>2546</v>
      </c>
      <c r="E77" s="573" t="s">
        <v>2547</v>
      </c>
      <c r="F77" s="573" t="s">
        <v>2548</v>
      </c>
      <c r="G77" s="573" t="s">
        <v>2549</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2550</v>
      </c>
      <c r="C79" s="578" t="s">
        <v>2545</v>
      </c>
      <c r="D79" s="578" t="s">
        <v>2546</v>
      </c>
      <c r="E79" s="578" t="s">
        <v>2547</v>
      </c>
      <c r="F79" s="578" t="s">
        <v>2548</v>
      </c>
      <c r="G79" s="578" t="s">
        <v>2549</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2551</v>
      </c>
      <c r="C81" s="578" t="s">
        <v>2545</v>
      </c>
      <c r="D81" s="578" t="s">
        <v>2546</v>
      </c>
      <c r="E81" s="578" t="s">
        <v>2547</v>
      </c>
      <c r="F81" s="578" t="s">
        <v>2548</v>
      </c>
      <c r="G81" s="578" t="s">
        <v>2549</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2637</v>
      </c>
      <c r="C83" s="660" t="s">
        <v>2623</v>
      </c>
      <c r="D83" s="660" t="s">
        <v>2624</v>
      </c>
      <c r="E83" s="660" t="s">
        <v>2625</v>
      </c>
      <c r="F83" s="660" t="s">
        <v>2626</v>
      </c>
      <c r="G83" s="660" t="s">
        <v>2627</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2646</v>
      </c>
      <c r="C85" s="578" t="s">
        <v>2545</v>
      </c>
      <c r="D85" s="578" t="s">
        <v>2546</v>
      </c>
      <c r="E85" s="578" t="s">
        <v>2547</v>
      </c>
      <c r="F85" s="578" t="s">
        <v>2548</v>
      </c>
      <c r="G85" s="578" t="s">
        <v>2549</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2647</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2511</v>
      </c>
      <c r="B101" s="528" t="s">
        <v>2560</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2561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2562</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2564</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2648</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2565</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2566</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2649</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2632</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2568</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2569</v>
      </c>
      <c r="C125" s="578" t="s">
        <v>2545</v>
      </c>
      <c r="D125" s="578" t="s">
        <v>2546</v>
      </c>
      <c r="E125" s="578" t="s">
        <v>2547</v>
      </c>
      <c r="F125" s="578" t="s">
        <v>2548</v>
      </c>
      <c r="G125" s="578" t="s">
        <v>2549</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49" sqref="B4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2277</v>
      </c>
      <c r="B1" s="1936"/>
      <c r="C1" s="242"/>
      <c r="D1" s="242"/>
      <c r="E1" s="242"/>
      <c r="F1" s="242"/>
      <c r="G1" s="1379">
        <f>MATCH(B1,'数据-取费表'!A6:A16,0)+5</f>
        <v>10</v>
      </c>
    </row>
    <row r="2" spans="1:9" s="244" customFormat="1" ht="18" customHeight="1">
      <c r="A2" s="245" t="s">
        <v>2278</v>
      </c>
      <c r="B2" s="246">
        <f ca="1">IF(D2="——",C52,C52-E2)</f>
        <v>345685</v>
      </c>
      <c r="C2" s="243" t="s">
        <v>2279</v>
      </c>
      <c r="D2" s="2549" t="s">
        <v>70</v>
      </c>
      <c r="E2" s="1440" t="e">
        <f ca="1">SUMIF(INDIRECT("'"&amp;G2&amp;"'"&amp;"!A:A"),"承租人权益价值",INDIRECT("'"&amp;G2&amp;"'"&amp;"!c:c"))</f>
        <v>#REF!</v>
      </c>
      <c r="F2" s="2550" t="s">
        <v>2279</v>
      </c>
      <c r="G2" s="2551"/>
    </row>
    <row r="3" spans="1:9" s="244" customFormat="1" ht="18" customHeight="1" thickBot="1">
      <c r="A3" s="247" t="s">
        <v>2280</v>
      </c>
      <c r="B3" s="248">
        <f ca="1">ROUND(B2*10000/(IF(B1="",'数据-汇总表'!E3,INDIRECT("'数据-取费表'!k"&amp;$G$1))),0)</f>
        <v>12682</v>
      </c>
      <c r="C3" s="243" t="s">
        <v>2281</v>
      </c>
      <c r="D3" s="243"/>
      <c r="E3" s="243"/>
      <c r="F3" s="243"/>
      <c r="G3" s="243"/>
    </row>
    <row r="4" spans="1:9" s="252" customFormat="1" ht="15.75">
      <c r="A4" s="249" t="s">
        <v>2282</v>
      </c>
      <c r="B4" s="250"/>
      <c r="C4" s="250"/>
      <c r="D4" s="250"/>
      <c r="E4" s="250"/>
      <c r="F4" s="250"/>
      <c r="G4" s="251"/>
    </row>
    <row r="5" spans="1:9" s="258" customFormat="1" ht="13.5" customHeight="1">
      <c r="A5" s="299" t="s">
        <v>2283</v>
      </c>
      <c r="B5" s="254" t="s">
        <v>2284</v>
      </c>
      <c r="C5" s="255">
        <f>C6+C7+C8</f>
        <v>240181</v>
      </c>
      <c r="D5" s="255" t="s">
        <v>2285</v>
      </c>
      <c r="E5" s="256" t="s">
        <v>2286</v>
      </c>
      <c r="F5" s="256" t="s">
        <v>2287</v>
      </c>
      <c r="G5" s="257"/>
    </row>
    <row r="6" spans="1:9" s="258" customFormat="1" ht="13.5" customHeight="1">
      <c r="A6" s="949" t="s">
        <v>2288</v>
      </c>
      <c r="B6" s="259" t="s">
        <v>2289</v>
      </c>
      <c r="C6" s="260">
        <f>'土地比较法-住宅、综合'!B2</f>
        <v>233072</v>
      </c>
      <c r="D6" s="261"/>
      <c r="E6" s="262"/>
      <c r="F6" s="262"/>
      <c r="G6" s="263"/>
    </row>
    <row r="7" spans="1:9" s="258" customFormat="1" ht="13.5" customHeight="1">
      <c r="A7" s="949" t="s">
        <v>2290</v>
      </c>
      <c r="B7" s="259" t="s">
        <v>2291</v>
      </c>
      <c r="C7" s="264">
        <f>ROUND(C6*F7,0)</f>
        <v>7109</v>
      </c>
      <c r="D7" s="264"/>
      <c r="E7" s="262"/>
      <c r="F7" s="265">
        <f>'数据-取费表'!B48+'数据-取费表'!B49</f>
        <v>3.0499999999999999E-2</v>
      </c>
      <c r="G7" s="263"/>
    </row>
    <row r="8" spans="1:9" s="267" customFormat="1">
      <c r="A8" s="949" t="s">
        <v>2292</v>
      </c>
      <c r="B8" s="259" t="s">
        <v>2293</v>
      </c>
      <c r="C8" s="264">
        <f>IF(G8="已包含在土地购买价格中","0",IF(B1="",'数据-取费表'!B29,IF(G9="全部缴纳",C9+C10,H9)))</f>
        <v>0</v>
      </c>
      <c r="D8" s="266"/>
      <c r="E8" s="264"/>
      <c r="F8" s="265"/>
      <c r="G8" s="2552" t="s">
        <v>3176</v>
      </c>
    </row>
    <row r="9" spans="1:9" s="258" customFormat="1" ht="13.5" customHeight="1">
      <c r="A9" s="950" t="s">
        <v>799</v>
      </c>
      <c r="B9" s="268" t="s">
        <v>2294</v>
      </c>
      <c r="C9" s="269">
        <f ca="1">ROUND(D9*E9/10000,0)</f>
        <v>0</v>
      </c>
      <c r="D9" s="1032">
        <f ca="1">IF(B1="",'数据-汇总表'!E5,IF(INDIRECT("'数据-取费表'!c"&amp;$G$1)="住宅",INDIRECT("'数据-取费表'!k"&amp;$G$1),0))</f>
        <v>0</v>
      </c>
      <c r="E9" s="269">
        <f>'数据-取费表'!B27</f>
        <v>160</v>
      </c>
      <c r="F9" s="265"/>
      <c r="G9" s="2553"/>
      <c r="H9" s="1390"/>
      <c r="I9" s="2554" t="s">
        <v>2295</v>
      </c>
    </row>
    <row r="10" spans="1:9" s="258" customFormat="1" ht="13.5" customHeight="1">
      <c r="A10" s="950" t="s">
        <v>800</v>
      </c>
      <c r="B10" s="268" t="s">
        <v>2296</v>
      </c>
      <c r="C10" s="269">
        <f ca="1">ROUND(D10*E10/10000,0)</f>
        <v>5452</v>
      </c>
      <c r="D10" s="1032">
        <f ca="1">IF(B1="",'数据-汇总表'!E6,IF(INDIRECT("'数据-取费表'!c"&amp;$G$1)="住宅",INDIRECT("'数据-取费表'!s"&amp;$G$1),INDIRECT("'数据-取费表'!k"&amp;$G$1)+INDIRECT("'数据-取费表'!s"&amp;$G$1)))</f>
        <v>272582</v>
      </c>
      <c r="E10" s="269">
        <f>'数据-取费表'!B28</f>
        <v>200</v>
      </c>
      <c r="F10" s="265"/>
      <c r="G10" s="270"/>
    </row>
    <row r="11" spans="1:9" s="258" customFormat="1" ht="13.5" hidden="1" customHeight="1">
      <c r="A11" s="271" t="s">
        <v>7</v>
      </c>
      <c r="B11" s="259" t="s">
        <v>2297</v>
      </c>
      <c r="C11" s="255"/>
      <c r="D11" s="1034"/>
      <c r="E11" s="262"/>
      <c r="F11" s="262"/>
      <c r="G11" s="263"/>
    </row>
    <row r="12" spans="1:9" s="258" customFormat="1" ht="13.5" hidden="1" customHeight="1">
      <c r="A12" s="271" t="s">
        <v>8</v>
      </c>
      <c r="B12" s="259" t="s">
        <v>2298</v>
      </c>
      <c r="C12" s="255">
        <v>0</v>
      </c>
      <c r="D12" s="1034"/>
      <c r="E12" s="272"/>
      <c r="F12" s="265">
        <v>3.0499999999999999E-2</v>
      </c>
      <c r="G12" s="263"/>
    </row>
    <row r="13" spans="1:9" s="258" customFormat="1" ht="13.5" hidden="1" customHeight="1">
      <c r="A13" s="271" t="s">
        <v>9</v>
      </c>
      <c r="B13" s="259" t="s">
        <v>2299</v>
      </c>
      <c r="C13" s="255"/>
      <c r="D13" s="1034"/>
      <c r="E13" s="262"/>
      <c r="F13" s="262"/>
      <c r="G13" s="263"/>
    </row>
    <row r="14" spans="1:9" s="258" customFormat="1" ht="13.5" hidden="1" customHeight="1">
      <c r="A14" s="271" t="s">
        <v>10</v>
      </c>
      <c r="B14" s="259" t="s">
        <v>2300</v>
      </c>
      <c r="C14" s="255"/>
      <c r="D14" s="1034"/>
      <c r="E14" s="262"/>
      <c r="F14" s="262"/>
      <c r="G14" s="263" t="s">
        <v>2301</v>
      </c>
    </row>
    <row r="15" spans="1:9" s="258" customFormat="1" ht="13.5" hidden="1" customHeight="1">
      <c r="A15" s="271" t="s">
        <v>11</v>
      </c>
      <c r="B15" s="259" t="s">
        <v>2302</v>
      </c>
      <c r="C15" s="264"/>
      <c r="D15" s="1034"/>
      <c r="E15" s="262"/>
      <c r="F15" s="262"/>
      <c r="G15" s="263" t="s">
        <v>2303</v>
      </c>
    </row>
    <row r="16" spans="1:9" s="258" customFormat="1" ht="13.5" hidden="1" customHeight="1">
      <c r="A16" s="271" t="s">
        <v>12</v>
      </c>
      <c r="B16" s="259" t="s">
        <v>2300</v>
      </c>
      <c r="C16" s="264"/>
      <c r="D16" s="1034"/>
      <c r="E16" s="262"/>
      <c r="F16" s="262"/>
      <c r="G16" s="263"/>
    </row>
    <row r="17" spans="1:7" s="258" customFormat="1" ht="13.5" hidden="1" customHeight="1">
      <c r="A17" s="271" t="s">
        <v>13</v>
      </c>
      <c r="B17" s="259" t="s">
        <v>2304</v>
      </c>
      <c r="C17" s="273"/>
      <c r="D17" s="1035"/>
      <c r="E17" s="273"/>
      <c r="F17" s="273"/>
      <c r="G17" s="263" t="s">
        <v>2303</v>
      </c>
    </row>
    <row r="18" spans="1:7" s="258" customFormat="1" ht="13.5" hidden="1" customHeight="1">
      <c r="A18" s="271" t="s">
        <v>14</v>
      </c>
      <c r="B18" s="259" t="s">
        <v>2305</v>
      </c>
      <c r="C18" s="264">
        <v>0</v>
      </c>
      <c r="D18" s="1034"/>
      <c r="E18" s="262"/>
      <c r="F18" s="265">
        <v>3.0499999999999999E-2</v>
      </c>
      <c r="G18" s="263" t="s">
        <v>2306</v>
      </c>
    </row>
    <row r="19" spans="1:7" s="267" customFormat="1" ht="13.5" customHeight="1">
      <c r="A19" s="299" t="s">
        <v>2307</v>
      </c>
      <c r="B19" s="254" t="s">
        <v>2308</v>
      </c>
      <c r="C19" s="255" t="str">
        <f>IF(G19="已包含在土地取得成本中","0",ROUND(D19*E19/10000,0))</f>
        <v>0</v>
      </c>
      <c r="D19" s="1036">
        <f ca="1">D9+D10</f>
        <v>272582</v>
      </c>
      <c r="E19" s="255">
        <f>'数据-取费表'!B31</f>
        <v>200</v>
      </c>
      <c r="F19" s="275"/>
      <c r="G19" s="2552" t="s">
        <v>3177</v>
      </c>
    </row>
    <row r="20" spans="1:7" s="258" customFormat="1" ht="13.5" customHeight="1">
      <c r="A20" s="299" t="s">
        <v>2309</v>
      </c>
      <c r="B20" s="254" t="s">
        <v>2310</v>
      </c>
      <c r="C20" s="276">
        <f>ROUND((C5+C19)*F20,0)</f>
        <v>4804</v>
      </c>
      <c r="D20" s="276"/>
      <c r="E20" s="276"/>
      <c r="F20" s="277">
        <f>'数据-取费表'!B37</f>
        <v>0.02</v>
      </c>
      <c r="G20" s="278" t="s">
        <v>2311</v>
      </c>
    </row>
    <row r="21" spans="1:7" s="258" customFormat="1" ht="13.5" customHeight="1">
      <c r="A21" s="299" t="s">
        <v>2312</v>
      </c>
      <c r="B21" s="254" t="s">
        <v>2313</v>
      </c>
      <c r="C21" s="279">
        <f>F21</f>
        <v>0.02</v>
      </c>
      <c r="D21" s="280" t="s">
        <v>2314</v>
      </c>
      <c r="E21" s="276"/>
      <c r="F21" s="277">
        <f>'数据-取费表'!B38</f>
        <v>0.02</v>
      </c>
      <c r="G21" s="278" t="s">
        <v>2315</v>
      </c>
    </row>
    <row r="22" spans="1:7" s="258" customFormat="1" ht="13.5" customHeight="1">
      <c r="A22" s="299" t="s">
        <v>2316</v>
      </c>
      <c r="B22" s="254" t="s">
        <v>2317</v>
      </c>
      <c r="C22" s="1354">
        <f ca="1">ROUND(SUM(C23:C25),0)</f>
        <v>17485</v>
      </c>
      <c r="D22" s="279">
        <f ca="1">C26</f>
        <v>6.9999999999999999E-4</v>
      </c>
      <c r="E22" s="280" t="s">
        <v>2314</v>
      </c>
      <c r="F22" s="281">
        <f ca="1">'数据-取费表'!B40</f>
        <v>4.7500000000000001E-2</v>
      </c>
      <c r="G22" s="278" t="str">
        <f>IF('数据-取费表'!B22&lt;=1,"单利计息","复利计息")</f>
        <v>复利计息</v>
      </c>
    </row>
    <row r="23" spans="1:7" s="258" customFormat="1" ht="13.5" customHeight="1">
      <c r="A23" s="951" t="s">
        <v>2318</v>
      </c>
      <c r="B23" s="259" t="s">
        <v>2319</v>
      </c>
      <c r="C23" s="1355">
        <f ca="1">ROUND(IF('数据-取费表'!B22&lt;=1,C5*F22*'数据-取费表'!B23,C5*(POWER((1+F22),'数据-取费表'!B23)-1)),0)</f>
        <v>17315</v>
      </c>
      <c r="D23" s="282"/>
      <c r="E23" s="282"/>
      <c r="F23" s="283"/>
      <c r="G23" s="284" t="s">
        <v>2320</v>
      </c>
    </row>
    <row r="24" spans="1:7" s="258" customFormat="1" ht="13.5" customHeight="1">
      <c r="A24" s="951" t="s">
        <v>2321</v>
      </c>
      <c r="B24" s="259" t="s">
        <v>2322</v>
      </c>
      <c r="C24" s="1355">
        <f ca="1">ROUND(IF('数据-取费表'!B22&lt;=1,C19*F22*('数据-取费表'!B19/2+'数据-取费表'!B21),C19*(POWER((1+F22),('数据-取费表'!B19/2+'数据-取费表'!B21))-1)),0)</f>
        <v>0</v>
      </c>
      <c r="D24" s="282"/>
      <c r="E24" s="282"/>
      <c r="F24" s="283"/>
      <c r="G24" s="284" t="s">
        <v>2323</v>
      </c>
    </row>
    <row r="25" spans="1:7" s="258" customFormat="1" ht="24">
      <c r="A25" s="951" t="s">
        <v>2324</v>
      </c>
      <c r="B25" s="259" t="s">
        <v>2325</v>
      </c>
      <c r="C25" s="1355">
        <f ca="1">ROUND(IF('数据-取费表'!B22&lt;=1,C20*F22*'数据-取费表'!B23/2,C20*(POWER((1+F22),'数据-取费表'!B23/2)-1)),0)</f>
        <v>170</v>
      </c>
      <c r="D25" s="282"/>
      <c r="E25" s="285"/>
      <c r="F25" s="283"/>
      <c r="G25" s="286" t="s">
        <v>2326</v>
      </c>
    </row>
    <row r="26" spans="1:7" s="258" customFormat="1">
      <c r="A26" s="951" t="s">
        <v>794</v>
      </c>
      <c r="B26" s="259" t="s">
        <v>2327</v>
      </c>
      <c r="C26" s="282">
        <f ca="1">ROUND(IF('数据-取费表'!B22&lt;=1,F21*F22*'数据-取费表'!B23/2,F21*(POWER((1+F22),'数据-取费表'!B23/2)-1)),4)</f>
        <v>6.9999999999999999E-4</v>
      </c>
      <c r="D26" s="282"/>
      <c r="E26" s="285"/>
      <c r="F26" s="283"/>
      <c r="G26" s="287"/>
    </row>
    <row r="27" spans="1:7" s="258" customFormat="1" ht="24.75">
      <c r="A27" s="299" t="s">
        <v>2328</v>
      </c>
      <c r="B27" s="288" t="s">
        <v>2329</v>
      </c>
      <c r="C27" s="289">
        <f ca="1">C28</f>
        <v>18374</v>
      </c>
      <c r="D27" s="279">
        <f ca="1">C29</f>
        <v>1.5E-3</v>
      </c>
      <c r="E27" s="280" t="s">
        <v>2330</v>
      </c>
      <c r="F27" s="290">
        <f ca="1">IF(B1="",'数据-取费表'!Q16,INDIRECT("'数据-取费表'!q"&amp;$G$1))</f>
        <v>0.15</v>
      </c>
      <c r="G27" s="291" t="s">
        <v>2331</v>
      </c>
    </row>
    <row r="28" spans="1:7" s="258" customFormat="1" ht="13.5" customHeight="1">
      <c r="A28" s="951" t="s">
        <v>790</v>
      </c>
      <c r="B28" s="292" t="s">
        <v>2332</v>
      </c>
      <c r="C28" s="293">
        <f ca="1">ROUND((C5+C19+C20)*F27*'数据-取费表'!B21/'数据-取费表'!B20,0)</f>
        <v>18374</v>
      </c>
      <c r="D28" s="279"/>
      <c r="E28" s="280"/>
      <c r="F28" s="290"/>
      <c r="G28" s="291"/>
    </row>
    <row r="29" spans="1:7" s="258" customFormat="1" ht="13.5" customHeight="1">
      <c r="A29" s="951" t="s">
        <v>791</v>
      </c>
      <c r="B29" s="292" t="s">
        <v>2333</v>
      </c>
      <c r="C29" s="282">
        <f ca="1">ROUND(C21*F27*'数据-取费表'!B21/'数据-取费表'!B20,4)</f>
        <v>1.5E-3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303779</v>
      </c>
      <c r="D31" s="274"/>
      <c r="E31" s="255"/>
      <c r="F31" s="294"/>
      <c r="G31" s="278" t="s">
        <v>2338</v>
      </c>
    </row>
    <row r="32" spans="1:7" s="252" customFormat="1" ht="15.75">
      <c r="A32" s="296" t="s">
        <v>2339</v>
      </c>
      <c r="B32" s="297"/>
      <c r="C32" s="297"/>
      <c r="D32" s="297"/>
      <c r="E32" s="297"/>
      <c r="F32" s="297"/>
      <c r="G32" s="298"/>
    </row>
    <row r="33" spans="1:7" s="258" customFormat="1" ht="13.5" customHeight="1">
      <c r="A33" s="299" t="s">
        <v>781</v>
      </c>
      <c r="B33" s="254" t="s">
        <v>2340</v>
      </c>
      <c r="C33" s="300">
        <f ca="1">SUM(C34:C38)</f>
        <v>31989</v>
      </c>
      <c r="D33" s="276"/>
      <c r="E33" s="256"/>
      <c r="F33" s="285"/>
      <c r="G33" s="278"/>
    </row>
    <row r="34" spans="1:7" s="302" customFormat="1" ht="13.5" customHeight="1">
      <c r="A34" s="951" t="s">
        <v>790</v>
      </c>
      <c r="B34" s="259" t="s">
        <v>2341</v>
      </c>
      <c r="C34" s="264">
        <f ca="1">IF(B1="",IF(F34=100%,'数据-取费表'!M16,'数据-取费表'!O16),IF(F34=100%,INDIRECT("'数据-取费表'!m"&amp;$G$1)+INDIRECT("'数据-取费表'!t"&amp;$G$1),INDIRECT("'数据-取费表'!o"&amp;$G$1)+INDIRECT("'数据-取费表'!aq"&amp;$G$1)))</f>
        <v>28122</v>
      </c>
      <c r="D34" s="261"/>
      <c r="E34" s="264"/>
      <c r="F34" s="301">
        <f ca="1">IF('数据-取费表'!B24=0,1,IF(B1="",'数据-取费表'!N16,INDIRECT("'数据-取费表'!n"&amp;$G$1)))</f>
        <v>0.374</v>
      </c>
      <c r="G34" s="263" t="s">
        <v>2342</v>
      </c>
    </row>
    <row r="35" spans="1:7" ht="13.5" customHeight="1">
      <c r="A35" s="951" t="s">
        <v>795</v>
      </c>
      <c r="B35" s="259" t="s">
        <v>2343</v>
      </c>
      <c r="C35" s="264">
        <f ca="1">ROUND(C34*F35,0)</f>
        <v>1406</v>
      </c>
      <c r="D35" s="264"/>
      <c r="E35" s="264"/>
      <c r="F35" s="303">
        <f>'数据-取费表'!B33</f>
        <v>0.05</v>
      </c>
      <c r="G35" s="263" t="s">
        <v>2344</v>
      </c>
    </row>
    <row r="36" spans="1:7" ht="24">
      <c r="A36" s="951" t="s">
        <v>796</v>
      </c>
      <c r="B36" s="259" t="s">
        <v>2345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2346</v>
      </c>
    </row>
    <row r="37" spans="1:7" s="302" customFormat="1" ht="13.5" customHeight="1">
      <c r="A37" s="951" t="s">
        <v>797</v>
      </c>
      <c r="B37" s="259" t="s">
        <v>2347</v>
      </c>
      <c r="C37" s="293">
        <f ca="1">ROUND(E37*D37*F34/10000,0)</f>
        <v>2039</v>
      </c>
      <c r="D37" s="261">
        <f ca="1">D19</f>
        <v>272582</v>
      </c>
      <c r="E37" s="293">
        <f>'数据-取费表'!B35</f>
        <v>200</v>
      </c>
      <c r="F37" s="303"/>
      <c r="G37" s="305" t="s">
        <v>2348</v>
      </c>
    </row>
    <row r="38" spans="1:7" ht="13.5" customHeight="1">
      <c r="A38" s="951" t="s">
        <v>798</v>
      </c>
      <c r="B38" s="259" t="s">
        <v>2349</v>
      </c>
      <c r="C38" s="264">
        <f ca="1">ROUND(C34*F38,0)</f>
        <v>422</v>
      </c>
      <c r="D38" s="264"/>
      <c r="E38" s="264"/>
      <c r="F38" s="303">
        <f>'数据-取费表'!B36</f>
        <v>1.4999999999999999E-2</v>
      </c>
      <c r="G38" s="263" t="s">
        <v>2344</v>
      </c>
    </row>
    <row r="39" spans="1:7" s="258" customFormat="1" ht="13.5" customHeight="1">
      <c r="A39" s="299" t="s">
        <v>2350</v>
      </c>
      <c r="B39" s="254" t="s">
        <v>2351</v>
      </c>
      <c r="C39" s="276">
        <f ca="1">ROUND(C33*F20,0)</f>
        <v>640</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1156</v>
      </c>
      <c r="D41" s="279">
        <f ca="1">C44</f>
        <v>6.9999999999999999E-4</v>
      </c>
      <c r="E41" s="280" t="s">
        <v>2355</v>
      </c>
      <c r="F41" s="281"/>
      <c r="G41" s="278" t="str">
        <f>IF('数据-取费表'!B22&lt;=1,"单利计息","复利计息")</f>
        <v>复利计息</v>
      </c>
    </row>
    <row r="42" spans="1:7" ht="13.5" customHeight="1">
      <c r="A42" s="951" t="s">
        <v>790</v>
      </c>
      <c r="B42" s="259" t="s">
        <v>2359</v>
      </c>
      <c r="C42" s="282">
        <f ca="1">ROUND(IF('数据-取费表'!B22&lt;=1,C33*F22*'数据-取费表'!B21/2,C33*(POWER((1+F22),'数据-取费表'!B21/2)-1)),0)</f>
        <v>1133</v>
      </c>
      <c r="D42" s="282"/>
      <c r="E42" s="282"/>
      <c r="F42" s="283"/>
      <c r="G42" s="3137" t="s">
        <v>2360</v>
      </c>
    </row>
    <row r="43" spans="1:7" ht="13.5" customHeight="1">
      <c r="A43" s="951" t="s">
        <v>791</v>
      </c>
      <c r="B43" s="259" t="s">
        <v>2361</v>
      </c>
      <c r="C43" s="282">
        <f ca="1">ROUND(IF('数据-取费表'!B22&lt;=1,C39*F22*'数据-取费表'!B21/2,C39*(POWER((1+F22),'数据-取费表'!B21/2)-1)),0)</f>
        <v>23</v>
      </c>
      <c r="D43" s="282"/>
      <c r="E43" s="282"/>
      <c r="F43" s="283"/>
      <c r="G43" s="3138"/>
    </row>
    <row r="44" spans="1:7" ht="13.5" customHeight="1">
      <c r="A44" s="951" t="s">
        <v>792</v>
      </c>
      <c r="B44" s="259" t="s">
        <v>2362</v>
      </c>
      <c r="C44" s="282">
        <f ca="1">ROUND(IF('数据-取费表'!B22&lt;=1,C40*F22*'数据-取费表'!B21/2,C40*(POWER((1+F22),'数据-取费表'!B21/2)-1)),4)</f>
        <v>6.9999999999999999E-4</v>
      </c>
      <c r="D44" s="282"/>
      <c r="E44" s="282"/>
      <c r="F44" s="283"/>
      <c r="G44" s="3139"/>
    </row>
    <row r="45" spans="1:7" s="258" customFormat="1" ht="13.5" customHeight="1">
      <c r="A45" s="299" t="s">
        <v>2363</v>
      </c>
      <c r="B45" s="288" t="s">
        <v>2329</v>
      </c>
      <c r="C45" s="289">
        <f ca="1">C46</f>
        <v>4894</v>
      </c>
      <c r="D45" s="279">
        <f ca="1">C47</f>
        <v>3.0000000000000001E-3</v>
      </c>
      <c r="E45" s="280" t="s">
        <v>2355</v>
      </c>
      <c r="F45" s="290"/>
      <c r="G45" s="291" t="s">
        <v>2364</v>
      </c>
    </row>
    <row r="46" spans="1:7" s="258" customFormat="1" ht="13.5" customHeight="1">
      <c r="A46" s="951" t="s">
        <v>790</v>
      </c>
      <c r="B46" s="292" t="s">
        <v>2365</v>
      </c>
      <c r="C46" s="293">
        <f ca="1">ROUND((C33+C39)*F27,0)</f>
        <v>4894</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1727">
        <f>ROUND(F30/(1+'数据-取费表'!C42),4)</f>
        <v>5.33E-2</v>
      </c>
      <c r="D48" s="280" t="s">
        <v>2355</v>
      </c>
      <c r="E48" s="276"/>
      <c r="F48" s="281"/>
      <c r="G48" s="278" t="s">
        <v>2368</v>
      </c>
    </row>
    <row r="49" spans="1:7" ht="16.5" customHeight="1">
      <c r="A49" s="299" t="s">
        <v>2334</v>
      </c>
      <c r="B49" s="254" t="s">
        <v>2369</v>
      </c>
      <c r="C49" s="276">
        <f ca="1">ROUND((C33+C39+C41+C45)/(1-C40-D41-D45-C48),0)</f>
        <v>41906</v>
      </c>
      <c r="D49" s="276"/>
      <c r="E49" s="276"/>
      <c r="F49" s="308"/>
      <c r="G49" s="278" t="s">
        <v>2370</v>
      </c>
    </row>
    <row r="50" spans="1:7" s="302" customFormat="1" ht="24">
      <c r="A50" s="299" t="s">
        <v>2371</v>
      </c>
      <c r="B50" s="254" t="s">
        <v>2372</v>
      </c>
      <c r="C50" s="276"/>
      <c r="D50" s="276"/>
      <c r="E50" s="276"/>
      <c r="F50" s="308">
        <f>IF('数据-取费表'!B24=0,'数据-取费表'!N16,1)</f>
        <v>1</v>
      </c>
      <c r="G50" s="291" t="s">
        <v>2373</v>
      </c>
    </row>
    <row r="51" spans="1:7" ht="16.5" customHeight="1">
      <c r="A51" s="299" t="s">
        <v>2374</v>
      </c>
      <c r="B51" s="254" t="s">
        <v>2375</v>
      </c>
      <c r="C51" s="276">
        <f ca="1">ROUND(C49*F50,0)</f>
        <v>41906</v>
      </c>
      <c r="D51" s="276"/>
      <c r="E51" s="276"/>
      <c r="F51" s="308"/>
      <c r="G51" s="278" t="s">
        <v>2376</v>
      </c>
    </row>
    <row r="52" spans="1:7" s="252" customFormat="1" ht="16.5" thickBot="1">
      <c r="A52" s="309" t="s">
        <v>2377</v>
      </c>
      <c r="B52" s="310"/>
      <c r="C52" s="311">
        <f ca="1">C31+C51</f>
        <v>345685</v>
      </c>
      <c r="D52" s="310"/>
      <c r="E52" s="310"/>
      <c r="F52" s="310"/>
      <c r="G52" s="312"/>
    </row>
    <row r="55" spans="1:7" ht="15">
      <c r="B55" s="314" t="s">
        <v>2378</v>
      </c>
      <c r="C55" s="315"/>
    </row>
    <row r="56" spans="1:7">
      <c r="B56" s="317" t="s">
        <v>1505</v>
      </c>
      <c r="C56" s="319">
        <f ca="1">1-C57</f>
        <v>0.879</v>
      </c>
    </row>
    <row r="57" spans="1:7">
      <c r="B57" s="317" t="s">
        <v>1506</v>
      </c>
      <c r="C57" s="318">
        <f ca="1">ROUND(C51/C52,3)</f>
        <v>0.121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2277</v>
      </c>
      <c r="B1" s="1936"/>
      <c r="C1" s="2555" t="s">
        <v>2379</v>
      </c>
      <c r="D1" s="242"/>
      <c r="E1" s="242"/>
      <c r="F1" s="242"/>
      <c r="G1" s="1379">
        <f>MATCH(B1,'数据-取费表'!A6:A16,0)+5</f>
        <v>10</v>
      </c>
      <c r="H1" s="1282" t="str">
        <f>IF(ISERROR(FIND("住宅",B1)),"非住宅","住宅")</f>
        <v>非住宅</v>
      </c>
    </row>
    <row r="2" spans="1:8" s="244" customFormat="1" ht="18" customHeight="1">
      <c r="A2" s="245" t="s">
        <v>2278</v>
      </c>
      <c r="B2" s="246">
        <f ca="1">ROUND(IF(D2="——",C52/10000,C52/10000-E2),0)</f>
        <v>131338</v>
      </c>
      <c r="C2" s="243" t="s">
        <v>2279</v>
      </c>
      <c r="D2" s="2549" t="s">
        <v>70</v>
      </c>
      <c r="E2" s="1440" t="e">
        <f ca="1">SUMIF(INDIRECT("'"&amp;G2&amp;"'"&amp;"!A:A"),"承租人权益价值",INDIRECT("'"&amp;G2&amp;"'"&amp;"!c:c"))</f>
        <v>#REF!</v>
      </c>
      <c r="F2" s="2550" t="s">
        <v>2279</v>
      </c>
      <c r="G2" s="2551"/>
    </row>
    <row r="3" spans="1:8" s="244" customFormat="1" ht="18" customHeight="1" thickBot="1">
      <c r="A3" s="247" t="s">
        <v>2280</v>
      </c>
      <c r="B3" s="248">
        <f ca="1">ROUND(B2*10000/(IF(B1="",'数据-汇总表'!E3,INDIRECT("'数据-取费表'!k"&amp;$G$1))),0)</f>
        <v>4818</v>
      </c>
      <c r="C3" s="243" t="s">
        <v>2281</v>
      </c>
      <c r="D3" s="243"/>
      <c r="E3" s="243"/>
      <c r="F3" s="243"/>
      <c r="G3" s="243"/>
    </row>
    <row r="4" spans="1:8" s="252" customFormat="1" ht="15.75">
      <c r="A4" s="249" t="s">
        <v>2282</v>
      </c>
      <c r="B4" s="250"/>
      <c r="C4" s="250"/>
      <c r="D4" s="250"/>
      <c r="E4" s="250"/>
      <c r="F4" s="250"/>
      <c r="G4" s="251"/>
    </row>
    <row r="5" spans="1:8" s="258" customFormat="1" ht="13.5" customHeight="1">
      <c r="A5" s="299" t="s">
        <v>2283</v>
      </c>
      <c r="B5" s="254" t="s">
        <v>2284</v>
      </c>
      <c r="C5" s="255">
        <f ca="1">C6+C7+C8</f>
        <v>54516400</v>
      </c>
      <c r="D5" s="255" t="s">
        <v>2285</v>
      </c>
      <c r="E5" s="256" t="s">
        <v>2286</v>
      </c>
      <c r="F5" s="256" t="s">
        <v>2287</v>
      </c>
      <c r="G5" s="257"/>
    </row>
    <row r="6" spans="1:8" s="258" customFormat="1" ht="13.5" customHeight="1">
      <c r="A6" s="949" t="s">
        <v>2288</v>
      </c>
      <c r="B6" s="259" t="s">
        <v>2289</v>
      </c>
      <c r="C6" s="260"/>
      <c r="D6" s="261"/>
      <c r="E6" s="262"/>
      <c r="F6" s="262"/>
      <c r="G6" s="263"/>
    </row>
    <row r="7" spans="1:8" s="258" customFormat="1" ht="13.5" customHeight="1">
      <c r="A7" s="949" t="s">
        <v>2290</v>
      </c>
      <c r="B7" s="259" t="s">
        <v>2291</v>
      </c>
      <c r="C7" s="264">
        <f>ROUND(C6*F7,0)</f>
        <v>0</v>
      </c>
      <c r="D7" s="264"/>
      <c r="E7" s="262"/>
      <c r="F7" s="265">
        <f>'数据-取费表'!B48+'数据-取费表'!B49</f>
        <v>3.0499999999999999E-2</v>
      </c>
      <c r="G7" s="263"/>
    </row>
    <row r="8" spans="1:8" s="267" customFormat="1">
      <c r="A8" s="949" t="s">
        <v>2292</v>
      </c>
      <c r="B8" s="259" t="s">
        <v>2293</v>
      </c>
      <c r="C8" s="264">
        <f ca="1">IF(G8="已包含在土地购买价格中",0,C9+C10)</f>
        <v>54516400</v>
      </c>
      <c r="D8" s="266"/>
      <c r="E8" s="264"/>
      <c r="F8" s="265"/>
      <c r="G8" s="2552"/>
    </row>
    <row r="9" spans="1:8" s="258" customFormat="1" ht="13.5" customHeight="1">
      <c r="A9" s="950" t="s">
        <v>799</v>
      </c>
      <c r="B9" s="268" t="s">
        <v>2294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2296</v>
      </c>
      <c r="C10" s="269">
        <f ca="1">ROUND(D10*E10,0)</f>
        <v>54516400</v>
      </c>
      <c r="D10" s="1032">
        <f ca="1">IF(B1="",'数据-汇总表'!E6,IF(INDIRECT("'数据-取费表'!c"&amp;$G$1)="住宅",INDIRECT("'数据-取费表'!s"&amp;$G$1),INDIRECT("'数据-取费表'!k"&amp;$G$1)+INDIRECT("'数据-取费表'!s"&amp;$G$1)))</f>
        <v>272582</v>
      </c>
      <c r="E10" s="269">
        <f>'数据-取费表'!B28</f>
        <v>200</v>
      </c>
      <c r="F10" s="265"/>
      <c r="G10" s="270"/>
    </row>
    <row r="11" spans="1:8" s="258" customFormat="1" ht="13.5" hidden="1" customHeight="1">
      <c r="A11" s="271" t="s">
        <v>7</v>
      </c>
      <c r="B11" s="259" t="s">
        <v>2297</v>
      </c>
      <c r="C11" s="255"/>
      <c r="D11" s="1034"/>
      <c r="E11" s="262"/>
      <c r="F11" s="262"/>
      <c r="G11" s="263"/>
    </row>
    <row r="12" spans="1:8" s="258" customFormat="1" ht="13.5" hidden="1" customHeight="1">
      <c r="A12" s="271" t="s">
        <v>8</v>
      </c>
      <c r="B12" s="259" t="s">
        <v>2380</v>
      </c>
      <c r="C12" s="255">
        <v>0</v>
      </c>
      <c r="D12" s="1034"/>
      <c r="E12" s="272"/>
      <c r="F12" s="265">
        <v>3.0499999999999999E-2</v>
      </c>
      <c r="G12" s="263"/>
    </row>
    <row r="13" spans="1:8" s="258" customFormat="1" ht="13.5" hidden="1" customHeight="1">
      <c r="A13" s="271" t="s">
        <v>9</v>
      </c>
      <c r="B13" s="259" t="s">
        <v>2381</v>
      </c>
      <c r="C13" s="255"/>
      <c r="D13" s="1034"/>
      <c r="E13" s="262"/>
      <c r="F13" s="262"/>
      <c r="G13" s="263"/>
    </row>
    <row r="14" spans="1:8" s="258" customFormat="1" ht="13.5" hidden="1" customHeight="1">
      <c r="A14" s="271" t="s">
        <v>10</v>
      </c>
      <c r="B14" s="259" t="s">
        <v>2293</v>
      </c>
      <c r="C14" s="255"/>
      <c r="D14" s="1034"/>
      <c r="E14" s="262"/>
      <c r="F14" s="262"/>
      <c r="G14" s="263" t="s">
        <v>2382</v>
      </c>
    </row>
    <row r="15" spans="1:8" s="258" customFormat="1" ht="13.5" hidden="1" customHeight="1">
      <c r="A15" s="271" t="s">
        <v>11</v>
      </c>
      <c r="B15" s="259" t="s">
        <v>2383</v>
      </c>
      <c r="C15" s="264"/>
      <c r="D15" s="1034"/>
      <c r="E15" s="262"/>
      <c r="F15" s="262"/>
      <c r="G15" s="263" t="s">
        <v>2384</v>
      </c>
    </row>
    <row r="16" spans="1:8" s="258" customFormat="1" ht="13.5" hidden="1" customHeight="1">
      <c r="A16" s="271" t="s">
        <v>12</v>
      </c>
      <c r="B16" s="259" t="s">
        <v>2293</v>
      </c>
      <c r="C16" s="264"/>
      <c r="D16" s="1034"/>
      <c r="E16" s="262"/>
      <c r="F16" s="262"/>
      <c r="G16" s="263"/>
    </row>
    <row r="17" spans="1:7" s="258" customFormat="1" ht="13.5" hidden="1" customHeight="1">
      <c r="A17" s="271" t="s">
        <v>13</v>
      </c>
      <c r="B17" s="259" t="s">
        <v>2385</v>
      </c>
      <c r="C17" s="273"/>
      <c r="D17" s="1035"/>
      <c r="E17" s="273"/>
      <c r="F17" s="273"/>
      <c r="G17" s="263" t="s">
        <v>2384</v>
      </c>
    </row>
    <row r="18" spans="1:7" s="258" customFormat="1" ht="13.5" hidden="1" customHeight="1">
      <c r="A18" s="271" t="s">
        <v>14</v>
      </c>
      <c r="B18" s="259" t="s">
        <v>2386</v>
      </c>
      <c r="C18" s="264">
        <v>0</v>
      </c>
      <c r="D18" s="1034"/>
      <c r="E18" s="262"/>
      <c r="F18" s="265">
        <v>3.0499999999999999E-2</v>
      </c>
      <c r="G18" s="263" t="s">
        <v>2387</v>
      </c>
    </row>
    <row r="19" spans="1:7" s="267" customFormat="1" ht="13.5" customHeight="1">
      <c r="A19" s="299" t="s">
        <v>2388</v>
      </c>
      <c r="B19" s="254" t="s">
        <v>2389</v>
      </c>
      <c r="C19" s="255">
        <f ca="1">IF(G19="已包含在土地取得成本中","0",ROUND(D19*E19,0))</f>
        <v>54516400</v>
      </c>
      <c r="D19" s="1036">
        <f ca="1">D9+D10</f>
        <v>272582</v>
      </c>
      <c r="E19" s="255">
        <f>'数据-取费表'!B31</f>
        <v>200</v>
      </c>
      <c r="F19" s="275"/>
      <c r="G19" s="2552"/>
    </row>
    <row r="20" spans="1:7" s="258" customFormat="1" ht="13.5" customHeight="1">
      <c r="A20" s="299" t="s">
        <v>2390</v>
      </c>
      <c r="B20" s="254" t="s">
        <v>2391</v>
      </c>
      <c r="C20" s="276">
        <f ca="1">ROUND((C5+C19)*F20,0)</f>
        <v>2180656</v>
      </c>
      <c r="D20" s="276"/>
      <c r="E20" s="276"/>
      <c r="F20" s="277">
        <f>'数据-取费表'!B37</f>
        <v>0.02</v>
      </c>
      <c r="G20" s="278" t="s">
        <v>2392</v>
      </c>
    </row>
    <row r="21" spans="1:7" s="258" customFormat="1" ht="13.5" customHeight="1">
      <c r="A21" s="299" t="s">
        <v>2393</v>
      </c>
      <c r="B21" s="254" t="s">
        <v>2394</v>
      </c>
      <c r="C21" s="279">
        <f>F21</f>
        <v>0.02</v>
      </c>
      <c r="D21" s="280" t="s">
        <v>2395</v>
      </c>
      <c r="E21" s="276"/>
      <c r="F21" s="277">
        <f>'数据-取费表'!B38</f>
        <v>0.02</v>
      </c>
      <c r="G21" s="278" t="s">
        <v>2396</v>
      </c>
    </row>
    <row r="22" spans="1:7" s="258" customFormat="1" ht="13.5" customHeight="1">
      <c r="A22" s="299" t="s">
        <v>2397</v>
      </c>
      <c r="B22" s="254" t="s">
        <v>2398</v>
      </c>
      <c r="C22" s="1380">
        <f ca="1">ROUND(SUM(C23:C25),0)</f>
        <v>16444078</v>
      </c>
      <c r="D22" s="279">
        <f ca="1">C26</f>
        <v>1.4E-3</v>
      </c>
      <c r="E22" s="280" t="s">
        <v>2395</v>
      </c>
      <c r="F22" s="281">
        <f ca="1">'数据-取费表'!B40</f>
        <v>4.7500000000000001E-2</v>
      </c>
      <c r="G22" s="278" t="str">
        <f>IF('数据-取费表'!B22&lt;=1,"单利计息","复利计息")</f>
        <v>复利计息</v>
      </c>
    </row>
    <row r="23" spans="1:7" s="258" customFormat="1" ht="13.5" customHeight="1">
      <c r="A23" s="951" t="s">
        <v>2288</v>
      </c>
      <c r="B23" s="259" t="s">
        <v>2399</v>
      </c>
      <c r="C23" s="1381">
        <f ca="1">ROUND(IF('数据-取费表'!B22&lt;=1,C5*F22*'数据-取费表'!B22,C5*(POWER((1+F22),'数据-取费表'!B22)-1)),0)</f>
        <v>8143438</v>
      </c>
      <c r="D23" s="282"/>
      <c r="E23" s="282"/>
      <c r="F23" s="283"/>
      <c r="G23" s="284" t="s">
        <v>2400</v>
      </c>
    </row>
    <row r="24" spans="1:7" s="258" customFormat="1" ht="13.5" customHeight="1">
      <c r="A24" s="951" t="s">
        <v>2290</v>
      </c>
      <c r="B24" s="259" t="s">
        <v>2401</v>
      </c>
      <c r="C24" s="1381">
        <f ca="1">ROUND(IF('数据-取费表'!B22&lt;=1,C19*F22*('数据-取费表'!B19/2+'数据-取费表'!B20),C19*(POWER((1+F22),('数据-取费表'!B19/2+'数据-取费表'!B20))-1)),0)</f>
        <v>8143438</v>
      </c>
      <c r="D24" s="282"/>
      <c r="E24" s="282"/>
      <c r="F24" s="283"/>
      <c r="G24" s="284" t="s">
        <v>2402</v>
      </c>
    </row>
    <row r="25" spans="1:7" s="258" customFormat="1" ht="24">
      <c r="A25" s="951" t="s">
        <v>2292</v>
      </c>
      <c r="B25" s="259" t="s">
        <v>2403</v>
      </c>
      <c r="C25" s="1381">
        <f ca="1">ROUND(IF('数据-取费表'!B22&lt;=1,C20*F22*'数据-取费表'!B22/2,C20*(POWER((1+F22),'数据-取费表'!B22/2)-1)),0)</f>
        <v>157202</v>
      </c>
      <c r="D25" s="282"/>
      <c r="E25" s="285"/>
      <c r="F25" s="283"/>
      <c r="G25" s="286" t="s">
        <v>2404</v>
      </c>
    </row>
    <row r="26" spans="1:7" s="258" customFormat="1">
      <c r="A26" s="951" t="s">
        <v>794</v>
      </c>
      <c r="B26" s="259" t="s">
        <v>2327</v>
      </c>
      <c r="C26" s="282">
        <f ca="1">ROUND(IF('数据-取费表'!B22&lt;=1,F21*F22*'数据-取费表'!B22/2,F21*(POWER((1+F22),'数据-取费表'!B22/2)-1)),4)</f>
        <v>1.4E-3</v>
      </c>
      <c r="D26" s="282"/>
      <c r="E26" s="285"/>
      <c r="F26" s="283"/>
      <c r="G26" s="287"/>
    </row>
    <row r="27" spans="1:7" s="258" customFormat="1" ht="24.75">
      <c r="A27" s="299" t="s">
        <v>2328</v>
      </c>
      <c r="B27" s="288" t="s">
        <v>2329</v>
      </c>
      <c r="C27" s="289">
        <f ca="1">C28</f>
        <v>16682018</v>
      </c>
      <c r="D27" s="279">
        <f ca="1">C29</f>
        <v>3.0000000000000001E-3</v>
      </c>
      <c r="E27" s="280" t="s">
        <v>2330</v>
      </c>
      <c r="F27" s="290">
        <f ca="1">IF(B1="",'数据-取费表'!Q16,INDIRECT("'数据-取费表'!q"&amp;$G$1))</f>
        <v>0.15</v>
      </c>
      <c r="G27" s="291" t="s">
        <v>2331</v>
      </c>
    </row>
    <row r="28" spans="1:7" s="258" customFormat="1" ht="13.5" customHeight="1">
      <c r="A28" s="951" t="s">
        <v>790</v>
      </c>
      <c r="B28" s="292" t="s">
        <v>2332</v>
      </c>
      <c r="C28" s="293">
        <f ca="1">ROUND((C5+C19+C20)*F27,0)</f>
        <v>16682018</v>
      </c>
      <c r="D28" s="279"/>
      <c r="E28" s="280"/>
      <c r="F28" s="290"/>
      <c r="G28" s="291"/>
    </row>
    <row r="29" spans="1:7" s="258" customFormat="1" ht="13.5" customHeight="1">
      <c r="A29" s="951" t="s">
        <v>791</v>
      </c>
      <c r="B29" s="292" t="s">
        <v>2333</v>
      </c>
      <c r="C29" s="282">
        <f ca="1">ROUND(C21*F27,4)</f>
        <v>3.0000000000000001E-3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156499568</v>
      </c>
      <c r="D31" s="274"/>
      <c r="E31" s="255"/>
      <c r="F31" s="294"/>
      <c r="G31" s="278" t="s">
        <v>2338</v>
      </c>
    </row>
    <row r="32" spans="1:7" s="252" customFormat="1" ht="15.75">
      <c r="A32" s="296" t="s">
        <v>2405</v>
      </c>
      <c r="B32" s="297"/>
      <c r="C32" s="297"/>
      <c r="D32" s="297"/>
      <c r="E32" s="297"/>
      <c r="F32" s="297"/>
      <c r="G32" s="298"/>
    </row>
    <row r="33" spans="1:7" s="258" customFormat="1" ht="13.5" customHeight="1">
      <c r="A33" s="299" t="s">
        <v>781</v>
      </c>
      <c r="B33" s="254" t="s">
        <v>2406</v>
      </c>
      <c r="C33" s="300">
        <f ca="1">SUM(C34:C38)</f>
        <v>855971615</v>
      </c>
      <c r="D33" s="276"/>
      <c r="E33" s="256"/>
      <c r="F33" s="285"/>
      <c r="G33" s="278"/>
    </row>
    <row r="34" spans="1:7" s="302" customFormat="1" ht="13.5" customHeight="1">
      <c r="A34" s="951" t="s">
        <v>790</v>
      </c>
      <c r="B34" s="259" t="s">
        <v>2341</v>
      </c>
      <c r="C34" s="264">
        <f ca="1">ROUND(IF(B1="",SUMPRODUCT('数据-取费表'!K6:K14,'数据-取费表'!L6:L14),INDIRECT("'数据-取费表'!l"&amp;$G$1)*INDIRECT("'数据-取费表'!k"&amp;$G$1)+'数据-取费表'!L14*INDIRECT("'数据-取费表'!S"&amp;$G$1)),0)</f>
        <v>752540108</v>
      </c>
      <c r="D34" s="261"/>
      <c r="E34" s="264"/>
      <c r="F34" s="301"/>
      <c r="G34" s="263"/>
    </row>
    <row r="35" spans="1:7" ht="13.5" customHeight="1">
      <c r="A35" s="951" t="s">
        <v>795</v>
      </c>
      <c r="B35" s="259" t="s">
        <v>2343</v>
      </c>
      <c r="C35" s="264">
        <f ca="1">ROUND(C34*F35,0)</f>
        <v>37627005</v>
      </c>
      <c r="D35" s="264"/>
      <c r="E35" s="264"/>
      <c r="F35" s="303">
        <f>'数据-取费表'!B33</f>
        <v>0.05</v>
      </c>
      <c r="G35" s="263" t="s">
        <v>2344</v>
      </c>
    </row>
    <row r="36" spans="1:7" ht="24">
      <c r="A36" s="951" t="s">
        <v>796</v>
      </c>
      <c r="B36" s="259" t="s">
        <v>2345</v>
      </c>
      <c r="C36" s="264">
        <f ca="1">ROUND(IF(B1="",SUM('数据-取费表'!AP6:AP13)*F36,IF(INDIRECT("'数据-取费表'!c"&amp;$G$1)="住宅",INDIRECT("'数据-取费表'!k"&amp;$G$1)*INDIRECT("'数据-取费表'!l"&amp;$G$1)*F36,0)),0)</f>
        <v>0</v>
      </c>
      <c r="D36" s="264"/>
      <c r="E36" s="264"/>
      <c r="F36" s="303">
        <f>'数据-取费表'!B34</f>
        <v>0</v>
      </c>
      <c r="G36" s="304" t="s">
        <v>2346</v>
      </c>
    </row>
    <row r="37" spans="1:7" s="302" customFormat="1" ht="13.5" customHeight="1">
      <c r="A37" s="951" t="s">
        <v>797</v>
      </c>
      <c r="B37" s="259" t="s">
        <v>2347</v>
      </c>
      <c r="C37" s="293">
        <f ca="1">ROUND(E37*D37,0)</f>
        <v>54516400</v>
      </c>
      <c r="D37" s="261">
        <f ca="1">D19</f>
        <v>272582</v>
      </c>
      <c r="E37" s="293">
        <f>'数据-取费表'!B35</f>
        <v>200</v>
      </c>
      <c r="F37" s="303"/>
      <c r="G37" s="305"/>
    </row>
    <row r="38" spans="1:7" ht="13.5" customHeight="1">
      <c r="A38" s="951" t="s">
        <v>798</v>
      </c>
      <c r="B38" s="259" t="s">
        <v>2349</v>
      </c>
      <c r="C38" s="264">
        <f ca="1">ROUND(C34*F38,0)</f>
        <v>11288102</v>
      </c>
      <c r="D38" s="264"/>
      <c r="E38" s="264"/>
      <c r="F38" s="303">
        <f>'数据-取费表'!B36</f>
        <v>1.4999999999999999E-2</v>
      </c>
      <c r="G38" s="263" t="s">
        <v>2344</v>
      </c>
    </row>
    <row r="39" spans="1:7" s="258" customFormat="1" ht="13.5" customHeight="1">
      <c r="A39" s="299" t="s">
        <v>2350</v>
      </c>
      <c r="B39" s="254" t="s">
        <v>2351</v>
      </c>
      <c r="C39" s="276">
        <f ca="1">ROUND(C33*F20,0)</f>
        <v>17119432</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62940707</v>
      </c>
      <c r="D41" s="279">
        <f ca="1">C44</f>
        <v>1.4E-3</v>
      </c>
      <c r="E41" s="280" t="s">
        <v>2355</v>
      </c>
      <c r="F41" s="281"/>
      <c r="G41" s="278" t="str">
        <f>IF('数据-取费表'!B22&lt;=1,"单利计息","复利计息")</f>
        <v>复利计息</v>
      </c>
    </row>
    <row r="42" spans="1:7" ht="13.5" customHeight="1">
      <c r="A42" s="951" t="s">
        <v>790</v>
      </c>
      <c r="B42" s="259" t="s">
        <v>2359</v>
      </c>
      <c r="C42" s="282">
        <f ca="1">ROUND(IF('数据-取费表'!B22&lt;=1,C33*F22*'数据-取费表'!B20/2,C33*(POWER((1+F22),'数据-取费表'!B20/2)-1)),0)</f>
        <v>61706576</v>
      </c>
      <c r="D42" s="282"/>
      <c r="E42" s="282"/>
      <c r="F42" s="283"/>
      <c r="G42" s="3137" t="s">
        <v>2407</v>
      </c>
    </row>
    <row r="43" spans="1:7" ht="13.5" customHeight="1">
      <c r="A43" s="951" t="s">
        <v>791</v>
      </c>
      <c r="B43" s="259" t="s">
        <v>2361</v>
      </c>
      <c r="C43" s="282">
        <f ca="1">ROUND(IF('数据-取费表'!B22&lt;=1,C39*F22*'数据-取费表'!B20/2,C39*(POWER((1+F22),'数据-取费表'!B20/2)-1)),0)</f>
        <v>1234131</v>
      </c>
      <c r="D43" s="282"/>
      <c r="E43" s="282"/>
      <c r="F43" s="283"/>
      <c r="G43" s="3138"/>
    </row>
    <row r="44" spans="1:7" ht="13.5" customHeight="1">
      <c r="A44" s="951" t="s">
        <v>792</v>
      </c>
      <c r="B44" s="259" t="s">
        <v>2362</v>
      </c>
      <c r="C44" s="282">
        <f ca="1">ROUND(IF('数据-取费表'!B22&lt;=1,C40*F22*'数据-取费表'!B20/2,C40*(POWER((1+F22),'数据-取费表'!B20/2)-1)),4)</f>
        <v>1.4E-3</v>
      </c>
      <c r="D44" s="282"/>
      <c r="E44" s="282"/>
      <c r="F44" s="283"/>
      <c r="G44" s="3139"/>
    </row>
    <row r="45" spans="1:7" s="258" customFormat="1" ht="13.5" customHeight="1">
      <c r="A45" s="299" t="s">
        <v>2363</v>
      </c>
      <c r="B45" s="288" t="s">
        <v>2329</v>
      </c>
      <c r="C45" s="289">
        <f ca="1">C46</f>
        <v>130963657</v>
      </c>
      <c r="D45" s="279">
        <f ca="1">C47</f>
        <v>3.0000000000000001E-3</v>
      </c>
      <c r="E45" s="280" t="s">
        <v>2355</v>
      </c>
      <c r="F45" s="290"/>
      <c r="G45" s="291" t="s">
        <v>2364</v>
      </c>
    </row>
    <row r="46" spans="1:7" s="258" customFormat="1" ht="13.5" customHeight="1">
      <c r="A46" s="951" t="s">
        <v>790</v>
      </c>
      <c r="B46" s="292" t="s">
        <v>2365</v>
      </c>
      <c r="C46" s="293">
        <f ca="1">ROUND((C33+C39)*F27,0)</f>
        <v>130963657</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306">
        <f>ROUND(F30/(1+'数据-取费表'!C42),4)</f>
        <v>5.33E-2</v>
      </c>
      <c r="D48" s="280" t="s">
        <v>2355</v>
      </c>
      <c r="E48" s="276"/>
      <c r="F48" s="281"/>
      <c r="G48" s="278" t="s">
        <v>2368</v>
      </c>
    </row>
    <row r="49" spans="1:7" ht="16.5" customHeight="1">
      <c r="A49" s="299" t="s">
        <v>2334</v>
      </c>
      <c r="B49" s="254" t="s">
        <v>2408</v>
      </c>
      <c r="C49" s="276">
        <f ca="1">ROUND((C33+C39+C41+C45)/(1-C40-D41-D45-C48),0)</f>
        <v>1156885407</v>
      </c>
      <c r="D49" s="276"/>
      <c r="E49" s="276"/>
      <c r="F49" s="308"/>
      <c r="G49" s="278" t="s">
        <v>2370</v>
      </c>
    </row>
    <row r="50" spans="1:7" s="302" customFormat="1">
      <c r="A50" s="299" t="s">
        <v>2371</v>
      </c>
      <c r="B50" s="254" t="s">
        <v>2372</v>
      </c>
      <c r="C50" s="276"/>
      <c r="D50" s="276"/>
      <c r="E50" s="276"/>
      <c r="F50" s="308">
        <f>IF('数据-取费表'!B24=0,'数据-取费表'!N16,1)</f>
        <v>1</v>
      </c>
      <c r="G50" s="291"/>
    </row>
    <row r="51" spans="1:7" ht="16.5" customHeight="1">
      <c r="A51" s="299" t="s">
        <v>2374</v>
      </c>
      <c r="B51" s="254" t="s">
        <v>2409</v>
      </c>
      <c r="C51" s="276">
        <f ca="1">ROUND(C49*F50,0)</f>
        <v>1156885407</v>
      </c>
      <c r="D51" s="276"/>
      <c r="E51" s="276"/>
      <c r="F51" s="308"/>
      <c r="G51" s="278" t="s">
        <v>2376</v>
      </c>
    </row>
    <row r="52" spans="1:7" s="252" customFormat="1" ht="16.5" thickBot="1">
      <c r="A52" s="309" t="s">
        <v>2377</v>
      </c>
      <c r="B52" s="310"/>
      <c r="C52" s="311">
        <f ca="1">C31+C51</f>
        <v>1313384975</v>
      </c>
      <c r="D52" s="310"/>
      <c r="E52" s="310"/>
      <c r="F52" s="310"/>
      <c r="G52" s="312"/>
    </row>
    <row r="55" spans="1:7" ht="15">
      <c r="B55" s="314" t="s">
        <v>2378</v>
      </c>
      <c r="C55" s="315"/>
    </row>
    <row r="56" spans="1:7">
      <c r="B56" s="317" t="s">
        <v>1505</v>
      </c>
      <c r="C56" s="319">
        <f ca="1">1-C57</f>
        <v>0.11899999999999999</v>
      </c>
    </row>
    <row r="57" spans="1:7">
      <c r="B57" s="317" t="s">
        <v>1506</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20" sqref="D2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2.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2410</v>
      </c>
      <c r="B1" s="1580"/>
      <c r="C1" s="1581"/>
      <c r="D1" s="1579"/>
      <c r="E1" s="320"/>
      <c r="F1" s="320"/>
      <c r="G1" s="1580"/>
      <c r="H1" s="320"/>
      <c r="I1" s="320"/>
      <c r="J1" s="320"/>
      <c r="K1" s="320">
        <f>MATCH(C1,'数据-取费表'!A6:A16,0)+5</f>
        <v>10</v>
      </c>
    </row>
    <row r="2" spans="1:33" ht="18" customHeight="1">
      <c r="A2" s="245" t="s">
        <v>2278</v>
      </c>
      <c r="B2" s="248">
        <f ca="1">C32</f>
        <v>149541</v>
      </c>
      <c r="C2" s="320" t="s">
        <v>2411</v>
      </c>
      <c r="D2" s="320"/>
      <c r="E2" s="320"/>
      <c r="F2" s="320"/>
      <c r="G2" s="320"/>
      <c r="H2" s="320"/>
      <c r="I2" s="320"/>
      <c r="J2" s="320"/>
      <c r="K2" s="320"/>
    </row>
    <row r="3" spans="1:33" ht="18" customHeight="1" thickBot="1">
      <c r="A3" s="247" t="s">
        <v>2280</v>
      </c>
      <c r="B3" s="248">
        <f ca="1">ROUND(B2*10000/IF(C1="",'数据-汇总表'!E3,INDIRECT("'数据-取费表'!K"&amp;$K$1)),0)</f>
        <v>5486</v>
      </c>
      <c r="C3" s="320" t="s">
        <v>2412</v>
      </c>
      <c r="D3" s="320"/>
      <c r="E3" s="320"/>
      <c r="F3" s="320"/>
      <c r="G3" s="320"/>
      <c r="H3" s="320"/>
      <c r="I3" s="320"/>
      <c r="J3" s="320"/>
      <c r="K3" s="320"/>
    </row>
    <row r="4" spans="1:33" s="956" customFormat="1" ht="16.5" customHeight="1">
      <c r="A4" s="953" t="s">
        <v>2413</v>
      </c>
      <c r="B4" s="954"/>
      <c r="C4" s="996">
        <f ca="1">SUM(C8:K8)</f>
        <v>266070</v>
      </c>
      <c r="D4" s="954"/>
      <c r="E4" s="954"/>
      <c r="F4" s="954"/>
      <c r="G4" s="954"/>
      <c r="H4" s="954"/>
      <c r="I4" s="954"/>
      <c r="J4" s="954"/>
      <c r="K4" s="955"/>
    </row>
    <row r="5" spans="1:33" s="960" customFormat="1" ht="21" customHeight="1">
      <c r="A5" s="957" t="s">
        <v>2414</v>
      </c>
      <c r="B5" s="958" t="s">
        <v>2415</v>
      </c>
      <c r="C5" s="2556" t="s">
        <v>2999</v>
      </c>
      <c r="D5" s="2556" t="s">
        <v>3001</v>
      </c>
      <c r="E5" s="2556" t="s">
        <v>3003</v>
      </c>
      <c r="F5" s="2556" t="s">
        <v>3021</v>
      </c>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2416</v>
      </c>
      <c r="C6" s="962">
        <f ca="1">'收益法-办公'!B3</f>
        <v>16152</v>
      </c>
      <c r="D6" s="962">
        <f ca="1">'收益法-商业'!B3</f>
        <v>26725</v>
      </c>
      <c r="E6" s="962">
        <f ca="1">'收益法-酒店'!B3</f>
        <v>14436</v>
      </c>
      <c r="F6" s="962">
        <f ca="1">'收益法-地下车库'!B3</f>
        <v>814</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2417</v>
      </c>
      <c r="B7" s="140" t="s">
        <v>2418</v>
      </c>
      <c r="C7" s="321">
        <f>SUMIF('数据-汇总表'!$C19:$C33,假设开发法!C5,'数据-汇总表'!$E19:$E33)</f>
        <v>125562.38</v>
      </c>
      <c r="D7" s="321">
        <f>SUMIF('数据-汇总表'!$C19:$C33,假设开发法!D5,'数据-汇总表'!$E19:$E33)</f>
        <v>11376.42</v>
      </c>
      <c r="E7" s="321">
        <f>SUMIF('数据-汇总表'!$C19:$C33,假设开发法!E5,'数据-汇总表'!$E19:$E33)</f>
        <v>18832.939999999999</v>
      </c>
      <c r="F7" s="321">
        <f>SUMIF('数据-汇总表'!$C19:$C33,假设开发法!F5,'数据-汇总表'!$E19:$E33)</f>
        <v>69675.600000000006</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2419</v>
      </c>
      <c r="B8" s="177" t="s">
        <v>2420</v>
      </c>
      <c r="C8" s="997">
        <f ca="1">'收益法-办公'!B2</f>
        <v>202805</v>
      </c>
      <c r="D8" s="997">
        <f ca="1">'收益法-商业'!B2</f>
        <v>30404</v>
      </c>
      <c r="E8" s="997">
        <f ca="1">'收益法-酒店'!B2</f>
        <v>27188</v>
      </c>
      <c r="F8" s="998">
        <f ca="1">'收益法-地下车库'!B2</f>
        <v>5673</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2421</v>
      </c>
      <c r="B9" s="954"/>
      <c r="C9" s="954"/>
      <c r="D9" s="954"/>
      <c r="E9" s="954"/>
      <c r="F9" s="954"/>
      <c r="G9" s="954"/>
      <c r="H9" s="954"/>
      <c r="I9" s="954"/>
      <c r="J9" s="954"/>
      <c r="K9" s="955"/>
    </row>
    <row r="10" spans="1:33" s="970" customFormat="1" ht="13.5" customHeight="1">
      <c r="A10" s="957" t="s">
        <v>2422</v>
      </c>
      <c r="B10" s="8" t="s">
        <v>2423</v>
      </c>
      <c r="C10" s="966" t="s">
        <v>2424</v>
      </c>
      <c r="D10" s="967" t="s">
        <v>2425</v>
      </c>
      <c r="E10" s="967" t="s">
        <v>2426</v>
      </c>
      <c r="F10" s="967" t="s">
        <v>2427</v>
      </c>
      <c r="G10" s="8"/>
      <c r="H10" s="968"/>
      <c r="I10" s="968"/>
      <c r="J10" s="968"/>
      <c r="K10" s="969"/>
    </row>
    <row r="11" spans="1:33" s="975" customFormat="1" ht="13.5" customHeight="1">
      <c r="A11" s="971" t="s">
        <v>1326</v>
      </c>
      <c r="B11" s="972" t="s">
        <v>2428</v>
      </c>
      <c r="C11" s="323">
        <f ca="1">IF(C1="",'数据-取费表'!P16,INDIRECT("'数据-取费表'!p"&amp;$K$1)+INDIRECT("'数据-取费表'!ar"&amp;$K$1))</f>
        <v>47133</v>
      </c>
      <c r="D11" s="973"/>
      <c r="E11" s="375"/>
      <c r="F11" s="974">
        <f ca="1">1-IF('数据-取费表'!B24=0,1,IF(C1="",'数据-取费表'!N16,INDIRECT("'数据-取费表'!n"&amp;$K$1)))</f>
        <v>0.626</v>
      </c>
      <c r="G11" s="8"/>
      <c r="H11" s="968"/>
      <c r="I11" s="968"/>
      <c r="J11" s="968"/>
      <c r="K11" s="969"/>
    </row>
    <row r="12" spans="1:33" s="975" customFormat="1" ht="13.5" customHeight="1">
      <c r="A12" s="971" t="s">
        <v>1327</v>
      </c>
      <c r="B12" s="972" t="s">
        <v>2429</v>
      </c>
      <c r="C12" s="24">
        <f ca="1">ROUND(C11*F12,0)</f>
        <v>2357</v>
      </c>
      <c r="D12" s="973"/>
      <c r="E12" s="375"/>
      <c r="F12" s="976">
        <f>'数据-取费表'!B33</f>
        <v>0.05</v>
      </c>
      <c r="G12" s="8" t="s">
        <v>2430</v>
      </c>
      <c r="H12" s="968"/>
      <c r="I12" s="968"/>
      <c r="J12" s="968"/>
      <c r="K12" s="969"/>
    </row>
    <row r="13" spans="1:33" s="975" customFormat="1" ht="13.5" customHeight="1">
      <c r="A13" s="971" t="s">
        <v>1328</v>
      </c>
      <c r="B13" s="972" t="s">
        <v>2431</v>
      </c>
      <c r="C13" s="24">
        <f ca="1">ROUND(IF(C1="",SUMIF('数据-取费表'!C:C,"住宅",'数据-取费表'!P:P)*F13,IF(INDIRECT("'数据-取费表'!c"&amp;$K$1)="住宅",INDIRECT("'数据-取费表'!P"&amp;$K$1)*F13,0)),0)</f>
        <v>0</v>
      </c>
      <c r="D13" s="1033"/>
      <c r="E13" s="375"/>
      <c r="F13" s="976">
        <f>'数据-取费表'!B34</f>
        <v>0</v>
      </c>
      <c r="G13" s="8" t="s">
        <v>2432</v>
      </c>
      <c r="H13" s="968"/>
      <c r="I13" s="968"/>
      <c r="J13" s="968"/>
      <c r="K13" s="969"/>
    </row>
    <row r="14" spans="1:33" s="977" customFormat="1" ht="13.5" customHeight="1">
      <c r="A14" s="971" t="s">
        <v>1329</v>
      </c>
      <c r="B14" s="972" t="s">
        <v>2433</v>
      </c>
      <c r="C14" s="24">
        <f ca="1">ROUND(D14*E14*F11/10000,0)</f>
        <v>3413</v>
      </c>
      <c r="D14" s="1033">
        <f ca="1">IF(C1="",'数据-汇总表'!E3,INDIRECT("'数据-取费表'!K"&amp;$K$1)+INDIRECT("'数据-取费表'!S"&amp;$K$1))</f>
        <v>272582</v>
      </c>
      <c r="E14" s="24">
        <f>'数据-取费表'!B35</f>
        <v>200</v>
      </c>
      <c r="F14" s="976"/>
      <c r="G14" s="8" t="s">
        <v>2434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2435</v>
      </c>
      <c r="C15" s="983">
        <f ca="1">ROUND(C11*F15,0)</f>
        <v>707</v>
      </c>
      <c r="D15" s="978"/>
      <c r="E15" s="983"/>
      <c r="F15" s="984">
        <f>'数据-取费表'!B36</f>
        <v>1.4999999999999999E-2</v>
      </c>
      <c r="G15" s="140" t="s">
        <v>2436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2437</v>
      </c>
      <c r="C16" s="983">
        <f ca="1">SUM(C11:C15)</f>
        <v>53610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2438</v>
      </c>
      <c r="C17" s="24">
        <f ca="1">ROUND(D17*E17/10000,0)</f>
        <v>0</v>
      </c>
      <c r="D17" s="1033">
        <f ca="1">D14</f>
        <v>272582</v>
      </c>
      <c r="E17" s="24">
        <f>'数据-取费表'!B32</f>
        <v>0</v>
      </c>
      <c r="F17" s="978"/>
      <c r="G17" s="140" t="s">
        <v>2439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2440</v>
      </c>
      <c r="C18" s="24">
        <f ca="1">C19+C20-IF(C1="",'数据-取费表'!B29,IF(G18="已全部缴纳",C19+C20,H18))</f>
        <v>5452</v>
      </c>
      <c r="D18" s="1033"/>
      <c r="E18" s="24"/>
      <c r="F18" s="976"/>
      <c r="G18" s="2558" t="s">
        <v>3184</v>
      </c>
      <c r="H18" s="1576"/>
      <c r="I18" s="2559" t="s">
        <v>2441</v>
      </c>
      <c r="J18" s="979"/>
      <c r="K18" s="980"/>
    </row>
    <row r="19" spans="1:33" s="975" customFormat="1" ht="13.5" customHeight="1">
      <c r="A19" s="971" t="s">
        <v>804</v>
      </c>
      <c r="B19" s="972" t="s">
        <v>2442</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805</v>
      </c>
      <c r="B20" s="972" t="s">
        <v>2443</v>
      </c>
      <c r="C20" s="24">
        <f ca="1">ROUND(D20*E20/10000,0)</f>
        <v>5452</v>
      </c>
      <c r="D20" s="1033">
        <f ca="1">IF(C1="",'数据-汇总表'!E6,IF(INDIRECT("'数据-取费表'!c"&amp;$K$1)="住宅",INDIRECT("'数据-取费表'!s"&amp;$K$1),INDIRECT("'数据-取费表'!k"&amp;$K$1)+INDIRECT("'数据-取费表'!s"&amp;$K$1)))</f>
        <v>272582</v>
      </c>
      <c r="E20" s="24">
        <f>'数据-取费表'!B28</f>
        <v>200</v>
      </c>
      <c r="F20" s="976"/>
      <c r="G20" s="15"/>
      <c r="H20" s="981"/>
      <c r="I20" s="981"/>
      <c r="J20" s="981"/>
      <c r="K20" s="982"/>
    </row>
    <row r="21" spans="1:33" s="975" customFormat="1" ht="13.5" customHeight="1">
      <c r="A21" s="961" t="s">
        <v>801</v>
      </c>
      <c r="B21" s="985" t="s">
        <v>2444</v>
      </c>
      <c r="C21" s="986">
        <f ca="1">C16+C17+C18</f>
        <v>59062</v>
      </c>
      <c r="D21" s="987"/>
      <c r="E21" s="325"/>
      <c r="F21" s="325"/>
      <c r="G21" s="140" t="s">
        <v>2445</v>
      </c>
      <c r="H21" s="979"/>
      <c r="I21" s="979"/>
      <c r="J21" s="979"/>
      <c r="K21" s="980"/>
    </row>
    <row r="22" spans="1:33" s="975" customFormat="1" ht="13.5" customHeight="1">
      <c r="A22" s="961" t="s">
        <v>2417</v>
      </c>
      <c r="B22" s="985" t="s">
        <v>2446</v>
      </c>
      <c r="C22" s="986">
        <f ca="1">ROUND(C21*F22,0)</f>
        <v>1181</v>
      </c>
      <c r="D22" s="325"/>
      <c r="E22" s="325"/>
      <c r="F22" s="988">
        <f>'数据-取费表'!B37</f>
        <v>0.02</v>
      </c>
      <c r="G22" s="8" t="s">
        <v>2447</v>
      </c>
      <c r="H22" s="968"/>
      <c r="I22" s="968"/>
      <c r="J22" s="968"/>
      <c r="K22" s="969"/>
    </row>
    <row r="23" spans="1:33" s="975" customFormat="1" ht="13.5" customHeight="1">
      <c r="A23" s="961" t="s">
        <v>2419</v>
      </c>
      <c r="B23" s="985" t="s">
        <v>2448</v>
      </c>
      <c r="C23" s="986">
        <f ca="1">ROUND(C4*F23*F11,0)</f>
        <v>3331</v>
      </c>
      <c r="D23" s="325"/>
      <c r="E23" s="325"/>
      <c r="F23" s="988">
        <f>'数据-取费表'!B38</f>
        <v>0.02</v>
      </c>
      <c r="G23" s="8" t="s">
        <v>2449</v>
      </c>
      <c r="H23" s="968"/>
      <c r="I23" s="968"/>
      <c r="J23" s="968"/>
      <c r="K23" s="969"/>
    </row>
    <row r="24" spans="1:33" s="975" customFormat="1" ht="13.5" customHeight="1">
      <c r="A24" s="961" t="s">
        <v>2450</v>
      </c>
      <c r="B24" s="985" t="s">
        <v>2451</v>
      </c>
      <c r="C24" s="324">
        <f>ROUND(F24/(1+'数据-取费表'!C42),4)</f>
        <v>2.9000000000000001E-2</v>
      </c>
      <c r="D24" s="325" t="s">
        <v>15</v>
      </c>
      <c r="E24" s="325"/>
      <c r="F24" s="988">
        <f>'数据-取费表'!B48+'数据-取费表'!B49</f>
        <v>3.0499999999999999E-2</v>
      </c>
      <c r="G24" s="8" t="s">
        <v>2452</v>
      </c>
      <c r="H24" s="990"/>
      <c r="I24" s="990"/>
      <c r="J24" s="990"/>
      <c r="K24" s="991"/>
    </row>
    <row r="25" spans="1:33" s="975" customFormat="1" ht="13.5" customHeight="1">
      <c r="A25" s="961" t="s">
        <v>2453</v>
      </c>
      <c r="B25" s="987" t="s">
        <v>2454</v>
      </c>
      <c r="C25" s="1356">
        <f ca="1">C27</f>
        <v>2252</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2455</v>
      </c>
      <c r="C26" s="1357">
        <f ca="1">ROUND(IF('数据-取费表'!B22&lt;=1,(1+C24)*F25*'数据-取费表'!B24,(1+C24)*(POWER((1+F25),'数据-取费表'!B24)-1)),4)</f>
        <v>7.4200000000000002E-2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2456</v>
      </c>
      <c r="C27" s="1358">
        <f ca="1">ROUND(IF('数据-取费表'!B22&lt;=1,(C21+C22+C23)*F25*'数据-取费表'!B24/2,(C21+C22+C23)*(POWER((1+F25),'数据-取费表'!B24/2)-1)),0)</f>
        <v>2252</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2457</v>
      </c>
      <c r="B28" s="2561" t="s">
        <v>2458</v>
      </c>
      <c r="C28" s="331">
        <f ca="1">C30</f>
        <v>9536</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802</v>
      </c>
      <c r="B29" s="994" t="s">
        <v>2459</v>
      </c>
      <c r="C29" s="328">
        <f ca="1">ROUND((1+C24)*F28*'数据-取费表'!B24/'数据-取费表'!B20,4)</f>
        <v>7.7200000000000005E-2</v>
      </c>
      <c r="D29" s="328"/>
      <c r="E29" s="329"/>
      <c r="F29" s="334"/>
      <c r="G29" s="140" t="s">
        <v>2460</v>
      </c>
      <c r="H29" s="979"/>
      <c r="I29" s="979"/>
      <c r="J29" s="979"/>
      <c r="K29" s="980"/>
    </row>
    <row r="30" spans="1:33" s="335" customFormat="1" ht="13.5" customHeight="1">
      <c r="A30" s="971" t="s">
        <v>803</v>
      </c>
      <c r="B30" s="994" t="s">
        <v>2461</v>
      </c>
      <c r="C30" s="336">
        <f ca="1">ROUND((C21+C22+C23)*F28,0)</f>
        <v>9536</v>
      </c>
      <c r="D30" s="328"/>
      <c r="E30" s="329"/>
      <c r="F30" s="334"/>
      <c r="G30" s="140"/>
      <c r="H30" s="979"/>
      <c r="I30" s="979"/>
      <c r="J30" s="979"/>
      <c r="K30" s="980"/>
    </row>
    <row r="31" spans="1:33" s="975" customFormat="1" ht="13.5" customHeight="1" thickBot="1">
      <c r="A31" s="2562" t="s">
        <v>2462</v>
      </c>
      <c r="B31" s="1005" t="s">
        <v>2463</v>
      </c>
      <c r="C31" s="1006">
        <f ca="1">ROUND(C4*F31/(1+'数据-取费表'!C42),0)</f>
        <v>14190</v>
      </c>
      <c r="D31" s="1007"/>
      <c r="E31" s="1008"/>
      <c r="F31" s="1009">
        <f>'数据-取费表'!B41</f>
        <v>5.6000000000000001E-2</v>
      </c>
      <c r="G31" s="1010" t="s">
        <v>2464</v>
      </c>
      <c r="H31" s="1011"/>
      <c r="I31" s="1011"/>
      <c r="J31" s="1011"/>
      <c r="K31" s="1012"/>
    </row>
    <row r="32" spans="1:33" s="970" customFormat="1" ht="13.5" customHeight="1" thickBot="1">
      <c r="A32" s="1000" t="s">
        <v>2465</v>
      </c>
      <c r="B32" s="1001"/>
      <c r="C32" s="1002">
        <f ca="1">ROUND((C4-C21-C22-C23-C25-C28-C31)/(1+C24+D25+D28),0)</f>
        <v>149541</v>
      </c>
      <c r="D32" s="1001"/>
      <c r="E32" s="1001"/>
      <c r="F32" s="1001"/>
      <c r="G32" s="1003" t="s">
        <v>2466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0" sqref="D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2999</v>
      </c>
      <c r="D1" s="1819" t="s">
        <v>3182</v>
      </c>
      <c r="E1" s="1820" t="s">
        <v>1379</v>
      </c>
      <c r="F1" s="1283">
        <f ca="1">J53</f>
        <v>43.68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202805</v>
      </c>
      <c r="C2" s="1844" t="s">
        <v>1508</v>
      </c>
      <c r="D2" s="1844"/>
      <c r="E2" s="1845"/>
      <c r="F2" s="1846"/>
      <c r="G2" s="1847"/>
      <c r="H2" s="1839"/>
      <c r="I2" s="1839"/>
      <c r="J2" s="1839"/>
      <c r="K2" s="1840"/>
      <c r="L2" s="1839"/>
      <c r="M2" s="1839"/>
    </row>
    <row r="3" spans="1:37" ht="18" customHeight="1" thickBot="1">
      <c r="A3" s="1848" t="s">
        <v>1509</v>
      </c>
      <c r="B3" s="1849">
        <f ca="1">IF(ISERROR(B2*10000/F43),0,ROUND(B2*10000/F43,0))</f>
        <v>16152</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12389</v>
      </c>
      <c r="D5" s="1821" t="s">
        <v>1394</v>
      </c>
      <c r="E5" s="1293"/>
      <c r="F5" s="1294"/>
      <c r="G5" s="1850"/>
      <c r="H5" s="344">
        <v>1</v>
      </c>
      <c r="I5" s="345" t="s">
        <v>1393</v>
      </c>
      <c r="J5" s="1292">
        <f ca="1">J6+J10+J12</f>
        <v>0</v>
      </c>
      <c r="K5" s="1821" t="s">
        <v>1394</v>
      </c>
      <c r="L5" s="1293"/>
      <c r="M5" s="1294"/>
    </row>
    <row r="6" spans="1:37" ht="18" customHeight="1">
      <c r="A6" s="1291" t="s">
        <v>1031</v>
      </c>
      <c r="B6" s="3142" t="s">
        <v>1395</v>
      </c>
      <c r="C6" s="1296">
        <f ca="1">ROUND(F6*F8*F7*(1-F9)/10000,0)</f>
        <v>12374</v>
      </c>
      <c r="D6" s="164" t="s">
        <v>2978</v>
      </c>
      <c r="E6" s="347" t="s">
        <v>1397</v>
      </c>
      <c r="F6" s="348">
        <f ca="1">INDIRECT("'数据-取费表'!u"&amp;$G$1)</f>
        <v>3</v>
      </c>
      <c r="G6" s="1850"/>
      <c r="H6" s="1291" t="s">
        <v>1031</v>
      </c>
      <c r="I6" s="3142" t="s">
        <v>1395</v>
      </c>
      <c r="J6" s="346">
        <f ca="1">ROUND(M6*M8*M7*(1-M9)/10000,0)</f>
        <v>0</v>
      </c>
      <c r="K6" s="164" t="s">
        <v>2977</v>
      </c>
      <c r="L6" s="347" t="s">
        <v>1397</v>
      </c>
      <c r="M6" s="348">
        <f ca="1">INDIRECT("'数据-取费表'!z"&amp;$G$1)</f>
        <v>0</v>
      </c>
    </row>
    <row r="7" spans="1:37" ht="18" customHeight="1">
      <c r="A7" s="1295"/>
      <c r="B7" s="3143"/>
      <c r="C7" s="1297"/>
      <c r="D7" s="352"/>
      <c r="E7" s="1298" t="s">
        <v>1398</v>
      </c>
      <c r="F7" s="348">
        <f ca="1">IF(INDIRECT("'数据-取费表'!ah"&amp;$G$1)="",INDIRECT("'数据-取费表'!k"&amp;$G$1),INDIRECT("'数据-取费表'!ah"&amp;$G$1))</f>
        <v>125562.38</v>
      </c>
      <c r="G7" s="1850"/>
      <c r="H7" s="349"/>
      <c r="I7" s="3143"/>
      <c r="J7" s="351"/>
      <c r="K7" s="352"/>
      <c r="L7" s="347" t="s">
        <v>1398</v>
      </c>
      <c r="M7" s="348">
        <f ca="1">F7</f>
        <v>125562.38</v>
      </c>
    </row>
    <row r="8" spans="1:37" ht="18" customHeight="1">
      <c r="A8" s="349"/>
      <c r="B8" s="3143"/>
      <c r="C8" s="351"/>
      <c r="D8" s="352"/>
      <c r="E8" s="347" t="s">
        <v>1399</v>
      </c>
      <c r="F8" s="348">
        <f ca="1">INDIRECT("'数据-取费表'!ai"&amp;$G$1)</f>
        <v>365</v>
      </c>
      <c r="G8" s="1850"/>
      <c r="H8" s="349"/>
      <c r="I8" s="3143"/>
      <c r="J8" s="351"/>
      <c r="K8" s="352"/>
      <c r="L8" s="347" t="s">
        <v>1399</v>
      </c>
      <c r="M8" s="348">
        <f ca="1">INDIRECT("'数据-取费表'!ai"&amp;$G$1)</f>
        <v>365</v>
      </c>
    </row>
    <row r="9" spans="1:37" ht="18" customHeight="1">
      <c r="A9" s="349"/>
      <c r="B9" s="3144"/>
      <c r="C9" s="351"/>
      <c r="D9" s="352"/>
      <c r="E9" s="347" t="s">
        <v>1400</v>
      </c>
      <c r="F9" s="357">
        <f ca="1">INDIRECT("'数据-取费表'!w"&amp;$G$1)</f>
        <v>0.1</v>
      </c>
      <c r="G9" s="1850"/>
      <c r="H9" s="349"/>
      <c r="I9" s="3144"/>
      <c r="J9" s="351"/>
      <c r="K9" s="352"/>
      <c r="L9" s="358" t="s">
        <v>1400</v>
      </c>
      <c r="M9" s="359">
        <f ca="1">INDIRECT("'数据-取费表'!ab"&amp;$G$1)</f>
        <v>0</v>
      </c>
    </row>
    <row r="10" spans="1:37" ht="18" customHeight="1">
      <c r="A10" s="1291" t="s">
        <v>1035</v>
      </c>
      <c r="B10" s="1822" t="s">
        <v>1401</v>
      </c>
      <c r="C10" s="361">
        <f ca="1">ROUND(IF(F10="押一",C6/12*F11,IF(F10="押二",C6/12*2*F11,IF(F10="押三",C6/12*3*F11,C11*F11))),0)</f>
        <v>15</v>
      </c>
      <c r="D10" s="1823" t="s">
        <v>2987</v>
      </c>
      <c r="E10" s="358" t="s">
        <v>1402</v>
      </c>
      <c r="F10" s="1366" t="s">
        <v>3178</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67882</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44742</v>
      </c>
      <c r="D14" s="1799" t="s">
        <v>1410</v>
      </c>
      <c r="E14" s="1793"/>
      <c r="F14" s="364"/>
      <c r="G14" s="1850"/>
      <c r="H14" s="1201" t="s">
        <v>1031</v>
      </c>
      <c r="I14" s="347" t="s">
        <v>1411</v>
      </c>
      <c r="J14" s="24">
        <f ca="1">C29</f>
        <v>67882</v>
      </c>
      <c r="K14" s="15"/>
      <c r="L14" s="979"/>
      <c r="M14" s="980"/>
    </row>
    <row r="15" spans="1:37" s="1857" customFormat="1" ht="18" customHeight="1" thickBot="1">
      <c r="A15" s="1201" t="s">
        <v>1032</v>
      </c>
      <c r="B15" s="347" t="s">
        <v>1412</v>
      </c>
      <c r="C15" s="24">
        <f ca="1">ROUND(C14*F15,0)</f>
        <v>2237</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1936</v>
      </c>
      <c r="K16" s="1337" t="s">
        <v>1417</v>
      </c>
      <c r="L16" s="1338"/>
      <c r="M16" s="1294"/>
    </row>
    <row r="17" spans="1:37" s="1857" customFormat="1" ht="18" customHeight="1">
      <c r="A17" s="1201" t="s">
        <v>1382</v>
      </c>
      <c r="B17" s="347" t="s">
        <v>1418</v>
      </c>
      <c r="C17" s="24">
        <f ca="1">ROUND(F17*(F43+INDIRECT("'数据-取费表'!S"&amp;$G$1))/10000,0)</f>
        <v>2575</v>
      </c>
      <c r="D17" s="347" t="s">
        <v>1419</v>
      </c>
      <c r="E17" s="347" t="s">
        <v>1420</v>
      </c>
      <c r="F17" s="26">
        <f>'数据-取费表'!B35</f>
        <v>200</v>
      </c>
      <c r="G17" s="1853"/>
      <c r="H17" s="1201" t="s">
        <v>1031</v>
      </c>
      <c r="I17" s="347" t="s">
        <v>1421</v>
      </c>
      <c r="J17" s="24">
        <f ca="1">ROUND(IF(项目基本情况!B11="自然人",J5*M17,J18+J19+J20),1)</f>
        <v>577.9</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671</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50225</v>
      </c>
      <c r="D19" s="140" t="s">
        <v>1428</v>
      </c>
      <c r="E19" s="1817"/>
      <c r="F19" s="26"/>
      <c r="G19" s="1850"/>
      <c r="H19" s="1201" t="s">
        <v>1032</v>
      </c>
      <c r="I19" s="347" t="s">
        <v>1429</v>
      </c>
      <c r="J19" s="24">
        <f ca="1">IF(K19="按租金收入计税",ROUND(J5*M19,2),ROUND(C29*M19*0.7,2))</f>
        <v>570.21</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1005</v>
      </c>
      <c r="D20" s="369" t="s">
        <v>1432</v>
      </c>
      <c r="E20" s="347" t="s">
        <v>1414</v>
      </c>
      <c r="F20" s="367">
        <f>'数据-取费表'!B37</f>
        <v>0.02</v>
      </c>
      <c r="G20" s="1853"/>
      <c r="H20" s="1201" t="s">
        <v>1381</v>
      </c>
      <c r="I20" s="164" t="s">
        <v>1433</v>
      </c>
      <c r="J20" s="25">
        <f ca="1">ROUND(M20*M21/10000,2)</f>
        <v>7.73</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25778.44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1357.6</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3693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-1936</v>
      </c>
      <c r="K25" s="1345" t="s">
        <v>1456</v>
      </c>
      <c r="L25" s="1346"/>
      <c r="M25" s="1347"/>
    </row>
    <row r="26" spans="1:37">
      <c r="A26" s="1201" t="s">
        <v>1030</v>
      </c>
      <c r="B26" s="347" t="s">
        <v>1457</v>
      </c>
      <c r="C26" s="24">
        <f ca="1">ROUND((C19+C20)*F26,0)</f>
        <v>7685</v>
      </c>
      <c r="D26" s="369" t="s">
        <v>1458</v>
      </c>
      <c r="E26" s="358" t="s">
        <v>1459</v>
      </c>
      <c r="F26" s="357">
        <f ca="1">INDIRECT("'数据-取费表'!q"&amp;$G$1)</f>
        <v>0.15</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67882</v>
      </c>
      <c r="D29" s="1342"/>
      <c r="E29" s="1340"/>
      <c r="F29" s="1343"/>
      <c r="G29" s="1853"/>
      <c r="H29" s="380" t="s">
        <v>1029</v>
      </c>
      <c r="I29" s="381" t="s">
        <v>1471</v>
      </c>
      <c r="J29" s="382">
        <f ca="1">ROUND(J26/(1+F40)^F41,0)</f>
        <v>0</v>
      </c>
      <c r="K29" s="383" t="s">
        <v>1472</v>
      </c>
      <c r="L29" s="384"/>
      <c r="M29" s="385">
        <f ca="1">INDIRECT("'数据-取费表'!k"&amp;$G$1)</f>
        <v>125562.38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3896</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2155.1999999999998</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660.75</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1486.68</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7.73</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25778.44</v>
      </c>
      <c r="G35" s="1850"/>
      <c r="H35" s="745"/>
      <c r="I35" s="1859"/>
      <c r="J35" s="1860"/>
      <c r="K35" s="1861"/>
      <c r="L35" s="1858"/>
      <c r="M35" s="1858"/>
    </row>
    <row r="36" spans="1:18" ht="18" customHeight="1">
      <c r="A36" s="1352" t="s">
        <v>1035</v>
      </c>
      <c r="B36" s="347" t="s">
        <v>1441</v>
      </c>
      <c r="C36" s="24">
        <f ca="1">ROUND(C29*F36,1)</f>
        <v>1357.6</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135.80000000000001</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247.8</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8493</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202805</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16152</v>
      </c>
      <c r="D43" s="383" t="s">
        <v>1480</v>
      </c>
      <c r="E43" s="384" t="s">
        <v>1481</v>
      </c>
      <c r="F43" s="385">
        <f ca="1">INDIRECT("'数据-取费表'!k"&amp;$G$1)</f>
        <v>125562.38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-321136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202805</v>
      </c>
      <c r="R47" s="1885" t="s">
        <v>1521</v>
      </c>
    </row>
    <row r="48" spans="1:18" s="1841" customFormat="1" ht="28.5" thickBot="1">
      <c r="A48" s="1360" t="s">
        <v>1131</v>
      </c>
      <c r="B48" s="345" t="s">
        <v>1393</v>
      </c>
      <c r="C48" s="1816">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2979</v>
      </c>
      <c r="E49" s="1829" t="s">
        <v>1483</v>
      </c>
      <c r="F49" s="1281"/>
      <c r="G49" s="1890"/>
      <c r="H49" s="793"/>
      <c r="I49" s="1886" t="s">
        <v>1526</v>
      </c>
      <c r="J49" s="1891">
        <v>2019</v>
      </c>
      <c r="K49" s="1888" t="s">
        <v>1527</v>
      </c>
      <c r="L49" s="1892"/>
      <c r="O49" s="1893" t="s">
        <v>1038</v>
      </c>
      <c r="P49" s="1884" t="s">
        <v>1528</v>
      </c>
      <c r="Q49" s="1885">
        <f ca="1">C29</f>
        <v>67882</v>
      </c>
      <c r="R49" s="1885" t="s">
        <v>1521</v>
      </c>
    </row>
    <row r="50" spans="1:18" s="1841" customFormat="1" ht="13.5" thickBot="1">
      <c r="A50" s="1195"/>
      <c r="B50" s="1198"/>
      <c r="C50" s="1368"/>
      <c r="D50" s="1172"/>
      <c r="E50" s="1277" t="s">
        <v>1398</v>
      </c>
      <c r="F50" s="1278">
        <f ca="1">F7</f>
        <v>125562.38</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48452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140" t="s">
        <v>1540</v>
      </c>
      <c r="L53" s="3141"/>
      <c r="O53" s="1883" t="s">
        <v>1042</v>
      </c>
      <c r="P53" s="1884" t="s">
        <v>1541</v>
      </c>
      <c r="Q53" s="1885">
        <f ca="1">Q47+Q48</f>
        <v>202805</v>
      </c>
      <c r="R53" s="1885" t="s">
        <v>1043</v>
      </c>
    </row>
    <row r="54" spans="1:18" s="1841" customFormat="1" ht="13.5"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67882</v>
      </c>
      <c r="D56" s="1913"/>
      <c r="E56" s="1914"/>
      <c r="F56" s="1906"/>
      <c r="I56" s="1915" t="s">
        <v>1546</v>
      </c>
      <c r="J56" s="1916" t="s">
        <v>3023</v>
      </c>
      <c r="K56" s="1886" t="s">
        <v>1547</v>
      </c>
      <c r="L56" s="1889" t="str">
        <f ca="1">IF(L48&lt;J51,"——",L48-J53)</f>
        <v>——</v>
      </c>
      <c r="O56" s="1883" t="s">
        <v>1036</v>
      </c>
      <c r="P56" s="1884" t="s">
        <v>1520</v>
      </c>
      <c r="Q56" s="1885">
        <f ca="1">C40+J29</f>
        <v>202805</v>
      </c>
      <c r="R56" s="1885" t="s">
        <v>1521</v>
      </c>
    </row>
    <row r="57" spans="1:18" s="1841" customFormat="1" ht="24.75" thickBot="1">
      <c r="A57" s="1917"/>
      <c r="B57" s="1169" t="s">
        <v>1470</v>
      </c>
      <c r="C57" s="282">
        <f ca="1">C29</f>
        <v>67882</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7203</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5709.8</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IF(项目基本情况!B11="自然人","——",IF(D61="按租金收入计税",ROUND(C48*F61,2),IF(D61="按房产原值计税",ROUND(C57*F61*0.7,2),INDIRECT("'数据-取费表'!Aj"&amp;$G$1))))</f>
        <v>5702.09</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IF(项目基本情况!B11="自然人","——",ROUND(F62*F63/10000,2))</f>
        <v>7.73</v>
      </c>
      <c r="D62" s="1184" t="s">
        <v>1489</v>
      </c>
      <c r="E62" s="1169" t="s">
        <v>1490</v>
      </c>
      <c r="F62" s="371">
        <f t="shared" si="0"/>
        <v>3</v>
      </c>
      <c r="I62" s="1928" t="s">
        <v>1562</v>
      </c>
      <c r="J62" s="1929" t="s">
        <v>1563</v>
      </c>
      <c r="K62" s="1929" t="s">
        <v>1564</v>
      </c>
      <c r="L62" s="1929" t="s">
        <v>1565</v>
      </c>
      <c r="M62" s="1930" t="s">
        <v>1566</v>
      </c>
      <c r="O62" s="1883" t="s">
        <v>1042</v>
      </c>
      <c r="P62" s="1884" t="s">
        <v>1567</v>
      </c>
      <c r="Q62" s="1885">
        <f ca="1">Q56+Q57</f>
        <v>202805</v>
      </c>
      <c r="R62" s="1885" t="s">
        <v>1043</v>
      </c>
    </row>
    <row r="63" spans="1:18" s="1841" customFormat="1" ht="13.5" thickBot="1">
      <c r="A63" s="372"/>
      <c r="B63" s="1175"/>
      <c r="C63" s="29"/>
      <c r="D63" s="1185"/>
      <c r="E63" s="1169" t="s">
        <v>1491</v>
      </c>
      <c r="F63" s="348">
        <f t="shared" ca="1" si="0"/>
        <v>25778.44</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ROUND(C57*F64,1)</f>
        <v>1357.6</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135.80000000000001</v>
      </c>
      <c r="D65" s="1183" t="s">
        <v>1446</v>
      </c>
      <c r="E65" s="1169" t="s">
        <v>1447</v>
      </c>
      <c r="F65" s="376">
        <f t="shared" ca="1" si="0"/>
        <v>2E-3</v>
      </c>
      <c r="I65" s="1928" t="s">
        <v>1571</v>
      </c>
      <c r="J65" s="1929">
        <v>40</v>
      </c>
      <c r="K65" s="1929">
        <v>30</v>
      </c>
      <c r="L65" s="1929">
        <v>50</v>
      </c>
      <c r="M65" s="1931">
        <v>0.02</v>
      </c>
      <c r="O65" s="1883" t="s">
        <v>1036</v>
      </c>
      <c r="P65" s="1884" t="s">
        <v>1572</v>
      </c>
      <c r="Q65" s="1885">
        <f ca="1">C40+J29</f>
        <v>202805</v>
      </c>
      <c r="R65" s="1885" t="s">
        <v>1521</v>
      </c>
    </row>
    <row r="66" spans="1:18" s="1841" customFormat="1" ht="16.5"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16.5" thickBot="1">
      <c r="A67" s="1176" t="s">
        <v>1027</v>
      </c>
      <c r="B67" s="1186" t="s">
        <v>1455</v>
      </c>
      <c r="C67" s="361">
        <f ca="1">C48-C58</f>
        <v>-7203</v>
      </c>
      <c r="D67" s="1182" t="s">
        <v>1456</v>
      </c>
      <c r="E67" s="1187"/>
      <c r="F67" s="1188"/>
      <c r="O67" s="1893" t="s">
        <v>1038</v>
      </c>
      <c r="P67" s="1884" t="s">
        <v>1554</v>
      </c>
      <c r="Q67" s="1932">
        <f ca="1">L51</f>
        <v>48452</v>
      </c>
      <c r="R67" s="1885" t="s">
        <v>1574</v>
      </c>
    </row>
    <row r="68" spans="1:18" s="1841" customFormat="1" ht="16.5" thickBot="1">
      <c r="A68" s="1166" t="s">
        <v>1028</v>
      </c>
      <c r="B68" s="1167" t="s">
        <v>1477</v>
      </c>
      <c r="C68" s="346">
        <f ca="1">ROUND(C67*(1-((1+F70)/(1+F68))^F69)/(F68-F70),0)</f>
        <v>-118331</v>
      </c>
      <c r="D68" s="1184" t="s">
        <v>1461</v>
      </c>
      <c r="E68" s="1169" t="s">
        <v>1462</v>
      </c>
      <c r="F68" s="357">
        <f ca="1">F40</f>
        <v>5.5E-2</v>
      </c>
      <c r="O68" s="1893" t="s">
        <v>1039</v>
      </c>
      <c r="P68" s="1933" t="s">
        <v>1575</v>
      </c>
      <c r="Q68" s="1885">
        <f ca="1">ROUND(Q69-Q70*Q71,0)</f>
        <v>2723</v>
      </c>
      <c r="R68" s="1885" t="s">
        <v>1047</v>
      </c>
    </row>
    <row r="69" spans="1:18" s="1841" customFormat="1" ht="13.5" thickBot="1">
      <c r="A69" s="1170"/>
      <c r="B69" s="1171"/>
      <c r="C69" s="351"/>
      <c r="D69" s="1189" t="s">
        <v>1465</v>
      </c>
      <c r="E69" s="1169" t="s">
        <v>1466</v>
      </c>
      <c r="F69" s="379">
        <f ca="1">F41</f>
        <v>43.68</v>
      </c>
      <c r="O69" s="1893" t="s">
        <v>1044</v>
      </c>
      <c r="P69" s="1933" t="s">
        <v>1576</v>
      </c>
      <c r="Q69" s="1885">
        <f ca="1">C39</f>
        <v>8493</v>
      </c>
      <c r="R69" s="1885" t="s">
        <v>1521</v>
      </c>
    </row>
    <row r="70" spans="1:18" s="1841" customFormat="1" ht="13.5" thickBot="1">
      <c r="A70" s="1173"/>
      <c r="B70" s="1174"/>
      <c r="C70" s="355"/>
      <c r="D70" s="1185"/>
      <c r="E70" s="1169" t="s">
        <v>1469</v>
      </c>
      <c r="F70" s="1275"/>
      <c r="O70" s="1893" t="s">
        <v>1045</v>
      </c>
      <c r="P70" s="1933" t="s">
        <v>1577</v>
      </c>
      <c r="Q70" s="1885">
        <f ca="1">C13</f>
        <v>67882</v>
      </c>
      <c r="R70" s="1885" t="s">
        <v>1521</v>
      </c>
    </row>
    <row r="71" spans="1:18" s="1841" customFormat="1" ht="13.5" thickBot="1">
      <c r="A71" s="1190" t="s">
        <v>1029</v>
      </c>
      <c r="B71" s="1191" t="s">
        <v>1479</v>
      </c>
      <c r="C71" s="382">
        <f ca="1">ROUND(C68*10000/F71,0)</f>
        <v>-9424</v>
      </c>
      <c r="D71" s="1192" t="s">
        <v>1480</v>
      </c>
      <c r="E71" s="1193" t="s">
        <v>1481</v>
      </c>
      <c r="F71" s="385">
        <f ca="1">F43</f>
        <v>125562.38</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5770</v>
      </c>
      <c r="D75" s="1841"/>
      <c r="E75" s="1841"/>
      <c r="F75" s="1841"/>
      <c r="K75" s="1867"/>
      <c r="L75" s="1841"/>
      <c r="O75" s="1883" t="s">
        <v>1042</v>
      </c>
      <c r="P75" s="1884" t="s">
        <v>1541</v>
      </c>
      <c r="Q75" s="1885">
        <f ca="1">Q65+Q66</f>
        <v>202805</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0.32099999999999995</v>
      </c>
    </row>
    <row r="80" spans="1:18">
      <c r="B80" s="386" t="s">
        <v>1503</v>
      </c>
      <c r="C80" s="318">
        <f ca="1">ROUND(C75/C39,3)</f>
        <v>0.67900000000000005</v>
      </c>
    </row>
    <row r="81" spans="2:3">
      <c r="B81" s="314" t="s">
        <v>1504</v>
      </c>
      <c r="C81" s="282"/>
    </row>
    <row r="82" spans="2:3">
      <c r="B82" s="317" t="s">
        <v>1505</v>
      </c>
      <c r="C82" s="319">
        <f ca="1">1-C83</f>
        <v>0.66500000000000004</v>
      </c>
    </row>
    <row r="83" spans="2:3">
      <c r="B83" s="317" t="s">
        <v>1506</v>
      </c>
      <c r="C83" s="318">
        <f ca="1">ROUND(C13/C40,3)</f>
        <v>0.33500000000000002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c r="D1" s="1819"/>
      <c r="E1" s="1820" t="s">
        <v>1379</v>
      </c>
      <c r="F1" s="1283" t="b">
        <f>J53</f>
        <v>0</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142" t="s">
        <v>1395</v>
      </c>
      <c r="C6" s="1296">
        <f ca="1">ROUND(F6*F8*F7*(1-F9),0)</f>
        <v>0</v>
      </c>
      <c r="D6" s="164" t="s">
        <v>2975</v>
      </c>
      <c r="E6" s="347" t="s">
        <v>1397</v>
      </c>
      <c r="F6" s="348">
        <f ca="1">INDIRECT("'数据-取费表'!u"&amp;$G$1)</f>
        <v>0</v>
      </c>
      <c r="G6" s="1850"/>
      <c r="H6" s="1291" t="s">
        <v>1031</v>
      </c>
      <c r="I6" s="3142" t="s">
        <v>1395</v>
      </c>
      <c r="J6" s="346">
        <f ca="1">ROUND(M6*M8*M7*(1-M9),0)</f>
        <v>0</v>
      </c>
      <c r="K6" s="1833" t="s">
        <v>2976</v>
      </c>
      <c r="L6" s="347" t="s">
        <v>1397</v>
      </c>
      <c r="M6" s="348">
        <f ca="1">INDIRECT("'数据-取费表'!z"&amp;$G$1)</f>
        <v>0</v>
      </c>
    </row>
    <row r="7" spans="1:37" ht="18" customHeight="1">
      <c r="A7" s="1295"/>
      <c r="B7" s="3143"/>
      <c r="C7" s="1297"/>
      <c r="D7" s="352"/>
      <c r="E7" s="1298" t="s">
        <v>1398</v>
      </c>
      <c r="F7" s="348">
        <f ca="1">IF(INDIRECT("'数据-取费表'!ah"&amp;$G$1)="",INDIRECT("'数据-取费表'!k"&amp;$G$1),INDIRECT("'数据-取费表'!ah"&amp;$G$1))</f>
        <v>0</v>
      </c>
      <c r="G7" s="1850"/>
      <c r="H7" s="349"/>
      <c r="I7" s="3143"/>
      <c r="J7" s="351"/>
      <c r="K7" s="352"/>
      <c r="L7" s="347" t="s">
        <v>1398</v>
      </c>
      <c r="M7" s="348">
        <f ca="1">F7</f>
        <v>0</v>
      </c>
    </row>
    <row r="8" spans="1:37" ht="18" customHeight="1">
      <c r="A8" s="349"/>
      <c r="B8" s="3143"/>
      <c r="C8" s="351"/>
      <c r="D8" s="352"/>
      <c r="E8" s="347" t="s">
        <v>1399</v>
      </c>
      <c r="F8" s="348">
        <f ca="1">INDIRECT("'数据-取费表'!ai"&amp;$G$1)</f>
        <v>0</v>
      </c>
      <c r="G8" s="1850"/>
      <c r="H8" s="349"/>
      <c r="I8" s="3143"/>
      <c r="J8" s="351"/>
      <c r="K8" s="352"/>
      <c r="L8" s="347" t="s">
        <v>1399</v>
      </c>
      <c r="M8" s="348">
        <f ca="1">INDIRECT("'数据-取费表'!ai"&amp;$G$1)</f>
        <v>0</v>
      </c>
    </row>
    <row r="9" spans="1:37" ht="18" customHeight="1">
      <c r="A9" s="349"/>
      <c r="B9" s="3144"/>
      <c r="C9" s="351"/>
      <c r="D9" s="352"/>
      <c r="E9" s="347" t="s">
        <v>1400</v>
      </c>
      <c r="F9" s="357">
        <f ca="1">INDIRECT("'数据-取费表'!w"&amp;$G$1)</f>
        <v>0</v>
      </c>
      <c r="G9" s="1850"/>
      <c r="H9" s="349"/>
      <c r="I9" s="3144"/>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c r="G10" s="1850"/>
      <c r="H10" s="1291" t="s">
        <v>1035</v>
      </c>
      <c r="I10" s="1822" t="s">
        <v>1401</v>
      </c>
      <c r="J10" s="346">
        <f ca="1">ROUND(IF(M10="押一",J6/12*M11,IF(M10="押二",J6/12*2*M11,IF(M10="押三",J6/12*3*M11,J11*M11))),0)</f>
        <v>0</v>
      </c>
      <c r="K10" s="1834" t="s">
        <v>2988</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200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0.02</v>
      </c>
      <c r="G20" s="1853"/>
      <c r="H20" s="1201" t="s">
        <v>1381</v>
      </c>
      <c r="I20" s="164" t="s">
        <v>1433</v>
      </c>
      <c r="J20" s="25">
        <f ca="1">ROUND(M20*M21,0)</f>
        <v>0</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5"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2989</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140" t="s">
        <v>1540</v>
      </c>
      <c r="L53" s="3141"/>
      <c r="O53" s="1883" t="s">
        <v>1042</v>
      </c>
      <c r="P53" s="1884" t="s">
        <v>1541</v>
      </c>
      <c r="Q53" s="1885" t="e">
        <f ca="1">Q47+Q48</f>
        <v>#DIV/0!</v>
      </c>
      <c r="R53" s="1885" t="s">
        <v>1043</v>
      </c>
    </row>
    <row r="54" spans="1:18" s="1841" customFormat="1" ht="13.5"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1" t="s">
        <v>1487</v>
      </c>
      <c r="B62" s="1168" t="s">
        <v>1488</v>
      </c>
      <c r="C62" s="25">
        <f ca="1">IF(项目基本情况!B11="自然人","——",ROUND(F62*F63,0))</f>
        <v>0</v>
      </c>
      <c r="D62" s="1184" t="s">
        <v>1489</v>
      </c>
      <c r="E62" s="1169" t="s">
        <v>1490</v>
      </c>
      <c r="F62" s="371">
        <f t="shared" si="0"/>
        <v>3</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16.5"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5"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5" thickBot="1">
      <c r="A69" s="1170"/>
      <c r="B69" s="1171"/>
      <c r="C69" s="351"/>
      <c r="D69" s="1189" t="s">
        <v>1465</v>
      </c>
      <c r="E69" s="1169" t="s">
        <v>1466</v>
      </c>
      <c r="F69" s="379">
        <f ca="1">F41</f>
        <v>0</v>
      </c>
      <c r="O69" s="1893" t="s">
        <v>1044</v>
      </c>
      <c r="P69" s="1933" t="s">
        <v>1576</v>
      </c>
      <c r="Q69" s="1885">
        <f ca="1">C39</f>
        <v>0</v>
      </c>
      <c r="R69" s="1885" t="s">
        <v>1521</v>
      </c>
    </row>
    <row r="70" spans="1:18" s="1841" customFormat="1" ht="13.5" thickBot="1">
      <c r="A70" s="1173"/>
      <c r="B70" s="1174"/>
      <c r="C70" s="355"/>
      <c r="D70" s="1185"/>
      <c r="E70" s="1169" t="s">
        <v>1469</v>
      </c>
      <c r="F70" s="1275">
        <f ca="1">F42</f>
        <v>0</v>
      </c>
      <c r="O70" s="1893" t="s">
        <v>1045</v>
      </c>
      <c r="P70" s="1933" t="s">
        <v>1577</v>
      </c>
      <c r="Q70" s="1885">
        <f ca="1">C13</f>
        <v>0</v>
      </c>
      <c r="R70" s="1885" t="s">
        <v>1521</v>
      </c>
    </row>
    <row r="71" spans="1:18" s="1841" customFormat="1" ht="13.5"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2474</v>
      </c>
      <c r="B1" s="2564"/>
      <c r="C1" s="2564"/>
      <c r="D1" s="2564"/>
      <c r="E1" s="2565"/>
    </row>
    <row r="2" spans="1:6" ht="15.75">
      <c r="A2" s="2566" t="s">
        <v>2278</v>
      </c>
      <c r="B2" s="2567">
        <f ca="1">SUMIF(B6:B13,"&lt;&gt;#ref!",B6:B13)</f>
        <v>266070</v>
      </c>
      <c r="C2" s="2568" t="s">
        <v>2467</v>
      </c>
      <c r="D2" s="2569" t="s">
        <v>2468</v>
      </c>
      <c r="E2" s="2570">
        <f>SUM(E6:E13)</f>
        <v>231158.84999999998</v>
      </c>
    </row>
    <row r="3" spans="1:6" ht="15.75">
      <c r="A3" s="2566" t="s">
        <v>1387</v>
      </c>
      <c r="B3" s="2567">
        <f ca="1">ROUND(B2*10000/E2,0)</f>
        <v>11510</v>
      </c>
      <c r="C3" s="2568" t="s">
        <v>2475</v>
      </c>
      <c r="D3" s="2571"/>
      <c r="E3" s="2572"/>
    </row>
    <row r="4" spans="1:6" ht="15.75">
      <c r="A4" s="2573"/>
      <c r="B4" s="2571"/>
      <c r="C4" s="2571"/>
      <c r="D4" s="2571"/>
      <c r="E4" s="2572"/>
    </row>
    <row r="5" spans="1:6" ht="15">
      <c r="A5" s="2574" t="s">
        <v>2469</v>
      </c>
      <c r="B5" s="3145" t="s">
        <v>2470</v>
      </c>
      <c r="C5" s="3145"/>
      <c r="D5" s="2575"/>
      <c r="E5" s="2576" t="s">
        <v>2471</v>
      </c>
      <c r="F5" s="2577" t="s">
        <v>2472</v>
      </c>
    </row>
    <row r="6" spans="1:6">
      <c r="A6" s="2578" t="str">
        <f>'数据-取费表'!AN6</f>
        <v>收益法-办公</v>
      </c>
      <c r="B6" s="2577">
        <f ca="1">IF(F6="是",'数据-取费表'!AO6,0)</f>
        <v>202805</v>
      </c>
      <c r="C6" s="2568" t="s">
        <v>2467</v>
      </c>
      <c r="D6" s="2571"/>
      <c r="E6" s="2579">
        <f>IF(OR(A6=0,F6="否"),0,'数据-取费表'!K6+'数据-取费表'!S6)</f>
        <v>128743.39</v>
      </c>
      <c r="F6" s="2580" t="s">
        <v>2473</v>
      </c>
    </row>
    <row r="7" spans="1:6">
      <c r="A7" s="2578" t="str">
        <f>'数据-取费表'!AN7</f>
        <v>收益法-商业</v>
      </c>
      <c r="B7" s="2577">
        <f ca="1">IF(F7="是",'数据-取费表'!AO7,0)</f>
        <v>30404</v>
      </c>
      <c r="C7" s="2568" t="s">
        <v>2467</v>
      </c>
      <c r="D7" s="2571"/>
      <c r="E7" s="2579">
        <f>IF(OR(A7=0,F7="否"),0,'数据-取费表'!K7+'数据-取费表'!S7)</f>
        <v>11664.63</v>
      </c>
      <c r="F7" s="2580" t="s">
        <v>2473</v>
      </c>
    </row>
    <row r="8" spans="1:6">
      <c r="A8" s="2578" t="str">
        <f>'数据-取费表'!AN8</f>
        <v>收益法-酒店</v>
      </c>
      <c r="B8" s="2577">
        <f ca="1">IF(F8="是",'数据-取费表'!AO8,0)</f>
        <v>27188</v>
      </c>
      <c r="C8" s="2568" t="s">
        <v>2467</v>
      </c>
      <c r="D8" s="2571"/>
      <c r="E8" s="2579">
        <f>IF(OR(A8=0,F8="否"),0,'数据-取费表'!K8+'数据-取费表'!S8)</f>
        <v>19310.059999999998</v>
      </c>
      <c r="F8" s="2580" t="s">
        <v>2473</v>
      </c>
    </row>
    <row r="9" spans="1:6">
      <c r="A9" s="2578" t="str">
        <f>'数据-取费表'!AN9</f>
        <v>收益法-地下车库</v>
      </c>
      <c r="B9" s="2577">
        <f ca="1">IF(F9="是",'数据-取费表'!AO9,0)</f>
        <v>5673</v>
      </c>
      <c r="C9" s="2568" t="s">
        <v>2467</v>
      </c>
      <c r="D9" s="2571"/>
      <c r="E9" s="2579">
        <f>IF(OR(A9=0,F9="否"),0,'数据-取费表'!K9+'数据-取费表'!S9)</f>
        <v>71440.77</v>
      </c>
      <c r="F9" s="2580" t="s">
        <v>2473</v>
      </c>
    </row>
    <row r="10" spans="1:6">
      <c r="A10" s="2578">
        <f>'数据-取费表'!AN10</f>
        <v>0</v>
      </c>
      <c r="B10" s="2577" t="e">
        <f ca="1">IF(F10="是",'数据-取费表'!AO10,0)</f>
        <v>#REF!</v>
      </c>
      <c r="C10" s="2568" t="s">
        <v>2467</v>
      </c>
      <c r="D10" s="2571"/>
      <c r="E10" s="2579">
        <f>IF(OR(A10=0,F10="否"),0,'数据-取费表'!K10+'数据-取费表'!S10)</f>
        <v>0</v>
      </c>
      <c r="F10" s="2580" t="s">
        <v>2473</v>
      </c>
    </row>
    <row r="11" spans="1:6">
      <c r="A11" s="2578">
        <f>'数据-取费表'!AN11</f>
        <v>0</v>
      </c>
      <c r="B11" s="2577" t="e">
        <f ca="1">IF(F11="是",'数据-取费表'!AO11,0)</f>
        <v>#REF!</v>
      </c>
      <c r="C11" s="2568" t="s">
        <v>2467</v>
      </c>
      <c r="D11" s="2571"/>
      <c r="E11" s="2579">
        <f>IF(OR(A11=0,F11="否"),0,'数据-取费表'!K11+'数据-取费表'!S11)</f>
        <v>0</v>
      </c>
      <c r="F11" s="2580" t="s">
        <v>2473</v>
      </c>
    </row>
    <row r="12" spans="1:6">
      <c r="A12" s="2578">
        <f>'数据-取费表'!AN12</f>
        <v>0</v>
      </c>
      <c r="B12" s="2577" t="e">
        <f ca="1">IF(F12="是",'数据-取费表'!AO12,0)</f>
        <v>#REF!</v>
      </c>
      <c r="C12" s="2568" t="s">
        <v>2467</v>
      </c>
      <c r="D12" s="2571"/>
      <c r="E12" s="2579">
        <f>IF(OR(A12=0,F12="否"),0,'数据-取费表'!K12+'数据-取费表'!S12)</f>
        <v>0</v>
      </c>
      <c r="F12" s="2580" t="s">
        <v>2473</v>
      </c>
    </row>
    <row r="13" spans="1:6" ht="15" thickBot="1">
      <c r="A13" s="2581">
        <f>'数据-取费表'!AN13</f>
        <v>0</v>
      </c>
      <c r="B13" s="2577" t="e">
        <f ca="1">IF(F13="是",'数据-取费表'!AO13,0)</f>
        <v>#REF!</v>
      </c>
      <c r="C13" s="2582" t="s">
        <v>2467</v>
      </c>
      <c r="D13" s="2583"/>
      <c r="E13" s="2579">
        <f>IF(OR(A13=0,F13="否"),0,'数据-取费表'!K13+'数据-取费表'!S13)</f>
        <v>0</v>
      </c>
      <c r="F13" s="2580" t="s">
        <v>2473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3001</v>
      </c>
      <c r="D1" s="1819" t="s">
        <v>3182</v>
      </c>
      <c r="E1" s="1820" t="s">
        <v>1379</v>
      </c>
      <c r="F1" s="1283">
        <f ca="1">J53</f>
        <v>33.67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30404</v>
      </c>
      <c r="C2" s="1844" t="s">
        <v>1508</v>
      </c>
      <c r="D2" s="1844"/>
      <c r="E2" s="1845"/>
      <c r="F2" s="1846"/>
      <c r="G2" s="1847"/>
      <c r="H2" s="1839"/>
      <c r="I2" s="1839"/>
      <c r="J2" s="1839"/>
      <c r="K2" s="1840"/>
      <c r="L2" s="1839"/>
      <c r="M2" s="1839"/>
    </row>
    <row r="3" spans="1:37" ht="18" customHeight="1" thickBot="1">
      <c r="A3" s="1848" t="s">
        <v>1509</v>
      </c>
      <c r="B3" s="1849">
        <f ca="1">IF(ISERROR(B2*10000/F43),0,ROUND(B2*10000/F43,0))</f>
        <v>26725</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2096</v>
      </c>
      <c r="D5" s="1821" t="s">
        <v>1394</v>
      </c>
      <c r="E5" s="1293"/>
      <c r="F5" s="1294"/>
      <c r="G5" s="1850"/>
      <c r="H5" s="344">
        <v>1</v>
      </c>
      <c r="I5" s="345" t="s">
        <v>1393</v>
      </c>
      <c r="J5" s="1292">
        <f ca="1">J6+J10+J12</f>
        <v>0</v>
      </c>
      <c r="K5" s="1821" t="s">
        <v>1394</v>
      </c>
      <c r="L5" s="1293"/>
      <c r="M5" s="1294"/>
    </row>
    <row r="6" spans="1:37" ht="18" customHeight="1">
      <c r="A6" s="1291" t="s">
        <v>1031</v>
      </c>
      <c r="B6" s="3142" t="s">
        <v>1395</v>
      </c>
      <c r="C6" s="1296">
        <f ca="1">ROUND(F6*F8*F7*(1-F9)/10000,0)</f>
        <v>2093</v>
      </c>
      <c r="D6" s="164" t="s">
        <v>2978</v>
      </c>
      <c r="E6" s="347" t="s">
        <v>1397</v>
      </c>
      <c r="F6" s="348">
        <f ca="1">INDIRECT("'数据-取费表'!u"&amp;$G$1)</f>
        <v>5.6</v>
      </c>
      <c r="G6" s="1850"/>
      <c r="H6" s="1291" t="s">
        <v>1031</v>
      </c>
      <c r="I6" s="3142" t="s">
        <v>1395</v>
      </c>
      <c r="J6" s="346">
        <f ca="1">ROUND(M6*M8*M7*(1-M9)/10000,0)</f>
        <v>0</v>
      </c>
      <c r="K6" s="164" t="s">
        <v>2977</v>
      </c>
      <c r="L6" s="347" t="s">
        <v>1397</v>
      </c>
      <c r="M6" s="348">
        <f ca="1">INDIRECT("'数据-取费表'!z"&amp;$G$1)</f>
        <v>0</v>
      </c>
    </row>
    <row r="7" spans="1:37" ht="18" customHeight="1">
      <c r="A7" s="1295"/>
      <c r="B7" s="3143"/>
      <c r="C7" s="1297"/>
      <c r="D7" s="352"/>
      <c r="E7" s="2945" t="s">
        <v>1398</v>
      </c>
      <c r="F7" s="348">
        <f ca="1">IF(INDIRECT("'数据-取费表'!ah"&amp;$G$1)="",INDIRECT("'数据-取费表'!k"&amp;$G$1),INDIRECT("'数据-取费表'!ah"&amp;$G$1))</f>
        <v>11376.42</v>
      </c>
      <c r="G7" s="1850"/>
      <c r="H7" s="349"/>
      <c r="I7" s="3143"/>
      <c r="J7" s="351"/>
      <c r="K7" s="352"/>
      <c r="L7" s="347" t="s">
        <v>1398</v>
      </c>
      <c r="M7" s="348">
        <f ca="1">F7</f>
        <v>11376.42</v>
      </c>
    </row>
    <row r="8" spans="1:37" ht="18" customHeight="1">
      <c r="A8" s="349"/>
      <c r="B8" s="3143"/>
      <c r="C8" s="351"/>
      <c r="D8" s="352"/>
      <c r="E8" s="347" t="s">
        <v>1399</v>
      </c>
      <c r="F8" s="348">
        <f ca="1">INDIRECT("'数据-取费表'!ai"&amp;$G$1)</f>
        <v>365</v>
      </c>
      <c r="G8" s="1850"/>
      <c r="H8" s="349"/>
      <c r="I8" s="3143"/>
      <c r="J8" s="351"/>
      <c r="K8" s="352"/>
      <c r="L8" s="347" t="s">
        <v>1399</v>
      </c>
      <c r="M8" s="348">
        <f ca="1">INDIRECT("'数据-取费表'!ai"&amp;$G$1)</f>
        <v>365</v>
      </c>
    </row>
    <row r="9" spans="1:37" ht="18" customHeight="1">
      <c r="A9" s="349"/>
      <c r="B9" s="3144"/>
      <c r="C9" s="351"/>
      <c r="D9" s="352"/>
      <c r="E9" s="347" t="s">
        <v>1400</v>
      </c>
      <c r="F9" s="357">
        <f ca="1">INDIRECT("'数据-取费表'!w"&amp;$G$1)</f>
        <v>0.1</v>
      </c>
      <c r="G9" s="1850"/>
      <c r="H9" s="349"/>
      <c r="I9" s="3144"/>
      <c r="J9" s="351"/>
      <c r="K9" s="352"/>
      <c r="L9" s="358" t="s">
        <v>1400</v>
      </c>
      <c r="M9" s="359">
        <f ca="1">INDIRECT("'数据-取费表'!ab"&amp;$G$1)</f>
        <v>0</v>
      </c>
    </row>
    <row r="10" spans="1:37" ht="18" customHeight="1">
      <c r="A10" s="1291" t="s">
        <v>1035</v>
      </c>
      <c r="B10" s="1822" t="s">
        <v>1401</v>
      </c>
      <c r="C10" s="361">
        <f ca="1">ROUND(IF(F10="押一",C6/12*F11,IF(F10="押二",C6/12*2*F11,IF(F10="押三",C6/12*3*F11,C11*F11))),0)</f>
        <v>3</v>
      </c>
      <c r="D10" s="1823" t="s">
        <v>2986</v>
      </c>
      <c r="E10" s="358" t="s">
        <v>1402</v>
      </c>
      <c r="F10" s="1366" t="s">
        <v>3178</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7555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4623</v>
      </c>
      <c r="D14" s="2948" t="s">
        <v>1410</v>
      </c>
      <c r="E14" s="2947"/>
      <c r="F14" s="364"/>
      <c r="G14" s="1850"/>
      <c r="H14" s="1201" t="s">
        <v>1031</v>
      </c>
      <c r="I14" s="347" t="s">
        <v>1411</v>
      </c>
      <c r="J14" s="24">
        <f ca="1">C29</f>
        <v>7555</v>
      </c>
      <c r="K14" s="2944"/>
      <c r="L14" s="979"/>
      <c r="M14" s="980"/>
    </row>
    <row r="15" spans="1:37" s="1857" customFormat="1" ht="18" customHeight="1" thickBot="1">
      <c r="A15" s="1201" t="s">
        <v>1032</v>
      </c>
      <c r="B15" s="347" t="s">
        <v>1412</v>
      </c>
      <c r="C15" s="24">
        <f ca="1">ROUND(C14*F15,0)</f>
        <v>231</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253</v>
      </c>
      <c r="K16" s="1337" t="s">
        <v>1417</v>
      </c>
      <c r="L16" s="2950"/>
      <c r="M16" s="1294"/>
    </row>
    <row r="17" spans="1:37" s="1857" customFormat="1" ht="18" customHeight="1">
      <c r="A17" s="1201" t="s">
        <v>1382</v>
      </c>
      <c r="B17" s="347" t="s">
        <v>1418</v>
      </c>
      <c r="C17" s="24">
        <f ca="1">ROUND(F17*(F43+INDIRECT("'数据-取费表'!S"&amp;$G$1))/10000,0)</f>
        <v>233</v>
      </c>
      <c r="D17" s="347" t="s">
        <v>1419</v>
      </c>
      <c r="E17" s="347" t="s">
        <v>1420</v>
      </c>
      <c r="F17" s="26">
        <f>'数据-取费表'!B35</f>
        <v>200</v>
      </c>
      <c r="G17" s="1853"/>
      <c r="H17" s="1201" t="s">
        <v>1031</v>
      </c>
      <c r="I17" s="347" t="s">
        <v>1421</v>
      </c>
      <c r="J17" s="24">
        <f ca="1">ROUND(IF(项目基本情况!B11="自然人",J5*M17,J18+J19+J20),1)</f>
        <v>64.2</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69</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5156</v>
      </c>
      <c r="D19" s="140" t="s">
        <v>1428</v>
      </c>
      <c r="E19" s="2943"/>
      <c r="F19" s="26"/>
      <c r="G19" s="1850"/>
      <c r="H19" s="1201" t="s">
        <v>1032</v>
      </c>
      <c r="I19" s="347" t="s">
        <v>1429</v>
      </c>
      <c r="J19" s="24">
        <f ca="1">IF(K19="按租金收入计税",ROUND(J5*M19,2),ROUND(C29*M19*0.7,2))</f>
        <v>63.46</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103</v>
      </c>
      <c r="D20" s="369" t="s">
        <v>1432</v>
      </c>
      <c r="E20" s="347" t="s">
        <v>1414</v>
      </c>
      <c r="F20" s="367">
        <f>'数据-取费表'!B37</f>
        <v>0.02</v>
      </c>
      <c r="G20" s="1853"/>
      <c r="H20" s="1201" t="s">
        <v>1381</v>
      </c>
      <c r="I20" s="164" t="s">
        <v>1433</v>
      </c>
      <c r="J20" s="25">
        <f ca="1">ROUND(M20*M21/10000,2)</f>
        <v>0.7</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2335.62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188.9</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379</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-253</v>
      </c>
      <c r="K25" s="1345" t="s">
        <v>1456</v>
      </c>
      <c r="L25" s="1346"/>
      <c r="M25" s="1347"/>
    </row>
    <row r="26" spans="1:37">
      <c r="A26" s="1201" t="s">
        <v>1030</v>
      </c>
      <c r="B26" s="347" t="s">
        <v>1457</v>
      </c>
      <c r="C26" s="24">
        <f ca="1">ROUND((C19+C20)*F26,0)</f>
        <v>1315</v>
      </c>
      <c r="D26" s="369" t="s">
        <v>1458</v>
      </c>
      <c r="E26" s="358" t="s">
        <v>1459</v>
      </c>
      <c r="F26" s="357">
        <f ca="1">INDIRECT("'数据-取费表'!q"&amp;$G$1)</f>
        <v>0.25</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5.0000000000000001E-3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7555</v>
      </c>
      <c r="D29" s="1342"/>
      <c r="E29" s="1340"/>
      <c r="F29" s="1343"/>
      <c r="G29" s="1853"/>
      <c r="H29" s="380" t="s">
        <v>1029</v>
      </c>
      <c r="I29" s="381" t="s">
        <v>1471</v>
      </c>
      <c r="J29" s="382">
        <f ca="1">ROUND(J26/(1+F40)^F41,0)</f>
        <v>0</v>
      </c>
      <c r="K29" s="383" t="s">
        <v>1472</v>
      </c>
      <c r="L29" s="384"/>
      <c r="M29" s="385">
        <f ca="1">INDIRECT("'数据-取费表'!k"&amp;$G$1)</f>
        <v>11376.42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624</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364</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111.79</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251.52</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0.7</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2335.62</v>
      </c>
      <c r="G35" s="1850"/>
      <c r="H35" s="745"/>
      <c r="I35" s="1859"/>
      <c r="J35" s="1860"/>
      <c r="K35" s="1861"/>
      <c r="L35" s="1858"/>
      <c r="M35" s="1858"/>
    </row>
    <row r="36" spans="1:18" ht="18" customHeight="1">
      <c r="A36" s="1352" t="s">
        <v>1035</v>
      </c>
      <c r="B36" s="347" t="s">
        <v>1441</v>
      </c>
      <c r="C36" s="24">
        <f ca="1">ROUND(C29*F36,1)</f>
        <v>188.9</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18.899999999999999</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52.4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1472</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30404</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33.67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26725</v>
      </c>
      <c r="D43" s="383" t="s">
        <v>1480</v>
      </c>
      <c r="E43" s="384" t="s">
        <v>1481</v>
      </c>
      <c r="F43" s="385">
        <f ca="1">INDIRECT("'数据-取费表'!k"&amp;$G$1)</f>
        <v>11376.42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-42479</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40</v>
      </c>
      <c r="M47" s="1837" t="str">
        <f>IF(ISNUMBER(FIND("住宅",C1)),"住宅","非住宅")</f>
        <v>非住宅</v>
      </c>
      <c r="O47" s="1883" t="s">
        <v>1036</v>
      </c>
      <c r="P47" s="1884" t="s">
        <v>1520</v>
      </c>
      <c r="Q47" s="1885">
        <f ca="1">C40+J29</f>
        <v>30404</v>
      </c>
      <c r="R47" s="1885" t="s">
        <v>1521</v>
      </c>
    </row>
    <row r="48" spans="1:18" s="1841" customFormat="1" ht="28.5"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35.17</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7555</v>
      </c>
      <c r="R49" s="1885" t="s">
        <v>1521</v>
      </c>
    </row>
    <row r="50" spans="1:18" s="1841" customFormat="1" ht="13.5" thickBot="1">
      <c r="A50" s="1195"/>
      <c r="B50" s="1198"/>
      <c r="C50" s="1368"/>
      <c r="D50" s="1172"/>
      <c r="E50" s="1277" t="s">
        <v>1398</v>
      </c>
      <c r="F50" s="1278">
        <f ca="1">F7</f>
        <v>11376.42</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12792</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33.67</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33.67</v>
      </c>
      <c r="K53" s="3140" t="s">
        <v>1540</v>
      </c>
      <c r="L53" s="3141"/>
      <c r="O53" s="1883" t="s">
        <v>1042</v>
      </c>
      <c r="P53" s="1884" t="s">
        <v>1541</v>
      </c>
      <c r="Q53" s="1885">
        <f ca="1">Q47+Q48</f>
        <v>30404</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7555</v>
      </c>
      <c r="D56" s="1913"/>
      <c r="E56" s="1914"/>
      <c r="F56" s="1906"/>
      <c r="I56" s="1915" t="s">
        <v>1546</v>
      </c>
      <c r="J56" s="1916" t="s">
        <v>3023</v>
      </c>
      <c r="K56" s="1886" t="s">
        <v>1547</v>
      </c>
      <c r="L56" s="1889" t="str">
        <f ca="1">IF(L48&lt;J51,"——",L48-J53)</f>
        <v>——</v>
      </c>
      <c r="O56" s="1883" t="s">
        <v>1036</v>
      </c>
      <c r="P56" s="1884" t="s">
        <v>1520</v>
      </c>
      <c r="Q56" s="1885">
        <f ca="1">C40+J29</f>
        <v>30404</v>
      </c>
      <c r="R56" s="1885" t="s">
        <v>1521</v>
      </c>
    </row>
    <row r="57" spans="1:18" s="1841" customFormat="1" ht="24.75" thickBot="1">
      <c r="A57" s="1917"/>
      <c r="B57" s="1169" t="s">
        <v>1470</v>
      </c>
      <c r="C57" s="282">
        <f ca="1">C29</f>
        <v>7555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843</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635.29999999999995</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634.62</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0.7</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30404</v>
      </c>
      <c r="R62" s="1885" t="s">
        <v>1043</v>
      </c>
    </row>
    <row r="63" spans="1:18" s="1841" customFormat="1" ht="13.5" thickBot="1">
      <c r="A63" s="372"/>
      <c r="B63" s="1175"/>
      <c r="C63" s="29"/>
      <c r="D63" s="1185"/>
      <c r="E63" s="1169" t="s">
        <v>1439</v>
      </c>
      <c r="F63" s="348">
        <f t="shared" ca="1" si="0"/>
        <v>2335.62</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188.9</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18.899999999999999</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30404</v>
      </c>
      <c r="R65" s="1885" t="s">
        <v>1521</v>
      </c>
    </row>
    <row r="66" spans="1:18" s="1841" customFormat="1" ht="16.5"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-843</v>
      </c>
      <c r="D67" s="1182" t="s">
        <v>1456</v>
      </c>
      <c r="E67" s="1187"/>
      <c r="F67" s="1188"/>
      <c r="O67" s="1893" t="s">
        <v>1038</v>
      </c>
      <c r="P67" s="1884" t="s">
        <v>1554</v>
      </c>
      <c r="Q67" s="1932">
        <f ca="1">L51</f>
        <v>12792</v>
      </c>
      <c r="R67" s="1885" t="s">
        <v>1574</v>
      </c>
    </row>
    <row r="68" spans="1:18" s="1841" customFormat="1" ht="16.5" thickBot="1">
      <c r="A68" s="1166" t="s">
        <v>1028</v>
      </c>
      <c r="B68" s="1167" t="s">
        <v>1477</v>
      </c>
      <c r="C68" s="346">
        <f ca="1">ROUND(C67*(1-((1+F70)/(1+F68))^F69)/(F68-F70),0)</f>
        <v>-12075</v>
      </c>
      <c r="D68" s="1184" t="s">
        <v>1461</v>
      </c>
      <c r="E68" s="1169" t="s">
        <v>1462</v>
      </c>
      <c r="F68" s="357">
        <f ca="1">F40</f>
        <v>0.06</v>
      </c>
      <c r="O68" s="1893" t="s">
        <v>1039</v>
      </c>
      <c r="P68" s="1933" t="s">
        <v>1575</v>
      </c>
      <c r="Q68" s="1885">
        <f ca="1">ROUND(Q69-Q70*Q71,0)</f>
        <v>830</v>
      </c>
      <c r="R68" s="1885" t="s">
        <v>1047</v>
      </c>
    </row>
    <row r="69" spans="1:18" s="1841" customFormat="1" ht="13.5" thickBot="1">
      <c r="A69" s="1170"/>
      <c r="B69" s="1171"/>
      <c r="C69" s="351"/>
      <c r="D69" s="1189" t="s">
        <v>1465</v>
      </c>
      <c r="E69" s="1169" t="s">
        <v>1466</v>
      </c>
      <c r="F69" s="379">
        <f ca="1">F41</f>
        <v>33.67</v>
      </c>
      <c r="O69" s="1893" t="s">
        <v>1044</v>
      </c>
      <c r="P69" s="1933" t="s">
        <v>1576</v>
      </c>
      <c r="Q69" s="1885">
        <f ca="1">C39</f>
        <v>1472</v>
      </c>
      <c r="R69" s="1885" t="s">
        <v>1521</v>
      </c>
    </row>
    <row r="70" spans="1:18" s="1841" customFormat="1" ht="13.5" thickBot="1">
      <c r="A70" s="1173"/>
      <c r="B70" s="1174"/>
      <c r="C70" s="355"/>
      <c r="D70" s="1185"/>
      <c r="E70" s="1169" t="s">
        <v>1469</v>
      </c>
      <c r="F70" s="1275"/>
      <c r="O70" s="1893" t="s">
        <v>1045</v>
      </c>
      <c r="P70" s="1933" t="s">
        <v>1577</v>
      </c>
      <c r="Q70" s="1885">
        <f ca="1">C13</f>
        <v>7555</v>
      </c>
      <c r="R70" s="1885" t="s">
        <v>1521</v>
      </c>
    </row>
    <row r="71" spans="1:18" s="1841" customFormat="1" ht="13.5" thickBot="1">
      <c r="A71" s="1190" t="s">
        <v>1029</v>
      </c>
      <c r="B71" s="1191" t="s">
        <v>1479</v>
      </c>
      <c r="C71" s="382">
        <f ca="1">ROUND(C68*10000/F71,0)</f>
        <v>-10614</v>
      </c>
      <c r="D71" s="1192" t="s">
        <v>1480</v>
      </c>
      <c r="E71" s="1193" t="s">
        <v>1481</v>
      </c>
      <c r="F71" s="385">
        <f ca="1">F43</f>
        <v>11376.42</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642</v>
      </c>
      <c r="D75" s="1841"/>
      <c r="E75" s="1841"/>
      <c r="F75" s="1841"/>
      <c r="K75" s="1867"/>
      <c r="L75" s="1841"/>
      <c r="O75" s="1883" t="s">
        <v>1042</v>
      </c>
      <c r="P75" s="1884" t="s">
        <v>1541</v>
      </c>
      <c r="Q75" s="1885">
        <f ca="1">Q65+Q66</f>
        <v>30404</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0.56400000000000006</v>
      </c>
    </row>
    <row r="80" spans="1:18">
      <c r="B80" s="386" t="s">
        <v>1503</v>
      </c>
      <c r="C80" s="318">
        <f ca="1">ROUND(C75/C39,3)</f>
        <v>0.436</v>
      </c>
    </row>
    <row r="81" spans="2:3">
      <c r="B81" s="314" t="s">
        <v>1504</v>
      </c>
      <c r="C81" s="282"/>
    </row>
    <row r="82" spans="2:3">
      <c r="B82" s="317" t="s">
        <v>1505</v>
      </c>
      <c r="C82" s="319">
        <f ca="1">1-C83</f>
        <v>0.752</v>
      </c>
    </row>
    <row r="83" spans="2:3">
      <c r="B83" s="317" t="s">
        <v>1506</v>
      </c>
      <c r="C83" s="318">
        <f ca="1">ROUND(C13/C40,3)</f>
        <v>0.248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6" sqref="D1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3003</v>
      </c>
      <c r="D1" s="1819" t="s">
        <v>3182</v>
      </c>
      <c r="E1" s="1820" t="s">
        <v>1379</v>
      </c>
      <c r="F1" s="1283">
        <f ca="1">J53</f>
        <v>43.68</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27188</v>
      </c>
      <c r="C2" s="1844" t="s">
        <v>1508</v>
      </c>
      <c r="D2" s="1844"/>
      <c r="E2" s="1845"/>
      <c r="F2" s="1846"/>
      <c r="G2" s="1847"/>
      <c r="H2" s="1839"/>
      <c r="I2" s="1839"/>
      <c r="J2" s="1839"/>
      <c r="K2" s="1840"/>
      <c r="L2" s="1839"/>
      <c r="M2" s="1839"/>
    </row>
    <row r="3" spans="1:37" ht="18" customHeight="1" thickBot="1">
      <c r="A3" s="1848" t="s">
        <v>1509</v>
      </c>
      <c r="B3" s="1849">
        <f ca="1">IF(ISERROR(B2*10000/F43),0,ROUND(B2*10000/F43,0))</f>
        <v>14436</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1774</v>
      </c>
      <c r="D5" s="1821" t="s">
        <v>1394</v>
      </c>
      <c r="E5" s="1293"/>
      <c r="F5" s="1294"/>
      <c r="G5" s="1850"/>
      <c r="H5" s="344">
        <v>1</v>
      </c>
      <c r="I5" s="345" t="s">
        <v>1393</v>
      </c>
      <c r="J5" s="1292">
        <f ca="1">J6+J10+J12</f>
        <v>0</v>
      </c>
      <c r="K5" s="1821" t="s">
        <v>1394</v>
      </c>
      <c r="L5" s="1293"/>
      <c r="M5" s="1294"/>
    </row>
    <row r="6" spans="1:37" ht="18" customHeight="1">
      <c r="A6" s="1291" t="s">
        <v>1031</v>
      </c>
      <c r="B6" s="3142" t="s">
        <v>1395</v>
      </c>
      <c r="C6" s="1296">
        <f ca="1">ROUND(F6*F8*F7*(1-F9)/10000,0)</f>
        <v>1774</v>
      </c>
      <c r="D6" s="164" t="s">
        <v>2978</v>
      </c>
      <c r="E6" s="347" t="s">
        <v>1397</v>
      </c>
      <c r="F6" s="348">
        <f ca="1">INDIRECT("'数据-取费表'!u"&amp;$G$1)</f>
        <v>17737500</v>
      </c>
      <c r="G6" s="1850"/>
      <c r="H6" s="1291" t="s">
        <v>1031</v>
      </c>
      <c r="I6" s="3142" t="s">
        <v>1395</v>
      </c>
      <c r="J6" s="346">
        <f ca="1">ROUND(M6*M8*M7*(1-M9)/10000,0)</f>
        <v>0</v>
      </c>
      <c r="K6" s="164" t="s">
        <v>2977</v>
      </c>
      <c r="L6" s="347" t="s">
        <v>1397</v>
      </c>
      <c r="M6" s="348">
        <f ca="1">INDIRECT("'数据-取费表'!z"&amp;$G$1)</f>
        <v>0</v>
      </c>
    </row>
    <row r="7" spans="1:37" ht="18" customHeight="1">
      <c r="A7" s="1295"/>
      <c r="B7" s="3143"/>
      <c r="C7" s="1297"/>
      <c r="D7" s="352"/>
      <c r="E7" s="2945" t="s">
        <v>1398</v>
      </c>
      <c r="F7" s="348">
        <f ca="1">IF(INDIRECT("'数据-取费表'!ah"&amp;$G$1)="",INDIRECT("'数据-取费表'!k"&amp;$G$1),INDIRECT("'数据-取费表'!ah"&amp;$G$1))</f>
        <v>1</v>
      </c>
      <c r="G7" s="1850"/>
      <c r="H7" s="349"/>
      <c r="I7" s="3143"/>
      <c r="J7" s="351"/>
      <c r="K7" s="352"/>
      <c r="L7" s="347" t="s">
        <v>1398</v>
      </c>
      <c r="M7" s="348">
        <f ca="1">F7</f>
        <v>1</v>
      </c>
    </row>
    <row r="8" spans="1:37" ht="18" customHeight="1">
      <c r="A8" s="349"/>
      <c r="B8" s="3143"/>
      <c r="C8" s="351"/>
      <c r="D8" s="352"/>
      <c r="E8" s="347" t="s">
        <v>1399</v>
      </c>
      <c r="F8" s="348">
        <f ca="1">INDIRECT("'数据-取费表'!ai"&amp;$G$1)</f>
        <v>1</v>
      </c>
      <c r="G8" s="1850"/>
      <c r="H8" s="349"/>
      <c r="I8" s="3143"/>
      <c r="J8" s="351"/>
      <c r="K8" s="352"/>
      <c r="L8" s="347" t="s">
        <v>1399</v>
      </c>
      <c r="M8" s="348">
        <f ca="1">INDIRECT("'数据-取费表'!ai"&amp;$G$1)</f>
        <v>1</v>
      </c>
    </row>
    <row r="9" spans="1:37" ht="18" customHeight="1">
      <c r="A9" s="349"/>
      <c r="B9" s="3144"/>
      <c r="C9" s="351"/>
      <c r="D9" s="352"/>
      <c r="E9" s="347" t="s">
        <v>1400</v>
      </c>
      <c r="F9" s="357">
        <f ca="1">INDIRECT("'数据-取费表'!w"&amp;$G$1)</f>
        <v>0</v>
      </c>
      <c r="G9" s="1850"/>
      <c r="H9" s="349"/>
      <c r="I9" s="3144"/>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3186</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13605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8029</v>
      </c>
      <c r="D14" s="2948" t="s">
        <v>1410</v>
      </c>
      <c r="E14" s="2947"/>
      <c r="F14" s="364"/>
      <c r="G14" s="1850"/>
      <c r="H14" s="1201" t="s">
        <v>1031</v>
      </c>
      <c r="I14" s="347" t="s">
        <v>1411</v>
      </c>
      <c r="J14" s="24">
        <f ca="1">C29</f>
        <v>13605</v>
      </c>
      <c r="K14" s="2944"/>
      <c r="L14" s="979"/>
      <c r="M14" s="980"/>
    </row>
    <row r="15" spans="1:37" s="1857" customFormat="1" ht="18" customHeight="1" thickBot="1">
      <c r="A15" s="1201" t="s">
        <v>1032</v>
      </c>
      <c r="B15" s="347" t="s">
        <v>1412</v>
      </c>
      <c r="C15" s="24">
        <f ca="1">ROUND(C14*F15,0)</f>
        <v>401</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456</v>
      </c>
      <c r="K16" s="1337" t="s">
        <v>1417</v>
      </c>
      <c r="L16" s="2950"/>
      <c r="M16" s="1294"/>
    </row>
    <row r="17" spans="1:37" s="1857" customFormat="1" ht="18" customHeight="1">
      <c r="A17" s="1201" t="s">
        <v>1382</v>
      </c>
      <c r="B17" s="347" t="s">
        <v>1418</v>
      </c>
      <c r="C17" s="24">
        <f ca="1">ROUND(F17*(F43+INDIRECT("'数据-取费表'!S"&amp;$G$1))/10000,0)</f>
        <v>386</v>
      </c>
      <c r="D17" s="347" t="s">
        <v>1419</v>
      </c>
      <c r="E17" s="347" t="s">
        <v>1420</v>
      </c>
      <c r="F17" s="26">
        <f>'数据-取费表'!B35</f>
        <v>200</v>
      </c>
      <c r="G17" s="1853"/>
      <c r="H17" s="1201" t="s">
        <v>1031</v>
      </c>
      <c r="I17" s="347" t="s">
        <v>1421</v>
      </c>
      <c r="J17" s="24">
        <f ca="1">ROUND(IF(项目基本情况!B11="自然人",J5*M17,J18+J19+J20),1)</f>
        <v>115.4</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120</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8936</v>
      </c>
      <c r="D19" s="140" t="s">
        <v>1428</v>
      </c>
      <c r="E19" s="2943"/>
      <c r="F19" s="26"/>
      <c r="G19" s="1850"/>
      <c r="H19" s="1201" t="s">
        <v>1032</v>
      </c>
      <c r="I19" s="347" t="s">
        <v>1429</v>
      </c>
      <c r="J19" s="24">
        <f ca="1">IF(K19="按租金收入计税",ROUND(J5*M19,2),ROUND(C29*M19*0.7,2))</f>
        <v>114.28</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179</v>
      </c>
      <c r="D20" s="369" t="s">
        <v>1432</v>
      </c>
      <c r="E20" s="347" t="s">
        <v>1414</v>
      </c>
      <c r="F20" s="367">
        <f>'数据-取费表'!B37</f>
        <v>0.02</v>
      </c>
      <c r="G20" s="1853"/>
      <c r="H20" s="1201" t="s">
        <v>1381</v>
      </c>
      <c r="I20" s="164" t="s">
        <v>1433</v>
      </c>
      <c r="J20" s="25">
        <f ca="1">ROUND(M20*M21/10000,2)</f>
        <v>1.1599999999999999</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3866.4700000000003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340.1</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657</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-456</v>
      </c>
      <c r="K25" s="1345" t="s">
        <v>1456</v>
      </c>
      <c r="L25" s="1346"/>
      <c r="M25" s="1347"/>
    </row>
    <row r="26" spans="1:37">
      <c r="A26" s="1201" t="s">
        <v>1030</v>
      </c>
      <c r="B26" s="347" t="s">
        <v>1457</v>
      </c>
      <c r="C26" s="24">
        <f ca="1">ROUND((C19+C20)*F26,0)</f>
        <v>2735</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6.0000000000000001E-3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13605</v>
      </c>
      <c r="D29" s="1342"/>
      <c r="E29" s="1340"/>
      <c r="F29" s="1343"/>
      <c r="G29" s="1853"/>
      <c r="H29" s="380" t="s">
        <v>1029</v>
      </c>
      <c r="I29" s="381" t="s">
        <v>1471</v>
      </c>
      <c r="J29" s="382">
        <f ca="1">ROUND(J26/(1+F40)^F41,0)</f>
        <v>0</v>
      </c>
      <c r="K29" s="383" t="s">
        <v>1472</v>
      </c>
      <c r="L29" s="384"/>
      <c r="M29" s="385">
        <f ca="1">INDIRECT("'数据-取费表'!k"&amp;$G$1)</f>
        <v>18832.939999999999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727</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308.7</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94.61</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212.88</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1.1599999999999999</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3866.4700000000003</v>
      </c>
      <c r="G35" s="1850"/>
      <c r="H35" s="745"/>
      <c r="I35" s="1859"/>
      <c r="J35" s="1860"/>
      <c r="K35" s="1861"/>
      <c r="L35" s="1858"/>
      <c r="M35" s="1858"/>
    </row>
    <row r="36" spans="1:18" ht="18" customHeight="1">
      <c r="A36" s="1352" t="s">
        <v>1035</v>
      </c>
      <c r="B36" s="347" t="s">
        <v>1441</v>
      </c>
      <c r="C36" s="24">
        <f ca="1">ROUND(C29*F36,1)</f>
        <v>340.1</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34</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44.4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1047</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27188</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14436</v>
      </c>
      <c r="D43" s="383" t="s">
        <v>1480</v>
      </c>
      <c r="E43" s="384" t="s">
        <v>1481</v>
      </c>
      <c r="F43" s="385">
        <f ca="1">INDIRECT("'数据-取费表'!k"&amp;$G$1)</f>
        <v>18832.939999999999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-52126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27188</v>
      </c>
      <c r="R47" s="1885" t="s">
        <v>1521</v>
      </c>
    </row>
    <row r="48" spans="1:18" s="1841" customFormat="1" ht="28.5"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13605</v>
      </c>
      <c r="R49" s="1885" t="s">
        <v>1521</v>
      </c>
    </row>
    <row r="50" spans="1:18" s="1841" customFormat="1" ht="13.5" thickBot="1">
      <c r="A50" s="1195"/>
      <c r="B50" s="1198"/>
      <c r="C50" s="1368"/>
      <c r="D50" s="1172"/>
      <c r="E50" s="1277" t="s">
        <v>1398</v>
      </c>
      <c r="F50" s="1278">
        <f ca="1">F7</f>
        <v>1</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v>
      </c>
      <c r="I51" s="1897" t="s">
        <v>1532</v>
      </c>
      <c r="J51" s="1898">
        <f>IF(J49="",J50,J49+J50-YEAR('数据-取费表'!B2))</f>
        <v>60</v>
      </c>
      <c r="K51" s="1899" t="s">
        <v>1533</v>
      </c>
      <c r="L51" s="1900">
        <f ca="1">ROUND(-PV(INDIRECT("'数据-取费表'!h"&amp;$G$1),L48,(C39-C13*C76),0),0)</f>
        <v>-1947</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140" t="s">
        <v>1540</v>
      </c>
      <c r="L53" s="3141"/>
      <c r="O53" s="1883" t="s">
        <v>1042</v>
      </c>
      <c r="P53" s="1884" t="s">
        <v>1541</v>
      </c>
      <c r="Q53" s="1885">
        <f ca="1">Q47+Q48</f>
        <v>27188</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13605</v>
      </c>
      <c r="D56" s="1913"/>
      <c r="E56" s="1914"/>
      <c r="F56" s="1906"/>
      <c r="I56" s="1915" t="s">
        <v>1546</v>
      </c>
      <c r="J56" s="1916" t="s">
        <v>3023</v>
      </c>
      <c r="K56" s="1886" t="s">
        <v>1547</v>
      </c>
      <c r="L56" s="1889" t="str">
        <f ca="1">IF(L48&lt;J51,"——",L48-J53)</f>
        <v>——</v>
      </c>
      <c r="O56" s="1883" t="s">
        <v>1036</v>
      </c>
      <c r="P56" s="1884" t="s">
        <v>1520</v>
      </c>
      <c r="Q56" s="1885">
        <f ca="1">C40+J29</f>
        <v>27188</v>
      </c>
      <c r="R56" s="1885" t="s">
        <v>1521</v>
      </c>
    </row>
    <row r="57" spans="1:18" s="1841" customFormat="1" ht="24.75" thickBot="1">
      <c r="A57" s="1917"/>
      <c r="B57" s="1169" t="s">
        <v>1470</v>
      </c>
      <c r="C57" s="282">
        <f ca="1">C29</f>
        <v>13605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1518</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1144</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1142.82</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1.1599999999999999</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27188</v>
      </c>
      <c r="R62" s="1885" t="s">
        <v>1043</v>
      </c>
    </row>
    <row r="63" spans="1:18" s="1841" customFormat="1" ht="13.5" thickBot="1">
      <c r="A63" s="372"/>
      <c r="B63" s="1175"/>
      <c r="C63" s="29"/>
      <c r="D63" s="1185"/>
      <c r="E63" s="1169" t="s">
        <v>1439</v>
      </c>
      <c r="F63" s="348">
        <f t="shared" ca="1" si="0"/>
        <v>3866.4700000000003</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340.1</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34</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27188</v>
      </c>
      <c r="R65" s="1885" t="s">
        <v>1521</v>
      </c>
    </row>
    <row r="66" spans="1:18" s="1841" customFormat="1" ht="16.5"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16.5" thickBot="1">
      <c r="A67" s="1176" t="s">
        <v>1027</v>
      </c>
      <c r="B67" s="1186" t="s">
        <v>1455</v>
      </c>
      <c r="C67" s="361">
        <f ca="1">C48-C58</f>
        <v>-1518</v>
      </c>
      <c r="D67" s="1182" t="s">
        <v>1456</v>
      </c>
      <c r="E67" s="1187"/>
      <c r="F67" s="1188"/>
      <c r="O67" s="1893" t="s">
        <v>1038</v>
      </c>
      <c r="P67" s="1884" t="s">
        <v>1554</v>
      </c>
      <c r="Q67" s="1932">
        <f ca="1">L51</f>
        <v>-1947</v>
      </c>
      <c r="R67" s="1885" t="s">
        <v>1574</v>
      </c>
    </row>
    <row r="68" spans="1:18" s="1841" customFormat="1" ht="16.5" thickBot="1">
      <c r="A68" s="1166" t="s">
        <v>1028</v>
      </c>
      <c r="B68" s="1167" t="s">
        <v>1477</v>
      </c>
      <c r="C68" s="346">
        <f ca="1">ROUND(C67*(1-((1+F70)/(1+F68))^F69)/(F68-F70),0)</f>
        <v>-24938</v>
      </c>
      <c r="D68" s="1184" t="s">
        <v>1461</v>
      </c>
      <c r="E68" s="1169" t="s">
        <v>1462</v>
      </c>
      <c r="F68" s="357">
        <f ca="1">F40</f>
        <v>5.5E-2</v>
      </c>
      <c r="O68" s="1893" t="s">
        <v>1039</v>
      </c>
      <c r="P68" s="1933" t="s">
        <v>1575</v>
      </c>
      <c r="Q68" s="1885">
        <f ca="1">ROUND(Q69-Q70*Q71,0)</f>
        <v>-109</v>
      </c>
      <c r="R68" s="1885" t="s">
        <v>1047</v>
      </c>
    </row>
    <row r="69" spans="1:18" s="1841" customFormat="1" ht="13.5" thickBot="1">
      <c r="A69" s="1170"/>
      <c r="B69" s="1171"/>
      <c r="C69" s="351"/>
      <c r="D69" s="1189" t="s">
        <v>1465</v>
      </c>
      <c r="E69" s="1169" t="s">
        <v>1466</v>
      </c>
      <c r="F69" s="379">
        <f ca="1">F41</f>
        <v>43.68</v>
      </c>
      <c r="O69" s="1893" t="s">
        <v>1044</v>
      </c>
      <c r="P69" s="1933" t="s">
        <v>1576</v>
      </c>
      <c r="Q69" s="1885">
        <f ca="1">C39</f>
        <v>1047</v>
      </c>
      <c r="R69" s="1885" t="s">
        <v>1521</v>
      </c>
    </row>
    <row r="70" spans="1:18" s="1841" customFormat="1" ht="13.5" thickBot="1">
      <c r="A70" s="1173"/>
      <c r="B70" s="1174"/>
      <c r="C70" s="355"/>
      <c r="D70" s="1185"/>
      <c r="E70" s="1169" t="s">
        <v>1469</v>
      </c>
      <c r="F70" s="1275"/>
      <c r="O70" s="1893" t="s">
        <v>1045</v>
      </c>
      <c r="P70" s="1933" t="s">
        <v>1577</v>
      </c>
      <c r="Q70" s="1885">
        <f ca="1">C13</f>
        <v>13605</v>
      </c>
      <c r="R70" s="1885" t="s">
        <v>1521</v>
      </c>
    </row>
    <row r="71" spans="1:18" s="1841" customFormat="1" ht="13.5" thickBot="1">
      <c r="A71" s="1190" t="s">
        <v>1029</v>
      </c>
      <c r="B71" s="1191" t="s">
        <v>1479</v>
      </c>
      <c r="C71" s="382">
        <f ca="1">ROUND(C68*10000/F71,0)</f>
        <v>-13242</v>
      </c>
      <c r="D71" s="1192" t="s">
        <v>1480</v>
      </c>
      <c r="E71" s="1193" t="s">
        <v>1481</v>
      </c>
      <c r="F71" s="385">
        <f ca="1">F43</f>
        <v>18832.939999999999</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1156</v>
      </c>
      <c r="D75" s="1841"/>
      <c r="E75" s="1841"/>
      <c r="F75" s="1841"/>
      <c r="K75" s="1867"/>
      <c r="L75" s="1841"/>
      <c r="O75" s="1883" t="s">
        <v>1042</v>
      </c>
      <c r="P75" s="1884" t="s">
        <v>1541</v>
      </c>
      <c r="Q75" s="1885">
        <f ca="1">Q65+Q66</f>
        <v>27188</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-0.10400000000000009</v>
      </c>
    </row>
    <row r="80" spans="1:18">
      <c r="B80" s="386" t="s">
        <v>1503</v>
      </c>
      <c r="C80" s="318">
        <f ca="1">ROUND(C75/C39,3)</f>
        <v>1.1040000000000001</v>
      </c>
    </row>
    <row r="81" spans="2:3">
      <c r="B81" s="314" t="s">
        <v>1504</v>
      </c>
      <c r="C81" s="282"/>
    </row>
    <row r="82" spans="2:3">
      <c r="B82" s="317" t="s">
        <v>1505</v>
      </c>
      <c r="C82" s="319">
        <f ca="1">1-C83</f>
        <v>0.5</v>
      </c>
    </row>
    <row r="83" spans="2:3">
      <c r="B83" s="317" t="s">
        <v>1506</v>
      </c>
      <c r="C83" s="318">
        <f ca="1">ROUND(C13/C40,3)</f>
        <v>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36">
      <c r="A4" s="1947" t="str">
        <f>"受贵公司委托，我公司对"&amp;项目基本情况!S1&amp;"进行了预评估。"</f>
        <v>受贵公司委托，我公司对北京市北京经济技术开发区东区A18街区出让国有建设用地使用权及在建建筑物房地产抵押价值进行了预评估。</v>
      </c>
    </row>
    <row r="5" spans="1:1" ht="18.75">
      <c r="A5" s="1948" t="s">
        <v>1604</v>
      </c>
    </row>
    <row r="6" spans="1:1" ht="18.75">
      <c r="A6" s="1949" t="s">
        <v>1605</v>
      </c>
    </row>
    <row r="7" spans="1:1" ht="18">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1" ht="57.75">
      <c r="A8" s="1950" t="s">
        <v>1606</v>
      </c>
    </row>
    <row r="9" spans="1:1" ht="18.75">
      <c r="A9" s="1949" t="s">
        <v>1607</v>
      </c>
    </row>
    <row r="10" spans="1:1" ht="1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2019年3月13日（评估专业人员实地查勘之日）</v>
      </c>
    </row>
    <row r="16" spans="1:1" ht="18.75">
      <c r="A16" s="1952" t="s">
        <v>1611</v>
      </c>
    </row>
    <row r="17" spans="1:1" ht="75">
      <c r="A17" s="1947" t="s">
        <v>1612</v>
      </c>
    </row>
    <row r="18" spans="1:1" ht="36">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
      </c>
    </row>
    <row r="23" spans="1:1" ht="18.75">
      <c r="A23" s="1952" t="s">
        <v>1601</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2"/>
      <c r="C1" s="1836" t="s">
        <v>3021</v>
      </c>
      <c r="D1" s="1819" t="s">
        <v>3182</v>
      </c>
      <c r="E1" s="1820" t="s">
        <v>1379</v>
      </c>
      <c r="F1" s="1283">
        <f ca="1">J53</f>
        <v>43.68</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5673</v>
      </c>
      <c r="C2" s="1844" t="s">
        <v>1508</v>
      </c>
      <c r="D2" s="1844"/>
      <c r="E2" s="1845"/>
      <c r="F2" s="1846"/>
      <c r="G2" s="1847"/>
      <c r="H2" s="1839"/>
      <c r="I2" s="1839"/>
      <c r="J2" s="1839"/>
      <c r="K2" s="1840"/>
      <c r="L2" s="1839"/>
      <c r="M2" s="1839"/>
    </row>
    <row r="3" spans="1:37" ht="18" customHeight="1" thickBot="1">
      <c r="A3" s="1848" t="s">
        <v>1509</v>
      </c>
      <c r="B3" s="1849">
        <f ca="1">IF(ISERROR(B2*10000/F43),0,ROUND(B2*10000/F43,0))</f>
        <v>814</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836</v>
      </c>
      <c r="D5" s="1821" t="s">
        <v>1394</v>
      </c>
      <c r="E5" s="1293"/>
      <c r="F5" s="1294"/>
      <c r="G5" s="1850"/>
      <c r="H5" s="344">
        <v>1</v>
      </c>
      <c r="I5" s="345" t="s">
        <v>1393</v>
      </c>
      <c r="J5" s="1292">
        <f ca="1">J6+J10+J12</f>
        <v>0</v>
      </c>
      <c r="K5" s="1821" t="s">
        <v>1394</v>
      </c>
      <c r="L5" s="1293"/>
      <c r="M5" s="1294"/>
    </row>
    <row r="6" spans="1:37" ht="18" customHeight="1">
      <c r="A6" s="1291" t="s">
        <v>1031</v>
      </c>
      <c r="B6" s="3142" t="s">
        <v>1395</v>
      </c>
      <c r="C6" s="1296">
        <f ca="1">ROUND(F6*F8*F7*(1-F9)/10000,0)</f>
        <v>836</v>
      </c>
      <c r="D6" s="164" t="s">
        <v>2978</v>
      </c>
      <c r="E6" s="347" t="s">
        <v>1397</v>
      </c>
      <c r="F6" s="348">
        <f ca="1">INDIRECT("'数据-取费表'!u"&amp;$G$1)</f>
        <v>500</v>
      </c>
      <c r="G6" s="1850"/>
      <c r="H6" s="1291" t="s">
        <v>1031</v>
      </c>
      <c r="I6" s="3142" t="s">
        <v>1395</v>
      </c>
      <c r="J6" s="346">
        <f ca="1">ROUND(M6*M8*M7*(1-M9)/10000,0)</f>
        <v>0</v>
      </c>
      <c r="K6" s="164" t="s">
        <v>2977</v>
      </c>
      <c r="L6" s="347" t="s">
        <v>1397</v>
      </c>
      <c r="M6" s="348">
        <f ca="1">INDIRECT("'数据-取费表'!z"&amp;$G$1)</f>
        <v>0</v>
      </c>
    </row>
    <row r="7" spans="1:37" ht="18" customHeight="1">
      <c r="A7" s="1295"/>
      <c r="B7" s="3143"/>
      <c r="C7" s="1297"/>
      <c r="D7" s="352"/>
      <c r="E7" s="2945" t="s">
        <v>1398</v>
      </c>
      <c r="F7" s="348">
        <f ca="1">IF(INDIRECT("'数据-取费表'!ah"&amp;$G$1)="",INDIRECT("'数据-取费表'!k"&amp;$G$1),INDIRECT("'数据-取费表'!ah"&amp;$G$1))</f>
        <v>1548</v>
      </c>
      <c r="G7" s="1850"/>
      <c r="H7" s="349"/>
      <c r="I7" s="3143"/>
      <c r="J7" s="351"/>
      <c r="K7" s="352"/>
      <c r="L7" s="347" t="s">
        <v>1398</v>
      </c>
      <c r="M7" s="348">
        <f ca="1">F7</f>
        <v>1548</v>
      </c>
    </row>
    <row r="8" spans="1:37" ht="18" customHeight="1">
      <c r="A8" s="349"/>
      <c r="B8" s="3143"/>
      <c r="C8" s="351"/>
      <c r="D8" s="352"/>
      <c r="E8" s="347" t="s">
        <v>1399</v>
      </c>
      <c r="F8" s="348">
        <f ca="1">INDIRECT("'数据-取费表'!ai"&amp;$G$1)</f>
        <v>12</v>
      </c>
      <c r="G8" s="1850"/>
      <c r="H8" s="349"/>
      <c r="I8" s="3143"/>
      <c r="J8" s="351"/>
      <c r="K8" s="352"/>
      <c r="L8" s="347" t="s">
        <v>1399</v>
      </c>
      <c r="M8" s="348">
        <f ca="1">INDIRECT("'数据-取费表'!ai"&amp;$G$1)</f>
        <v>12</v>
      </c>
    </row>
    <row r="9" spans="1:37" ht="18" customHeight="1">
      <c r="A9" s="349"/>
      <c r="B9" s="3144"/>
      <c r="C9" s="351"/>
      <c r="D9" s="352"/>
      <c r="E9" s="347" t="s">
        <v>1400</v>
      </c>
      <c r="F9" s="357">
        <f ca="1">INDIRECT("'数据-取费表'!w"&amp;$G$1)</f>
        <v>0.1</v>
      </c>
      <c r="G9" s="1850"/>
      <c r="H9" s="349"/>
      <c r="I9" s="3144"/>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3186</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26479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17860</v>
      </c>
      <c r="D14" s="2948" t="s">
        <v>1410</v>
      </c>
      <c r="E14" s="2947"/>
      <c r="F14" s="364"/>
      <c r="G14" s="1850"/>
      <c r="H14" s="1201" t="s">
        <v>1031</v>
      </c>
      <c r="I14" s="347" t="s">
        <v>1411</v>
      </c>
      <c r="J14" s="24">
        <f ca="1">C29</f>
        <v>26479</v>
      </c>
      <c r="K14" s="2944"/>
      <c r="L14" s="979"/>
      <c r="M14" s="980"/>
    </row>
    <row r="15" spans="1:37" s="1857" customFormat="1" ht="18" customHeight="1" thickBot="1">
      <c r="A15" s="1201" t="s">
        <v>1032</v>
      </c>
      <c r="B15" s="347" t="s">
        <v>1412</v>
      </c>
      <c r="C15" s="24">
        <f ca="1">ROUND(C14*F15,0)</f>
        <v>893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624</v>
      </c>
      <c r="K16" s="1337" t="s">
        <v>1417</v>
      </c>
      <c r="L16" s="2950"/>
      <c r="M16" s="1294"/>
    </row>
    <row r="17" spans="1:37" s="1857" customFormat="1" ht="18" customHeight="1">
      <c r="A17" s="1201" t="s">
        <v>1382</v>
      </c>
      <c r="B17" s="347" t="s">
        <v>1418</v>
      </c>
      <c r="C17" s="24">
        <f ca="1">ROUND(F17*(F43+INDIRECT("'数据-取费表'!S"&amp;$G$1))/10000,0)</f>
        <v>1429</v>
      </c>
      <c r="D17" s="347" t="s">
        <v>1419</v>
      </c>
      <c r="E17" s="347" t="s">
        <v>1420</v>
      </c>
      <c r="F17" s="26">
        <f>'数据-取费表'!B35</f>
        <v>200</v>
      </c>
      <c r="G17" s="1853"/>
      <c r="H17" s="1201" t="s">
        <v>1031</v>
      </c>
      <c r="I17" s="347" t="s">
        <v>1421</v>
      </c>
      <c r="J17" s="24">
        <f ca="1">ROUND(IF(项目基本情况!B11="自然人",J5*M17,J18+J19+J20),1)</f>
        <v>226.7</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268</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20450</v>
      </c>
      <c r="D19" s="140" t="s">
        <v>1428</v>
      </c>
      <c r="E19" s="2943"/>
      <c r="F19" s="26"/>
      <c r="G19" s="1850"/>
      <c r="H19" s="1201" t="s">
        <v>1032</v>
      </c>
      <c r="I19" s="347" t="s">
        <v>1429</v>
      </c>
      <c r="J19" s="24">
        <f ca="1">IF(K19="按租金收入计税",ROUND(J5*M19,2),ROUND(C29*M19*0.7,2))</f>
        <v>222.42</v>
      </c>
      <c r="K19" s="1827" t="s">
        <v>1430</v>
      </c>
      <c r="L19" s="347" t="s">
        <v>1414</v>
      </c>
      <c r="M19" s="367">
        <f>IF(K19="按租金收入计税",'数据-取费表'!B51,'数据-取费表'!B50)</f>
        <v>1.2E-2</v>
      </c>
    </row>
    <row r="20" spans="1:37" s="1857" customFormat="1" ht="18" customHeight="1">
      <c r="A20" s="1201" t="s">
        <v>1035</v>
      </c>
      <c r="B20" s="347" t="s">
        <v>1431</v>
      </c>
      <c r="C20" s="24">
        <f ca="1">ROUND(C19*F20,0)</f>
        <v>409</v>
      </c>
      <c r="D20" s="369" t="s">
        <v>1432</v>
      </c>
      <c r="E20" s="347" t="s">
        <v>1414</v>
      </c>
      <c r="F20" s="367">
        <f>'数据-取费表'!B37</f>
        <v>0.02</v>
      </c>
      <c r="G20" s="1853"/>
      <c r="H20" s="1201" t="s">
        <v>1381</v>
      </c>
      <c r="I20" s="164" t="s">
        <v>1433</v>
      </c>
      <c r="J20" s="25">
        <f ca="1">ROUND(M20*M21/10000,2)</f>
        <v>4.29</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14304.66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397.2</v>
      </c>
      <c r="K22" s="2949"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1503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-624</v>
      </c>
      <c r="K25" s="1345" t="s">
        <v>1456</v>
      </c>
      <c r="L25" s="1346"/>
      <c r="M25" s="1347"/>
    </row>
    <row r="26" spans="1:37">
      <c r="A26" s="1201" t="s">
        <v>1030</v>
      </c>
      <c r="B26" s="347" t="s">
        <v>1457</v>
      </c>
      <c r="C26" s="24">
        <f ca="1">ROUND((C19+C20)*F26,0)</f>
        <v>2086</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26479</v>
      </c>
      <c r="D29" s="1342"/>
      <c r="E29" s="1340"/>
      <c r="F29" s="1343"/>
      <c r="G29" s="1853"/>
      <c r="H29" s="380" t="s">
        <v>1029</v>
      </c>
      <c r="I29" s="381" t="s">
        <v>1471</v>
      </c>
      <c r="J29" s="382">
        <f ca="1">ROUND(J26/(1+F40)^F41,0)</f>
        <v>0</v>
      </c>
      <c r="K29" s="383" t="s">
        <v>1472</v>
      </c>
      <c r="L29" s="384"/>
      <c r="M29" s="385">
        <f ca="1">INDIRECT("'数据-取费表'!k"&amp;$G$1)</f>
        <v>69675.600000000006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599</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149.19999999999999</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44.59</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100.32</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4.29</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14304.66</v>
      </c>
      <c r="G35" s="1850"/>
      <c r="H35" s="745"/>
      <c r="I35" s="1859"/>
      <c r="J35" s="1860"/>
      <c r="K35" s="1861"/>
      <c r="L35" s="1858"/>
      <c r="M35" s="1858"/>
    </row>
    <row r="36" spans="1:18" ht="18" customHeight="1">
      <c r="A36" s="1352" t="s">
        <v>1035</v>
      </c>
      <c r="B36" s="347" t="s">
        <v>1441</v>
      </c>
      <c r="C36" s="24">
        <f ca="1">ROUND(C29*F36,1)</f>
        <v>397.2</v>
      </c>
      <c r="D36" s="2949"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39.700000000000003</v>
      </c>
      <c r="D37" s="2949" t="s">
        <v>1446</v>
      </c>
      <c r="E37" s="347" t="s">
        <v>1414</v>
      </c>
      <c r="F37" s="376">
        <f ca="1">INDIRECT("'数据-取费表'!Al"&amp;$G$1)</f>
        <v>1.5E-3</v>
      </c>
      <c r="G37" s="1850"/>
      <c r="H37" s="1858"/>
      <c r="I37" s="1859"/>
      <c r="J37" s="1860"/>
      <c r="K37" s="751"/>
      <c r="L37" s="1858"/>
      <c r="M37" s="1858"/>
    </row>
    <row r="38" spans="1:18" ht="18" customHeight="1" thickBot="1">
      <c r="A38" s="1339" t="s">
        <v>1384</v>
      </c>
      <c r="B38" s="1340" t="s">
        <v>1431</v>
      </c>
      <c r="C38" s="1341">
        <f ca="1">ROUND(C5*F38,1)</f>
        <v>12.5</v>
      </c>
      <c r="D38" s="1342" t="s">
        <v>1451</v>
      </c>
      <c r="E38" s="1340" t="s">
        <v>1414</v>
      </c>
      <c r="F38" s="1336">
        <f ca="1">INDIRECT("'数据-取费表'!Am"&amp;$G$1)</f>
        <v>1.4999999999999999E-2</v>
      </c>
      <c r="G38" s="1850"/>
      <c r="H38" s="1858"/>
      <c r="I38" s="1859"/>
      <c r="J38" s="1860"/>
      <c r="K38" s="1864"/>
      <c r="L38" s="1858"/>
      <c r="M38" s="1858"/>
    </row>
    <row r="39" spans="1:18" ht="24.6" customHeight="1" thickTop="1">
      <c r="A39" s="1329" t="s">
        <v>1027</v>
      </c>
      <c r="B39" s="1344" t="s">
        <v>1455</v>
      </c>
      <c r="C39" s="355">
        <f ca="1">C5-C30</f>
        <v>237</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5673</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814</v>
      </c>
      <c r="D43" s="383" t="s">
        <v>1480</v>
      </c>
      <c r="E43" s="384" t="s">
        <v>1481</v>
      </c>
      <c r="F43" s="385">
        <f ca="1">INDIRECT("'数据-取费表'!k"&amp;$G$1)</f>
        <v>69675.600000000006</v>
      </c>
      <c r="G43" s="1850"/>
      <c r="H43" s="732"/>
      <c r="I43" s="732"/>
      <c r="J43" s="732"/>
      <c r="K43" s="751"/>
      <c r="L43" s="732"/>
      <c r="M43" s="732"/>
    </row>
    <row r="44" spans="1:18" s="1841" customFormat="1" ht="18" customHeight="1">
      <c r="A44" s="1865"/>
      <c r="B44" s="1865"/>
      <c r="C44" s="1866"/>
      <c r="D44" s="3297">
        <f ca="1">'收益法-地下车库'!C40/'数据-取费表'!AH9</f>
        <v>3.6647286821705425</v>
      </c>
      <c r="E44" s="1865" t="s">
        <v>3185</v>
      </c>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5" thickBot="1">
      <c r="A46" s="1869" t="s">
        <v>1512</v>
      </c>
      <c r="C46" s="1870">
        <f ca="1">C68-C40</f>
        <v>-52646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5673</v>
      </c>
      <c r="R47" s="1885" t="s">
        <v>1521</v>
      </c>
    </row>
    <row r="48" spans="1:18" s="1841" customFormat="1" ht="28.5"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5"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26479</v>
      </c>
      <c r="R49" s="1885" t="s">
        <v>1521</v>
      </c>
    </row>
    <row r="50" spans="1:18" s="1841" customFormat="1" ht="13.5" thickBot="1">
      <c r="A50" s="1195"/>
      <c r="B50" s="1198"/>
      <c r="C50" s="1368"/>
      <c r="D50" s="1172"/>
      <c r="E50" s="1277" t="s">
        <v>1398</v>
      </c>
      <c r="F50" s="1278">
        <f ca="1">F7</f>
        <v>1548</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-38624</v>
      </c>
      <c r="M51" s="1901"/>
      <c r="O51" s="1893" t="s">
        <v>1040</v>
      </c>
      <c r="P51" s="1884" t="s">
        <v>1534</v>
      </c>
      <c r="Q51" s="1896">
        <f>J52</f>
        <v>0.09</v>
      </c>
      <c r="R51" s="1885"/>
    </row>
    <row r="52" spans="1:18" s="1841" customFormat="1" ht="13.5"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24.75"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140" t="s">
        <v>1540</v>
      </c>
      <c r="L53" s="3141"/>
      <c r="O53" s="1883" t="s">
        <v>1042</v>
      </c>
      <c r="P53" s="1884" t="s">
        <v>1541</v>
      </c>
      <c r="Q53" s="1885">
        <f ca="1">Q47+Q48</f>
        <v>5673</v>
      </c>
      <c r="R53" s="1885" t="s">
        <v>1043</v>
      </c>
    </row>
    <row r="54" spans="1:18" s="1841" customFormat="1" ht="13.5"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6">
        <v>2</v>
      </c>
      <c r="B56" s="1177" t="s">
        <v>1406</v>
      </c>
      <c r="C56" s="276">
        <f ca="1">C13</f>
        <v>26479</v>
      </c>
      <c r="D56" s="1913"/>
      <c r="E56" s="1914"/>
      <c r="F56" s="1906"/>
      <c r="I56" s="1915" t="s">
        <v>1546</v>
      </c>
      <c r="J56" s="1916" t="s">
        <v>3023</v>
      </c>
      <c r="K56" s="1886" t="s">
        <v>1547</v>
      </c>
      <c r="L56" s="1889" t="str">
        <f ca="1">IF(L48&lt;J51,"——",L48-J53)</f>
        <v>——</v>
      </c>
      <c r="O56" s="1883" t="s">
        <v>1036</v>
      </c>
      <c r="P56" s="1884" t="s">
        <v>1520</v>
      </c>
      <c r="Q56" s="1885">
        <f ca="1">C40+J29</f>
        <v>5673</v>
      </c>
      <c r="R56" s="1885" t="s">
        <v>1521</v>
      </c>
    </row>
    <row r="57" spans="1:18" s="1841" customFormat="1" ht="24.75" thickBot="1">
      <c r="A57" s="1917"/>
      <c r="B57" s="1169" t="s">
        <v>1470</v>
      </c>
      <c r="C57" s="282">
        <f ca="1">C29</f>
        <v>26479</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7" t="s">
        <v>1416</v>
      </c>
      <c r="C58" s="361">
        <f ca="1">ROUND(C59+C64+C65+C66,0)</f>
        <v>2665</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1" t="s">
        <v>1031</v>
      </c>
      <c r="B59" s="1169" t="s">
        <v>1421</v>
      </c>
      <c r="C59" s="24">
        <f ca="1">ROUND(IF(项目基本情况!B11="自然人",C48*F59,C60+C61+C62),1)</f>
        <v>2228.5</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1" t="s">
        <v>1484</v>
      </c>
      <c r="B61" s="1169" t="s">
        <v>1429</v>
      </c>
      <c r="C61" s="24">
        <f ca="1">IF(项目基本情况!B11="自然人","——",IF(D61="按租金收入计税",ROUND(C48*F61,2),IF(D61="按房产原值计税",ROUND(C57*F61*0.7,2),INDIRECT("'数据-取费表'!Aj"&amp;$G$1))))</f>
        <v>2224.2399999999998</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5" thickBot="1">
      <c r="A62" s="1201" t="s">
        <v>1487</v>
      </c>
      <c r="B62" s="1168" t="s">
        <v>1433</v>
      </c>
      <c r="C62" s="25">
        <f ca="1">IF(项目基本情况!B11="自然人","——",ROUND(F62*F63/10000,2))</f>
        <v>4.29</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5673</v>
      </c>
      <c r="R62" s="1885" t="s">
        <v>1043</v>
      </c>
    </row>
    <row r="63" spans="1:18" s="1841" customFormat="1" ht="13.5" thickBot="1">
      <c r="A63" s="372"/>
      <c r="B63" s="1175"/>
      <c r="C63" s="29"/>
      <c r="D63" s="1185"/>
      <c r="E63" s="1169" t="s">
        <v>1439</v>
      </c>
      <c r="F63" s="348">
        <f t="shared" ca="1" si="0"/>
        <v>14304.66</v>
      </c>
      <c r="I63" s="1928" t="s">
        <v>1568</v>
      </c>
      <c r="J63" s="1929">
        <v>70</v>
      </c>
      <c r="K63" s="1929">
        <v>50</v>
      </c>
      <c r="L63" s="1929">
        <v>80</v>
      </c>
      <c r="M63" s="1931">
        <v>0.02</v>
      </c>
      <c r="O63" s="1868" t="s">
        <v>1569</v>
      </c>
      <c r="P63" s="1838"/>
      <c r="Q63" s="1838"/>
      <c r="R63" s="1838"/>
    </row>
    <row r="64" spans="1:18" s="1841" customFormat="1" ht="13.5" thickBot="1">
      <c r="A64" s="1201" t="s">
        <v>1035</v>
      </c>
      <c r="B64" s="1169" t="s">
        <v>1441</v>
      </c>
      <c r="C64" s="24">
        <f ca="1">ROUND(C57*F64,1)</f>
        <v>397.2</v>
      </c>
      <c r="D64" s="1183" t="s">
        <v>1474</v>
      </c>
      <c r="E64" s="1169" t="s">
        <v>1414</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5" thickBot="1">
      <c r="A65" s="1201" t="s">
        <v>1495</v>
      </c>
      <c r="B65" s="1169" t="s">
        <v>1445</v>
      </c>
      <c r="C65" s="24">
        <f ca="1">ROUND(C56*F65,1)</f>
        <v>39.700000000000003</v>
      </c>
      <c r="D65" s="1183" t="s">
        <v>1446</v>
      </c>
      <c r="E65" s="1169" t="s">
        <v>1414</v>
      </c>
      <c r="F65" s="376">
        <f t="shared" ca="1" si="0"/>
        <v>1.5E-3</v>
      </c>
      <c r="I65" s="1928" t="s">
        <v>1571</v>
      </c>
      <c r="J65" s="1929">
        <v>40</v>
      </c>
      <c r="K65" s="1929">
        <v>30</v>
      </c>
      <c r="L65" s="1929">
        <v>50</v>
      </c>
      <c r="M65" s="1931">
        <v>0.02</v>
      </c>
      <c r="O65" s="1883" t="s">
        <v>1036</v>
      </c>
      <c r="P65" s="1884" t="s">
        <v>1520</v>
      </c>
      <c r="Q65" s="1885">
        <f ca="1">C40+J29</f>
        <v>5673</v>
      </c>
      <c r="R65" s="1885" t="s">
        <v>1521</v>
      </c>
    </row>
    <row r="66" spans="1:18" s="1841" customFormat="1" ht="16.5" thickBot="1">
      <c r="A66" s="1201" t="s">
        <v>1496</v>
      </c>
      <c r="B66" s="1169" t="s">
        <v>1431</v>
      </c>
      <c r="C66" s="24">
        <f ca="1">ROUND(C48*F66,1)</f>
        <v>0</v>
      </c>
      <c r="D66" s="1183" t="s">
        <v>1451</v>
      </c>
      <c r="E66" s="1169" t="s">
        <v>1414</v>
      </c>
      <c r="F66" s="357">
        <f t="shared" ca="1" si="0"/>
        <v>1.4999999999999999E-2</v>
      </c>
      <c r="O66" s="1883" t="s">
        <v>1037</v>
      </c>
      <c r="P66" s="1884" t="s">
        <v>1550</v>
      </c>
      <c r="Q66" s="1885">
        <f ca="1">L60</f>
        <v>0</v>
      </c>
      <c r="R66" s="1885" t="s">
        <v>1573</v>
      </c>
    </row>
    <row r="67" spans="1:18" s="1841" customFormat="1" ht="16.5" thickBot="1">
      <c r="A67" s="1176" t="s">
        <v>1027</v>
      </c>
      <c r="B67" s="1186" t="s">
        <v>1455</v>
      </c>
      <c r="C67" s="361">
        <f ca="1">C48-C58</f>
        <v>-2665</v>
      </c>
      <c r="D67" s="1182" t="s">
        <v>1456</v>
      </c>
      <c r="E67" s="1187"/>
      <c r="F67" s="1188"/>
      <c r="O67" s="1893" t="s">
        <v>1038</v>
      </c>
      <c r="P67" s="1884" t="s">
        <v>1554</v>
      </c>
      <c r="Q67" s="1932">
        <f ca="1">L51</f>
        <v>-38624</v>
      </c>
      <c r="R67" s="1885" t="s">
        <v>1574</v>
      </c>
    </row>
    <row r="68" spans="1:18" s="1841" customFormat="1" ht="16.5" thickBot="1">
      <c r="A68" s="1166" t="s">
        <v>1028</v>
      </c>
      <c r="B68" s="1167" t="s">
        <v>1477</v>
      </c>
      <c r="C68" s="346">
        <f ca="1">ROUND(C67*(1-((1+F70)/(1+F68))^F69)/(F68-F70),0)</f>
        <v>-46973</v>
      </c>
      <c r="D68" s="1184" t="s">
        <v>1461</v>
      </c>
      <c r="E68" s="1169" t="s">
        <v>1462</v>
      </c>
      <c r="F68" s="357">
        <f ca="1">F40</f>
        <v>0.05</v>
      </c>
      <c r="O68" s="1893" t="s">
        <v>1039</v>
      </c>
      <c r="P68" s="1933" t="s">
        <v>1575</v>
      </c>
      <c r="Q68" s="1885">
        <f ca="1">ROUND(Q69-Q70*Q71,0)</f>
        <v>-2014</v>
      </c>
      <c r="R68" s="1885" t="s">
        <v>1047</v>
      </c>
    </row>
    <row r="69" spans="1:18" s="1841" customFormat="1" ht="13.5" thickBot="1">
      <c r="A69" s="1170"/>
      <c r="B69" s="1171"/>
      <c r="C69" s="351"/>
      <c r="D69" s="1189" t="s">
        <v>1465</v>
      </c>
      <c r="E69" s="1169" t="s">
        <v>1466</v>
      </c>
      <c r="F69" s="379">
        <f ca="1">F41</f>
        <v>43.68</v>
      </c>
      <c r="O69" s="1893" t="s">
        <v>1044</v>
      </c>
      <c r="P69" s="1933" t="s">
        <v>1576</v>
      </c>
      <c r="Q69" s="1885">
        <f ca="1">C39</f>
        <v>237</v>
      </c>
      <c r="R69" s="1885" t="s">
        <v>1521</v>
      </c>
    </row>
    <row r="70" spans="1:18" s="1841" customFormat="1" ht="13.5" thickBot="1">
      <c r="A70" s="1173"/>
      <c r="B70" s="1174"/>
      <c r="C70" s="355"/>
      <c r="D70" s="1185"/>
      <c r="E70" s="1169" t="s">
        <v>1469</v>
      </c>
      <c r="F70" s="1275"/>
      <c r="O70" s="1893" t="s">
        <v>1045</v>
      </c>
      <c r="P70" s="1933" t="s">
        <v>1577</v>
      </c>
      <c r="Q70" s="1885">
        <f ca="1">C13</f>
        <v>26479</v>
      </c>
      <c r="R70" s="1885" t="s">
        <v>1521</v>
      </c>
    </row>
    <row r="71" spans="1:18" s="1841" customFormat="1" ht="13.5" thickBot="1">
      <c r="A71" s="1190" t="s">
        <v>1029</v>
      </c>
      <c r="B71" s="1191" t="s">
        <v>1479</v>
      </c>
      <c r="C71" s="382">
        <f ca="1">ROUND(C68*10000/F71,0)</f>
        <v>-6742</v>
      </c>
      <c r="D71" s="1192" t="s">
        <v>1480</v>
      </c>
      <c r="E71" s="1193" t="s">
        <v>1481</v>
      </c>
      <c r="F71" s="385">
        <f ca="1">F43</f>
        <v>69675.600000000006</v>
      </c>
      <c r="O71" s="1893" t="s">
        <v>1046</v>
      </c>
      <c r="P71" s="1933" t="s">
        <v>1578</v>
      </c>
      <c r="Q71" s="1896">
        <f ca="1">C76</f>
        <v>8.5000000000000006E-2</v>
      </c>
      <c r="R71" s="1885"/>
    </row>
    <row r="72" spans="1:18" s="1841" customFormat="1" ht="13.5" thickBot="1">
      <c r="B72" s="796"/>
      <c r="C72" s="796"/>
      <c r="O72" s="1893" t="s">
        <v>1040</v>
      </c>
      <c r="P72" s="1884" t="s">
        <v>1556</v>
      </c>
      <c r="Q72" s="1896">
        <f>L52</f>
        <v>0</v>
      </c>
      <c r="R72" s="1885"/>
    </row>
    <row r="73" spans="1:18" ht="16.5" thickBot="1">
      <c r="A73" s="1841"/>
      <c r="B73" s="796"/>
      <c r="C73" s="796"/>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5" thickBot="1">
      <c r="A75" s="1841"/>
      <c r="B75" s="386" t="s">
        <v>1498</v>
      </c>
      <c r="C75" s="387">
        <f ca="1">ROUND(C13*C76,0)</f>
        <v>2251</v>
      </c>
      <c r="D75" s="1841"/>
      <c r="E75" s="1841"/>
      <c r="F75" s="1841"/>
      <c r="K75" s="1867"/>
      <c r="L75" s="1841"/>
      <c r="O75" s="1883" t="s">
        <v>1042</v>
      </c>
      <c r="P75" s="1884" t="s">
        <v>1541</v>
      </c>
      <c r="Q75" s="1885">
        <f ca="1">Q65+Q66</f>
        <v>5673</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-8.4979999999999993</v>
      </c>
    </row>
    <row r="80" spans="1:18">
      <c r="B80" s="386" t="s">
        <v>1503</v>
      </c>
      <c r="C80" s="318">
        <f ca="1">ROUND(C75/C39,3)</f>
        <v>9.4979999999999993</v>
      </c>
    </row>
    <row r="81" spans="2:3">
      <c r="B81" s="314" t="s">
        <v>1504</v>
      </c>
      <c r="C81" s="282"/>
    </row>
    <row r="82" spans="2:3">
      <c r="B82" s="317" t="s">
        <v>1505</v>
      </c>
      <c r="C82" s="319">
        <f ca="1">1-C83</f>
        <v>-3.6680000000000001</v>
      </c>
    </row>
    <row r="83" spans="2:3">
      <c r="B83" s="317" t="s">
        <v>1506</v>
      </c>
      <c r="C83" s="318">
        <f ca="1">ROUND(C13/C40,3)</f>
        <v>4.6680000000000001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N26" sqref="N26"/>
    </sheetView>
  </sheetViews>
  <sheetFormatPr defaultRowHeight="13.5"/>
  <cols>
    <col min="1" max="1" width="10.5" customWidth="1"/>
    <col min="2" max="2" width="12.875" customWidth="1"/>
    <col min="3" max="3" width="8.75" customWidth="1"/>
  </cols>
  <sheetData>
    <row r="1" spans="1:9" ht="14.25">
      <c r="A1" s="3162" t="s">
        <v>1072</v>
      </c>
      <c r="B1" s="3163"/>
      <c r="C1" s="3164"/>
      <c r="D1" s="3165">
        <f>SUM(I10,I15,I20,I21,I23)</f>
        <v>3225</v>
      </c>
      <c r="E1" s="3165"/>
      <c r="F1" s="3165"/>
      <c r="G1" s="3165"/>
      <c r="H1" s="3165"/>
      <c r="I1" s="3166"/>
    </row>
    <row r="2" spans="1:9">
      <c r="A2" s="3152" t="s">
        <v>1073</v>
      </c>
      <c r="B2" s="3153" t="s">
        <v>1074</v>
      </c>
      <c r="C2" s="3153"/>
      <c r="D2" s="1301" t="s">
        <v>1075</v>
      </c>
      <c r="E2" s="1301" t="s">
        <v>1076</v>
      </c>
      <c r="F2" s="1301" t="s">
        <v>1077</v>
      </c>
      <c r="G2" s="1301" t="s">
        <v>1078</v>
      </c>
      <c r="H2" s="1301" t="s">
        <v>1079</v>
      </c>
      <c r="I2" s="1302" t="s">
        <v>1080</v>
      </c>
    </row>
    <row r="3" spans="1:9">
      <c r="A3" s="3152"/>
      <c r="B3" s="3153" t="s">
        <v>1081</v>
      </c>
      <c r="C3" s="3153"/>
      <c r="D3" s="1303"/>
      <c r="E3" s="1301"/>
      <c r="F3" s="1304"/>
      <c r="G3" s="1304"/>
      <c r="H3" s="1305"/>
      <c r="I3" s="1306">
        <f>ROUND(D3*E3*F3*G3*H3/10000,0)</f>
        <v>0</v>
      </c>
    </row>
    <row r="4" spans="1:9">
      <c r="A4" s="3152"/>
      <c r="B4" s="3153" t="s">
        <v>1082</v>
      </c>
      <c r="C4" s="3153"/>
      <c r="D4" s="1303"/>
      <c r="E4" s="1301"/>
      <c r="F4" s="1304"/>
      <c r="G4" s="1304"/>
      <c r="H4" s="1305"/>
      <c r="I4" s="1306">
        <f t="shared" ref="I4:I9" si="0">ROUND(D4*E4*F4*G4*H4/10000,0)</f>
        <v>0</v>
      </c>
    </row>
    <row r="5" spans="1:9">
      <c r="A5" s="3152"/>
      <c r="B5" s="3153" t="s">
        <v>1083</v>
      </c>
      <c r="C5" s="3153"/>
      <c r="D5" s="1303"/>
      <c r="E5" s="1301"/>
      <c r="F5" s="1304"/>
      <c r="G5" s="1304"/>
      <c r="H5" s="1305"/>
      <c r="I5" s="1306">
        <f t="shared" si="0"/>
        <v>0</v>
      </c>
    </row>
    <row r="6" spans="1:9">
      <c r="A6" s="3152"/>
      <c r="B6" s="3153" t="s">
        <v>1084</v>
      </c>
      <c r="C6" s="3153"/>
      <c r="D6" s="1303">
        <f>ROUND('数据-汇总表'!F21/75,0)</f>
        <v>251</v>
      </c>
      <c r="E6" s="1301">
        <v>400</v>
      </c>
      <c r="F6" s="1304">
        <v>1</v>
      </c>
      <c r="G6" s="1304">
        <v>0.8</v>
      </c>
      <c r="H6" s="1305">
        <v>365</v>
      </c>
      <c r="I6" s="1306">
        <f>ROUND(D6*E6*F6*G6*H6/10000,0)</f>
        <v>2932</v>
      </c>
    </row>
    <row r="7" spans="1:9">
      <c r="A7" s="3152"/>
      <c r="B7" s="3153" t="s">
        <v>1085</v>
      </c>
      <c r="C7" s="3153"/>
      <c r="D7" s="1303"/>
      <c r="E7" s="1301"/>
      <c r="F7" s="1304"/>
      <c r="G7" s="1304"/>
      <c r="H7" s="1305"/>
      <c r="I7" s="1306">
        <f t="shared" si="0"/>
        <v>0</v>
      </c>
    </row>
    <row r="8" spans="1:9">
      <c r="A8" s="3152"/>
      <c r="B8" s="3153" t="s">
        <v>1086</v>
      </c>
      <c r="C8" s="3153"/>
      <c r="D8" s="1303"/>
      <c r="E8" s="1301"/>
      <c r="F8" s="1304"/>
      <c r="G8" s="1304"/>
      <c r="H8" s="1305"/>
      <c r="I8" s="1306">
        <f t="shared" si="0"/>
        <v>0</v>
      </c>
    </row>
    <row r="9" spans="1:9">
      <c r="A9" s="3152"/>
      <c r="B9" s="3153" t="s">
        <v>1087</v>
      </c>
      <c r="C9" s="3153"/>
      <c r="D9" s="1303"/>
      <c r="E9" s="1301"/>
      <c r="F9" s="1304"/>
      <c r="G9" s="1304"/>
      <c r="H9" s="1305"/>
      <c r="I9" s="1306">
        <f t="shared" si="0"/>
        <v>0</v>
      </c>
    </row>
    <row r="10" spans="1:9">
      <c r="A10" s="3152"/>
      <c r="B10" s="3154" t="s">
        <v>1088</v>
      </c>
      <c r="C10" s="3154"/>
      <c r="D10" s="1307"/>
      <c r="E10" s="1307" t="e">
        <f>ROUND(D1*10000/D10/H9,0)</f>
        <v>#DIV/0!</v>
      </c>
      <c r="F10" s="1308"/>
      <c r="G10" s="1308"/>
      <c r="H10" s="1309"/>
      <c r="I10" s="1310">
        <f>SUM(I3:I9)</f>
        <v>2932</v>
      </c>
    </row>
    <row r="11" spans="1:9" ht="14.25">
      <c r="A11" s="3152" t="s">
        <v>1089</v>
      </c>
      <c r="B11" s="3153" t="s">
        <v>1090</v>
      </c>
      <c r="C11" s="3153"/>
      <c r="D11" s="1303" t="s">
        <v>1091</v>
      </c>
      <c r="E11" s="1303" t="s">
        <v>1092</v>
      </c>
      <c r="F11" s="1304" t="s">
        <v>1093</v>
      </c>
      <c r="G11" s="1304" t="s">
        <v>1079</v>
      </c>
      <c r="H11" s="1311" t="s">
        <v>1094</v>
      </c>
      <c r="I11" s="1302" t="s">
        <v>1080</v>
      </c>
    </row>
    <row r="12" spans="1:9">
      <c r="A12" s="3152"/>
      <c r="B12" s="3153" t="s">
        <v>1095</v>
      </c>
      <c r="C12" s="3153"/>
      <c r="D12" s="1303"/>
      <c r="E12" s="1303"/>
      <c r="F12" s="1304"/>
      <c r="G12" s="1305"/>
      <c r="H12" s="1312"/>
      <c r="I12" s="1302">
        <f>ROUND(D12*E12*F12*G12/10000,0)</f>
        <v>0</v>
      </c>
    </row>
    <row r="13" spans="1:9">
      <c r="A13" s="3152"/>
      <c r="B13" s="3153" t="s">
        <v>1096</v>
      </c>
      <c r="C13" s="3153"/>
      <c r="D13" s="1303"/>
      <c r="E13" s="1303"/>
      <c r="F13" s="1304"/>
      <c r="G13" s="1305"/>
      <c r="H13" s="1312"/>
      <c r="I13" s="1302">
        <f>ROUND(D13*E13*F13*G13/10000,0)</f>
        <v>0</v>
      </c>
    </row>
    <row r="14" spans="1:9">
      <c r="A14" s="3152"/>
      <c r="B14" s="3153" t="s">
        <v>1097</v>
      </c>
      <c r="C14" s="3153"/>
      <c r="D14" s="1303"/>
      <c r="E14" s="1303"/>
      <c r="F14" s="1304"/>
      <c r="G14" s="1305"/>
      <c r="H14" s="1312"/>
      <c r="I14" s="1302">
        <f>ROUND(D14*E14*F14*G14/10000,0)</f>
        <v>0</v>
      </c>
    </row>
    <row r="15" spans="1:9">
      <c r="A15" s="3152"/>
      <c r="B15" s="3154" t="s">
        <v>1088</v>
      </c>
      <c r="C15" s="3154"/>
      <c r="D15" s="1307"/>
      <c r="E15" s="1307">
        <f>SUM(E12:E14)</f>
        <v>0</v>
      </c>
      <c r="F15" s="1308"/>
      <c r="G15" s="1305"/>
      <c r="H15" s="1312"/>
      <c r="I15" s="1313">
        <f>SUM(I12:I14)</f>
        <v>0</v>
      </c>
    </row>
    <row r="16" spans="1:9" ht="24">
      <c r="A16" s="3152" t="s">
        <v>1098</v>
      </c>
      <c r="B16" s="3153" t="s">
        <v>1099</v>
      </c>
      <c r="C16" s="3153"/>
      <c r="D16" s="1303" t="s">
        <v>1075</v>
      </c>
      <c r="E16" s="1314" t="s">
        <v>1100</v>
      </c>
      <c r="F16" s="1304" t="s">
        <v>1101</v>
      </c>
      <c r="G16" s="1305" t="s">
        <v>1079</v>
      </c>
      <c r="H16" s="1311" t="s">
        <v>1094</v>
      </c>
      <c r="I16" s="1302" t="s">
        <v>1080</v>
      </c>
    </row>
    <row r="17" spans="1:9" ht="14.25">
      <c r="A17" s="3152"/>
      <c r="B17" s="3153" t="s">
        <v>1102</v>
      </c>
      <c r="C17" s="3153"/>
      <c r="D17" s="1303"/>
      <c r="E17" s="1303"/>
      <c r="F17" s="1304"/>
      <c r="G17" s="1305"/>
      <c r="H17" s="1315"/>
      <c r="I17" s="1316">
        <f>ROUND(D17*E17*F17*G17/10000,0)</f>
        <v>0</v>
      </c>
    </row>
    <row r="18" spans="1:9" ht="14.25">
      <c r="A18" s="3152"/>
      <c r="B18" s="3153" t="s">
        <v>1103</v>
      </c>
      <c r="C18" s="3153"/>
      <c r="D18" s="1303"/>
      <c r="E18" s="1303"/>
      <c r="F18" s="1304"/>
      <c r="G18" s="1305"/>
      <c r="H18" s="1315"/>
      <c r="I18" s="1316">
        <f>ROUND(D18*E18*F18*G18/10000,0)</f>
        <v>0</v>
      </c>
    </row>
    <row r="19" spans="1:9" ht="14.25">
      <c r="A19" s="3152"/>
      <c r="B19" s="3153" t="s">
        <v>1104</v>
      </c>
      <c r="C19" s="3153"/>
      <c r="D19" s="1303"/>
      <c r="E19" s="1303"/>
      <c r="F19" s="1304"/>
      <c r="G19" s="1305"/>
      <c r="H19" s="1315"/>
      <c r="I19" s="1316">
        <f>ROUND(D19*E19*F19*G19/10000,0)</f>
        <v>0</v>
      </c>
    </row>
    <row r="20" spans="1:9">
      <c r="A20" s="3152"/>
      <c r="B20" s="3154" t="s">
        <v>1088</v>
      </c>
      <c r="C20" s="3154"/>
      <c r="D20" s="1307">
        <f>SUM(D17:D19)</f>
        <v>0</v>
      </c>
      <c r="E20" s="1307"/>
      <c r="F20" s="1308"/>
      <c r="G20" s="1305"/>
      <c r="H20" s="1312"/>
      <c r="I20" s="1313">
        <f>SUM(I17:I19)</f>
        <v>0</v>
      </c>
    </row>
    <row r="21" spans="1:9">
      <c r="A21" s="3152" t="s">
        <v>1105</v>
      </c>
      <c r="B21" s="3155"/>
      <c r="C21" s="3155"/>
      <c r="D21" s="3155"/>
      <c r="E21" s="3155"/>
      <c r="F21" s="3155"/>
      <c r="G21" s="3155"/>
      <c r="H21" s="1764">
        <v>0.1</v>
      </c>
      <c r="I21" s="1310">
        <f>ROUND(I10*H21,0)</f>
        <v>293</v>
      </c>
    </row>
    <row r="22" spans="1:9" ht="14.25">
      <c r="A22" s="3156" t="s">
        <v>1106</v>
      </c>
      <c r="B22" s="3157"/>
      <c r="C22" s="3158"/>
      <c r="D22" s="1317" t="s">
        <v>1107</v>
      </c>
      <c r="E22" s="1317" t="s">
        <v>1108</v>
      </c>
      <c r="F22" s="1318" t="s">
        <v>1109</v>
      </c>
      <c r="G22" s="1318" t="s">
        <v>1110</v>
      </c>
      <c r="H22" s="1311" t="s">
        <v>1111</v>
      </c>
      <c r="I22" s="1302" t="s">
        <v>1112</v>
      </c>
    </row>
    <row r="23" spans="1:9" ht="14.25" thickBot="1">
      <c r="A23" s="3159"/>
      <c r="B23" s="3160"/>
      <c r="C23" s="3161"/>
      <c r="D23" s="1319"/>
      <c r="E23" s="1319"/>
      <c r="F23" s="1319"/>
      <c r="G23" s="1320"/>
      <c r="H23" s="1321"/>
      <c r="I23" s="1322">
        <f>ROUND(E23*D23*F23*(1-G23)/10000,0)</f>
        <v>0</v>
      </c>
    </row>
    <row r="26" spans="1:9">
      <c r="A26" s="1323" t="s">
        <v>1113</v>
      </c>
      <c r="B26" s="1323"/>
      <c r="C26" s="1323"/>
      <c r="D26" s="1323"/>
      <c r="E26" s="3149">
        <f>C27-C30-C31-C32</f>
        <v>1773.75</v>
      </c>
      <c r="F26" s="3149"/>
      <c r="G26" s="3149"/>
      <c r="H26" s="1736" t="s">
        <v>1332</v>
      </c>
    </row>
    <row r="27" spans="1:9">
      <c r="A27" s="1324">
        <v>1</v>
      </c>
      <c r="B27" s="1325" t="s">
        <v>1114</v>
      </c>
      <c r="C27" s="1325">
        <f>C28+C29</f>
        <v>3225</v>
      </c>
      <c r="D27" s="1325"/>
      <c r="E27" s="3150"/>
      <c r="F27" s="3150"/>
      <c r="G27" s="3150"/>
    </row>
    <row r="28" spans="1:9">
      <c r="A28" s="1326" t="s">
        <v>1115</v>
      </c>
      <c r="B28" s="1325" t="s">
        <v>1116</v>
      </c>
      <c r="C28" s="1325">
        <f>I10</f>
        <v>2932</v>
      </c>
      <c r="D28" s="1325"/>
      <c r="E28" s="3150"/>
      <c r="F28" s="3150"/>
      <c r="G28" s="3150"/>
    </row>
    <row r="29" spans="1:9">
      <c r="A29" s="1326" t="s">
        <v>1117</v>
      </c>
      <c r="B29" s="1325" t="s">
        <v>1118</v>
      </c>
      <c r="C29" s="1325">
        <f>I21</f>
        <v>293</v>
      </c>
      <c r="D29" s="1325"/>
      <c r="E29" s="1325" t="s">
        <v>1119</v>
      </c>
      <c r="F29" s="1325"/>
      <c r="G29" s="1325"/>
    </row>
    <row r="30" spans="1:9">
      <c r="A30" s="1324">
        <v>2</v>
      </c>
      <c r="B30" s="1325" t="s">
        <v>1120</v>
      </c>
      <c r="C30" s="1325">
        <f>C27*D30</f>
        <v>806.25</v>
      </c>
      <c r="D30" s="1327">
        <v>0.25</v>
      </c>
      <c r="E30" s="1325" t="s">
        <v>1121</v>
      </c>
      <c r="F30" s="1325"/>
      <c r="G30" s="1325"/>
    </row>
    <row r="31" spans="1:9">
      <c r="A31" s="1324">
        <v>3</v>
      </c>
      <c r="B31" s="1325" t="s">
        <v>1122</v>
      </c>
      <c r="C31" s="1325">
        <f>C27*D31</f>
        <v>483.75</v>
      </c>
      <c r="D31" s="1327">
        <v>0.15</v>
      </c>
      <c r="E31" s="1325" t="s">
        <v>1123</v>
      </c>
      <c r="F31" s="1325"/>
      <c r="G31" s="1325"/>
    </row>
    <row r="32" spans="1:9">
      <c r="A32" s="1324">
        <v>4</v>
      </c>
      <c r="B32" s="1325" t="s">
        <v>1124</v>
      </c>
      <c r="C32" s="1325">
        <f>C27*D32</f>
        <v>161.25</v>
      </c>
      <c r="D32" s="1327">
        <v>0.05</v>
      </c>
      <c r="E32" s="3151"/>
      <c r="F32" s="3151"/>
      <c r="G32" s="3151"/>
    </row>
    <row r="33" spans="1:7" hidden="1">
      <c r="A33" s="3146" t="s">
        <v>1125</v>
      </c>
      <c r="B33" s="3147"/>
      <c r="C33" s="3147"/>
      <c r="D33" s="3148"/>
      <c r="E33" s="3149"/>
      <c r="F33" s="3149"/>
      <c r="G33" s="3149"/>
    </row>
    <row r="34" spans="1:7" hidden="1">
      <c r="A34" s="1328">
        <v>1</v>
      </c>
      <c r="B34" s="1325" t="s">
        <v>1126</v>
      </c>
      <c r="C34" s="1325"/>
      <c r="D34" s="1325"/>
      <c r="E34" s="3150"/>
      <c r="F34" s="3150"/>
      <c r="G34" s="3150"/>
    </row>
    <row r="35" spans="1:7" hidden="1">
      <c r="A35" s="1328">
        <v>2</v>
      </c>
      <c r="B35" s="1325" t="s">
        <v>1127</v>
      </c>
      <c r="C35" s="1325"/>
      <c r="D35" s="1325"/>
      <c r="E35" s="3150"/>
      <c r="F35" s="3150"/>
      <c r="G35" s="3150"/>
    </row>
    <row r="36" spans="1:7" hidden="1">
      <c r="A36" s="1328">
        <v>3</v>
      </c>
      <c r="B36" s="1325" t="s">
        <v>1128</v>
      </c>
      <c r="C36" s="1325"/>
      <c r="D36" s="1325"/>
      <c r="E36" s="3150"/>
      <c r="F36" s="3150"/>
      <c r="G36" s="3150"/>
    </row>
    <row r="37" spans="1:7" hidden="1">
      <c r="A37" s="1328">
        <v>4</v>
      </c>
      <c r="B37" s="1325" t="s">
        <v>1129</v>
      </c>
      <c r="C37" s="1325"/>
      <c r="D37" s="1325"/>
      <c r="E37" s="3150"/>
      <c r="F37" s="3150"/>
      <c r="G37" s="3150"/>
    </row>
    <row r="38" spans="1:7" hidden="1">
      <c r="A38" s="3146" t="s">
        <v>1130</v>
      </c>
      <c r="B38" s="3147"/>
      <c r="C38" s="3147"/>
      <c r="D38" s="3148"/>
      <c r="E38" s="3149"/>
      <c r="F38" s="3149"/>
      <c r="G38" s="31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584" t="s">
        <v>2477</v>
      </c>
      <c r="C1" s="1633" t="s">
        <v>2478</v>
      </c>
      <c r="D1" s="1620"/>
      <c r="E1" s="2585"/>
      <c r="F1" s="2586" t="s">
        <v>2479</v>
      </c>
      <c r="G1" s="1630" t="s">
        <v>2480</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1386</v>
      </c>
      <c r="B2" s="1418" t="e">
        <f ca="1">IF(C2="——",ROUND(C49*D3/10000,0),ROUND(C49*D3/10000,0)-D2)</f>
        <v>#DIV/0!</v>
      </c>
      <c r="C2" s="2588"/>
      <c r="D2" s="1365" t="e">
        <f ca="1">SUMIF(INDIRECT("'"&amp;F2&amp;"'"&amp;"!A:A"),"承租人权益价值",INDIRECT("'"&amp;F2&amp;"'"&amp;"!c:c"))</f>
        <v>#REF!</v>
      </c>
      <c r="E2" s="2589" t="s">
        <v>2481</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t="e">
        <f ca="1">IF(C2="——",C49,ROUND(B2*10000/D3,0))</f>
        <v>#DIV/0!</v>
      </c>
      <c r="C3" s="400" t="s">
        <v>2482</v>
      </c>
      <c r="D3" s="399">
        <f>IF(D1="",'数据-汇总表'!E3,SUMIF('数据-汇总表'!$C19:$C33,D1,'数据-汇总表'!$E19:$E33))</f>
        <v>272582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2483</v>
      </c>
      <c r="B4" s="402"/>
      <c r="C4" s="3185" t="s">
        <v>2484</v>
      </c>
      <c r="D4" s="3186"/>
      <c r="E4" s="3187" t="s">
        <v>2485</v>
      </c>
      <c r="F4" s="3188"/>
      <c r="G4" s="3185" t="s">
        <v>2486</v>
      </c>
      <c r="H4" s="3186"/>
      <c r="I4" s="3185" t="s">
        <v>2487</v>
      </c>
      <c r="J4" s="3186"/>
      <c r="K4" s="2598" t="s">
        <v>2488</v>
      </c>
      <c r="L4" s="1130"/>
      <c r="M4" s="1131"/>
      <c r="N4" s="1131"/>
      <c r="O4" s="1131"/>
      <c r="P4" s="3189" t="s">
        <v>2489</v>
      </c>
      <c r="Q4" s="3190"/>
      <c r="R4" s="3195" t="s">
        <v>2485</v>
      </c>
      <c r="S4" s="3196"/>
      <c r="T4" s="3195" t="s">
        <v>2486</v>
      </c>
      <c r="U4" s="3196"/>
      <c r="V4" s="3201" t="s">
        <v>2487</v>
      </c>
      <c r="W4" s="3201"/>
      <c r="X4" s="1812"/>
      <c r="Y4" s="3195" t="s">
        <v>2489</v>
      </c>
      <c r="Z4" s="3196"/>
      <c r="AA4" s="3182" t="s">
        <v>2485</v>
      </c>
      <c r="AB4" s="3182" t="s">
        <v>2486</v>
      </c>
      <c r="AC4" s="3182" t="s">
        <v>2487</v>
      </c>
    </row>
    <row r="5" spans="1:29" ht="15">
      <c r="A5" s="404"/>
      <c r="B5" s="405"/>
      <c r="C5" s="3204" t="s">
        <v>2490</v>
      </c>
      <c r="D5" s="3205"/>
      <c r="E5" s="3211" t="s">
        <v>2491</v>
      </c>
      <c r="F5" s="3212"/>
      <c r="G5" s="3204" t="s">
        <v>2492</v>
      </c>
      <c r="H5" s="3205"/>
      <c r="I5" s="3204" t="s">
        <v>2493</v>
      </c>
      <c r="J5" s="3205"/>
      <c r="K5" s="2599"/>
      <c r="L5" s="1130"/>
      <c r="M5" s="1131"/>
      <c r="N5" s="1131"/>
      <c r="O5" s="1131"/>
      <c r="P5" s="3191"/>
      <c r="Q5" s="3192"/>
      <c r="R5" s="3197"/>
      <c r="S5" s="3198"/>
      <c r="T5" s="3197"/>
      <c r="U5" s="3198"/>
      <c r="V5" s="3201"/>
      <c r="W5" s="3201"/>
      <c r="X5" s="1812"/>
      <c r="Y5" s="3197"/>
      <c r="Z5" s="3198"/>
      <c r="AA5" s="3183"/>
      <c r="AB5" s="3183"/>
      <c r="AC5" s="3183"/>
    </row>
    <row r="6" spans="1:29" ht="15.75" thickBot="1">
      <c r="A6" s="406"/>
      <c r="B6" s="407"/>
      <c r="C6" s="3202" t="s">
        <v>2494</v>
      </c>
      <c r="D6" s="3203"/>
      <c r="E6" s="3209" t="s">
        <v>2494</v>
      </c>
      <c r="F6" s="3210"/>
      <c r="G6" s="3202" t="s">
        <v>2494</v>
      </c>
      <c r="H6" s="3203"/>
      <c r="I6" s="3202" t="s">
        <v>2494</v>
      </c>
      <c r="J6" s="3203"/>
      <c r="K6" s="2599" t="s">
        <v>2495</v>
      </c>
      <c r="L6" s="1130"/>
      <c r="M6" s="1131"/>
      <c r="N6" s="1131"/>
      <c r="O6" s="1131"/>
      <c r="P6" s="3193"/>
      <c r="Q6" s="3194"/>
      <c r="R6" s="3197"/>
      <c r="S6" s="3198"/>
      <c r="T6" s="3199"/>
      <c r="U6" s="3200"/>
      <c r="V6" s="3201"/>
      <c r="W6" s="3201"/>
      <c r="X6" s="1812"/>
      <c r="Y6" s="3199"/>
      <c r="Z6" s="3200"/>
      <c r="AA6" s="3184"/>
      <c r="AB6" s="3184"/>
      <c r="AC6" s="3184"/>
    </row>
    <row r="7" spans="1:29" s="117" customFormat="1" ht="15.7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06" t="s">
        <v>2497</v>
      </c>
      <c r="Q7" s="3208"/>
      <c r="R7" s="770" t="s">
        <v>23</v>
      </c>
      <c r="S7" s="771">
        <f t="shared" ref="S7:S15" si="0">F7</f>
        <v>0</v>
      </c>
      <c r="T7" s="770" t="s">
        <v>23</v>
      </c>
      <c r="U7" s="771">
        <f t="shared" ref="U7:U15" si="1">H7</f>
        <v>0</v>
      </c>
      <c r="V7" s="770" t="s">
        <v>23</v>
      </c>
      <c r="W7" s="771">
        <f t="shared" ref="W7:W15" si="2">J7</f>
        <v>0</v>
      </c>
      <c r="X7" s="772"/>
      <c r="Y7" s="3206" t="s">
        <v>2497</v>
      </c>
      <c r="Z7" s="3207"/>
      <c r="AA7" s="773" t="e">
        <f>D7/F7</f>
        <v>#DIV/0!</v>
      </c>
      <c r="AB7" s="773" t="e">
        <f>D7/H7</f>
        <v>#DIV/0!</v>
      </c>
      <c r="AC7" s="773" t="e">
        <f>D7/J7</f>
        <v>#DIV/0!</v>
      </c>
    </row>
    <row r="8" spans="1:29" s="117" customFormat="1" ht="15.75" thickBot="1">
      <c r="A8" s="408" t="s">
        <v>2498</v>
      </c>
      <c r="B8" s="409"/>
      <c r="C8" s="414" t="s">
        <v>2499</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06" t="s">
        <v>2500</v>
      </c>
      <c r="Q8" s="3207"/>
      <c r="R8" s="770" t="s">
        <v>23</v>
      </c>
      <c r="S8" s="771">
        <f t="shared" si="0"/>
        <v>0</v>
      </c>
      <c r="T8" s="770" t="s">
        <v>23</v>
      </c>
      <c r="U8" s="771">
        <f t="shared" si="1"/>
        <v>0</v>
      </c>
      <c r="V8" s="770" t="s">
        <v>23</v>
      </c>
      <c r="W8" s="771">
        <f t="shared" si="2"/>
        <v>0</v>
      </c>
      <c r="X8" s="772"/>
      <c r="Y8" s="3206" t="s">
        <v>2500</v>
      </c>
      <c r="Z8" s="3207"/>
      <c r="AA8" s="773" t="e">
        <f t="shared" ref="AA8:AA19" si="3">D8/F8</f>
        <v>#DIV/0!</v>
      </c>
      <c r="AB8" s="773" t="e">
        <f t="shared" ref="AB8:AB19" si="4">D8/H8</f>
        <v>#DIV/0!</v>
      </c>
      <c r="AC8" s="773" t="e">
        <f t="shared" ref="AC8:AC19" si="5">D8/J8</f>
        <v>#DIV/0!</v>
      </c>
    </row>
    <row r="9" spans="1:29" s="117" customFormat="1">
      <c r="A9" s="415" t="s">
        <v>2501</v>
      </c>
      <c r="B9" s="71" t="s">
        <v>2502</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181" t="s">
        <v>2503</v>
      </c>
      <c r="Q9" s="1794" t="str">
        <f t="shared" ref="Q9:Q15" si="6">B9</f>
        <v>用途</v>
      </c>
      <c r="R9" s="770" t="s">
        <v>17</v>
      </c>
      <c r="S9" s="771">
        <f t="shared" si="0"/>
        <v>100</v>
      </c>
      <c r="T9" s="770" t="s">
        <v>17</v>
      </c>
      <c r="U9" s="771">
        <f t="shared" si="1"/>
        <v>100</v>
      </c>
      <c r="V9" s="770" t="s">
        <v>17</v>
      </c>
      <c r="W9" s="771">
        <f t="shared" si="2"/>
        <v>100</v>
      </c>
      <c r="X9" s="772"/>
      <c r="Y9" s="2997"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1"/>
      <c r="Q11" s="1794" t="str">
        <f t="shared" si="6"/>
        <v>容积率</v>
      </c>
      <c r="R11" s="770" t="s">
        <v>21</v>
      </c>
      <c r="S11" s="771" t="e">
        <f t="shared" si="0"/>
        <v>#N/A</v>
      </c>
      <c r="T11" s="770" t="s">
        <v>21</v>
      </c>
      <c r="U11" s="771" t="e">
        <f t="shared" si="1"/>
        <v>#N/A</v>
      </c>
      <c r="V11" s="770" t="s">
        <v>21</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181"/>
      <c r="Q12" s="1794">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181"/>
      <c r="Q13" s="1794">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181"/>
      <c r="Q14" s="1794">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9.75">
      <c r="A15" s="440" t="s">
        <v>2507</v>
      </c>
      <c r="B15" s="69" t="s">
        <v>2043</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79" t="s">
        <v>2508</v>
      </c>
      <c r="Q15" s="1809" t="str">
        <f t="shared" si="6"/>
        <v>居住社区成熟度</v>
      </c>
      <c r="R15" s="774" t="s">
        <v>21</v>
      </c>
      <c r="S15" s="775">
        <f t="shared" si="0"/>
        <v>100</v>
      </c>
      <c r="T15" s="774" t="s">
        <v>21</v>
      </c>
      <c r="U15" s="775">
        <f t="shared" si="1"/>
        <v>100</v>
      </c>
      <c r="V15" s="774" t="s">
        <v>21</v>
      </c>
      <c r="W15" s="775">
        <f t="shared" si="2"/>
        <v>100</v>
      </c>
      <c r="X15" s="1812"/>
      <c r="Y15" s="3172" t="s">
        <v>2508</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180"/>
      <c r="Q16" s="1809"/>
      <c r="R16" s="774"/>
      <c r="S16" s="775"/>
      <c r="T16" s="774"/>
      <c r="U16" s="775"/>
      <c r="V16" s="774"/>
      <c r="W16" s="775"/>
      <c r="X16" s="1812"/>
      <c r="Y16" s="3173"/>
      <c r="Z16" s="1813"/>
      <c r="AA16" s="1810">
        <v>1</v>
      </c>
      <c r="AB16" s="1810">
        <v>1</v>
      </c>
      <c r="AC16" s="1810">
        <v>1</v>
      </c>
    </row>
    <row r="17" spans="1:29" ht="85.5">
      <c r="A17" s="428"/>
      <c r="B17" s="451" t="s">
        <v>2049</v>
      </c>
      <c r="C17" s="2609" t="str">
        <f>估价对象房地状况!C6</f>
        <v>估价对象周边道路状况一般、公共交通通达情况一般、停车便捷程度一般，周边有开发区2路等公交线路，综合评价交通便捷度一般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0"/>
      <c r="Q17" s="1809" t="str">
        <f>B17</f>
        <v>交通便捷度</v>
      </c>
      <c r="R17" s="774" t="s">
        <v>21</v>
      </c>
      <c r="S17" s="775">
        <f>F17</f>
        <v>100</v>
      </c>
      <c r="T17" s="774" t="s">
        <v>21</v>
      </c>
      <c r="U17" s="775">
        <f>H17</f>
        <v>100</v>
      </c>
      <c r="V17" s="774" t="s">
        <v>21</v>
      </c>
      <c r="W17" s="775">
        <f>J17</f>
        <v>100</v>
      </c>
      <c r="X17" s="1812"/>
      <c r="Y17" s="3173"/>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180"/>
      <c r="Q18" s="1809"/>
      <c r="R18" s="774"/>
      <c r="S18" s="775"/>
      <c r="T18" s="774"/>
      <c r="U18" s="775"/>
      <c r="V18" s="774"/>
      <c r="W18" s="775"/>
      <c r="X18" s="1812"/>
      <c r="Y18" s="3173"/>
      <c r="Z18" s="1813"/>
      <c r="AA18" s="1810">
        <v>1</v>
      </c>
      <c r="AB18" s="1810">
        <v>1</v>
      </c>
      <c r="AC18" s="1810">
        <v>1</v>
      </c>
    </row>
    <row r="19" spans="1:29" ht="42.75">
      <c r="A19" s="428"/>
      <c r="B19" s="451" t="s">
        <v>2048</v>
      </c>
      <c r="C19" s="2609"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0"/>
      <c r="Q19" s="1809" t="str">
        <f>B19</f>
        <v>公共配套设施</v>
      </c>
      <c r="R19" s="774" t="s">
        <v>21</v>
      </c>
      <c r="S19" s="775">
        <f>F19</f>
        <v>100</v>
      </c>
      <c r="T19" s="774" t="s">
        <v>21</v>
      </c>
      <c r="U19" s="775">
        <f>H19</f>
        <v>100</v>
      </c>
      <c r="V19" s="774" t="s">
        <v>21</v>
      </c>
      <c r="W19" s="775">
        <f>J19</f>
        <v>100</v>
      </c>
      <c r="X19" s="1812"/>
      <c r="Y19" s="3173"/>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180"/>
      <c r="Q20" s="1809"/>
      <c r="R20" s="774"/>
      <c r="S20" s="775"/>
      <c r="T20" s="774"/>
      <c r="U20" s="775"/>
      <c r="V20" s="774"/>
      <c r="W20" s="775"/>
      <c r="X20" s="1812"/>
      <c r="Y20" s="3173"/>
      <c r="Z20" s="1813"/>
      <c r="AA20" s="1810">
        <v>1</v>
      </c>
      <c r="AB20" s="1810">
        <v>1</v>
      </c>
      <c r="AC20" s="1810">
        <v>1</v>
      </c>
    </row>
    <row r="21" spans="1:29" ht="28.5">
      <c r="A21" s="428"/>
      <c r="B21" s="1384" t="s">
        <v>2050</v>
      </c>
      <c r="C21" s="2609"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0"/>
      <c r="Q21" s="1809" t="str">
        <f>B21</f>
        <v>基础设施水平</v>
      </c>
      <c r="R21" s="774" t="s">
        <v>17</v>
      </c>
      <c r="S21" s="775">
        <f>F21</f>
        <v>100</v>
      </c>
      <c r="T21" s="774" t="s">
        <v>17</v>
      </c>
      <c r="U21" s="775">
        <f>H21</f>
        <v>100</v>
      </c>
      <c r="V21" s="774" t="s">
        <v>17</v>
      </c>
      <c r="W21" s="775">
        <f>J21</f>
        <v>100</v>
      </c>
      <c r="X21" s="1812"/>
      <c r="Y21" s="3173"/>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180"/>
      <c r="Q22" s="1809"/>
      <c r="R22" s="774"/>
      <c r="S22" s="775"/>
      <c r="T22" s="774"/>
      <c r="U22" s="775"/>
      <c r="V22" s="774"/>
      <c r="W22" s="775"/>
      <c r="X22" s="1812"/>
      <c r="Y22" s="3173"/>
      <c r="Z22" s="1813"/>
      <c r="AA22" s="1810">
        <v>1</v>
      </c>
      <c r="AB22" s="1810">
        <v>1</v>
      </c>
      <c r="AC22" s="1810">
        <v>1</v>
      </c>
    </row>
    <row r="23" spans="1:29" ht="57">
      <c r="A23" s="428"/>
      <c r="B23" s="451" t="s">
        <v>2052</v>
      </c>
      <c r="C23" s="2609" t="str">
        <f>估价对象房地状况!C9</f>
        <v>区域自然环境一般；人文环境一般；综合评价环境状况一般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0"/>
      <c r="Q23" s="1809" t="str">
        <f>B23</f>
        <v>自然及人文环境</v>
      </c>
      <c r="R23" s="774" t="s">
        <v>21</v>
      </c>
      <c r="S23" s="775">
        <f>F23</f>
        <v>100</v>
      </c>
      <c r="T23" s="774" t="s">
        <v>21</v>
      </c>
      <c r="U23" s="775">
        <f>H23</f>
        <v>100</v>
      </c>
      <c r="V23" s="774" t="s">
        <v>21</v>
      </c>
      <c r="W23" s="775">
        <f>J23</f>
        <v>100</v>
      </c>
      <c r="X23" s="1812"/>
      <c r="Y23" s="3173"/>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180"/>
      <c r="Q24" s="1809"/>
      <c r="R24" s="774"/>
      <c r="S24" s="775"/>
      <c r="T24" s="774"/>
      <c r="U24" s="775"/>
      <c r="V24" s="774"/>
      <c r="W24" s="775"/>
      <c r="X24" s="1812"/>
      <c r="Y24" s="3173"/>
      <c r="Z24" s="1813"/>
      <c r="AA24" s="1810">
        <v>1</v>
      </c>
      <c r="AB24" s="1810">
        <v>1</v>
      </c>
      <c r="AC24" s="1810">
        <v>1</v>
      </c>
    </row>
    <row r="25" spans="1:29" ht="15">
      <c r="A25" s="428"/>
      <c r="B25" s="422" t="s">
        <v>2509</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180"/>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3"/>
      <c r="Z25" s="1813" t="str">
        <f>Q25</f>
        <v>楼层-1</v>
      </c>
      <c r="AA25" s="1810">
        <f t="shared" ref="AA25:AA46" si="15">D25/F25</f>
        <v>1</v>
      </c>
      <c r="AB25" s="1810">
        <f t="shared" ref="AB25:AB46" si="16">D25/H25</f>
        <v>1</v>
      </c>
      <c r="AC25" s="1810">
        <f t="shared" ref="AC25:AC46" si="17">D25/J25</f>
        <v>1</v>
      </c>
    </row>
    <row r="26" spans="1:29" ht="15">
      <c r="A26" s="428"/>
      <c r="B26" s="422" t="s">
        <v>2510</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180"/>
      <c r="Q26" s="1809" t="str">
        <f t="shared" si="11"/>
        <v>朝向</v>
      </c>
      <c r="R26" s="774" t="s">
        <v>21</v>
      </c>
      <c r="S26" s="775">
        <f t="shared" si="12"/>
        <v>100</v>
      </c>
      <c r="T26" s="774" t="s">
        <v>21</v>
      </c>
      <c r="U26" s="775">
        <f t="shared" si="13"/>
        <v>100</v>
      </c>
      <c r="V26" s="774" t="s">
        <v>21</v>
      </c>
      <c r="W26" s="775">
        <f t="shared" si="14"/>
        <v>100</v>
      </c>
      <c r="X26" s="1812"/>
      <c r="Y26" s="3173"/>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180"/>
      <c r="Q27" s="1794">
        <f t="shared" si="11"/>
        <v>111</v>
      </c>
      <c r="R27" s="770" t="s">
        <v>21</v>
      </c>
      <c r="S27" s="771">
        <f t="shared" si="12"/>
        <v>100</v>
      </c>
      <c r="T27" s="770" t="s">
        <v>21</v>
      </c>
      <c r="U27" s="771">
        <f t="shared" si="13"/>
        <v>100</v>
      </c>
      <c r="V27" s="770" t="s">
        <v>21</v>
      </c>
      <c r="W27" s="771">
        <f t="shared" si="14"/>
        <v>100</v>
      </c>
      <c r="X27" s="772"/>
      <c r="Y27" s="3173"/>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180"/>
      <c r="Q28" s="1809">
        <f t="shared" si="11"/>
        <v>111</v>
      </c>
      <c r="R28" s="774" t="s">
        <v>21</v>
      </c>
      <c r="S28" s="775">
        <f t="shared" si="12"/>
        <v>100</v>
      </c>
      <c r="T28" s="774" t="s">
        <v>21</v>
      </c>
      <c r="U28" s="775">
        <f t="shared" si="13"/>
        <v>100</v>
      </c>
      <c r="V28" s="774" t="s">
        <v>21</v>
      </c>
      <c r="W28" s="775">
        <f t="shared" si="14"/>
        <v>100</v>
      </c>
      <c r="X28" s="1812"/>
      <c r="Y28" s="3173"/>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180"/>
      <c r="Q29" s="1809">
        <f t="shared" si="11"/>
        <v>111</v>
      </c>
      <c r="R29" s="774" t="s">
        <v>21</v>
      </c>
      <c r="S29" s="775">
        <f t="shared" si="12"/>
        <v>100</v>
      </c>
      <c r="T29" s="774" t="s">
        <v>21</v>
      </c>
      <c r="U29" s="775">
        <f t="shared" si="13"/>
        <v>100</v>
      </c>
      <c r="V29" s="774" t="s">
        <v>21</v>
      </c>
      <c r="W29" s="775">
        <f t="shared" si="14"/>
        <v>100</v>
      </c>
      <c r="X29" s="1812"/>
      <c r="Y29" s="3173"/>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180"/>
      <c r="Q30" s="1809">
        <f t="shared" si="11"/>
        <v>111</v>
      </c>
      <c r="R30" s="774" t="s">
        <v>21</v>
      </c>
      <c r="S30" s="775">
        <f t="shared" si="12"/>
        <v>100</v>
      </c>
      <c r="T30" s="774" t="s">
        <v>21</v>
      </c>
      <c r="U30" s="775">
        <f t="shared" si="13"/>
        <v>100</v>
      </c>
      <c r="V30" s="774" t="s">
        <v>21</v>
      </c>
      <c r="W30" s="775">
        <f t="shared" si="14"/>
        <v>100</v>
      </c>
      <c r="X30" s="1812"/>
      <c r="Y30" s="3173"/>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180"/>
      <c r="Q31" s="1809">
        <f t="shared" si="11"/>
        <v>111</v>
      </c>
      <c r="R31" s="774" t="s">
        <v>21</v>
      </c>
      <c r="S31" s="775">
        <f t="shared" si="12"/>
        <v>100</v>
      </c>
      <c r="T31" s="774" t="s">
        <v>21</v>
      </c>
      <c r="U31" s="775">
        <f t="shared" si="13"/>
        <v>100</v>
      </c>
      <c r="V31" s="774" t="s">
        <v>21</v>
      </c>
      <c r="W31" s="775">
        <f t="shared" si="14"/>
        <v>100</v>
      </c>
      <c r="X31" s="1812"/>
      <c r="Y31" s="3173"/>
      <c r="Z31" s="1813">
        <f t="shared" si="18"/>
        <v>111</v>
      </c>
      <c r="AA31" s="1810">
        <f t="shared" si="15"/>
        <v>1</v>
      </c>
      <c r="AB31" s="1810">
        <f t="shared" si="16"/>
        <v>1</v>
      </c>
      <c r="AC31" s="1810">
        <f t="shared" si="17"/>
        <v>1</v>
      </c>
    </row>
    <row r="32" spans="1:29" ht="15">
      <c r="A32" s="440" t="s">
        <v>2511</v>
      </c>
      <c r="B32" s="71" t="s">
        <v>2512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174" t="s">
        <v>2513</v>
      </c>
      <c r="Q32" s="1809" t="str">
        <f t="shared" si="11"/>
        <v>建筑类型</v>
      </c>
      <c r="R32" s="774" t="s">
        <v>21</v>
      </c>
      <c r="S32" s="775">
        <f t="shared" si="12"/>
        <v>100</v>
      </c>
      <c r="T32" s="774" t="s">
        <v>21</v>
      </c>
      <c r="U32" s="775">
        <f t="shared" si="13"/>
        <v>100</v>
      </c>
      <c r="V32" s="774" t="s">
        <v>21</v>
      </c>
      <c r="W32" s="775">
        <f t="shared" si="14"/>
        <v>100</v>
      </c>
      <c r="X32" s="1812"/>
      <c r="Y32" s="3177" t="s">
        <v>2513</v>
      </c>
      <c r="Z32" s="1813" t="str">
        <f t="shared" si="18"/>
        <v>建筑类型</v>
      </c>
      <c r="AA32" s="1810">
        <f t="shared" si="15"/>
        <v>1</v>
      </c>
      <c r="AB32" s="1810">
        <f t="shared" si="16"/>
        <v>1</v>
      </c>
      <c r="AC32" s="1810">
        <f t="shared" si="17"/>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175"/>
      <c r="Q33" s="776" t="str">
        <f t="shared" si="11"/>
        <v>项目建筑规模</v>
      </c>
      <c r="R33" s="777" t="s">
        <v>21</v>
      </c>
      <c r="S33" s="778" t="e">
        <f t="shared" si="12"/>
        <v>#N/A</v>
      </c>
      <c r="T33" s="777" t="s">
        <v>21</v>
      </c>
      <c r="U33" s="778" t="e">
        <f t="shared" si="13"/>
        <v>#N/A</v>
      </c>
      <c r="V33" s="777" t="s">
        <v>21</v>
      </c>
      <c r="W33" s="778" t="e">
        <f t="shared" si="14"/>
        <v>#N/A</v>
      </c>
      <c r="X33" s="779"/>
      <c r="Y33" s="3177"/>
      <c r="Z33" s="780" t="str">
        <f t="shared" si="18"/>
        <v>项目建筑规模</v>
      </c>
      <c r="AA33" s="1810" t="e">
        <f t="shared" si="15"/>
        <v>#N/A</v>
      </c>
      <c r="AB33" s="1810" t="e">
        <f t="shared" si="16"/>
        <v>#N/A</v>
      </c>
      <c r="AC33" s="1810" t="e">
        <f t="shared" si="17"/>
        <v>#N/A</v>
      </c>
    </row>
    <row r="34" spans="1:29" ht="15">
      <c r="A34" s="472"/>
      <c r="B34" s="422" t="s">
        <v>2515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175"/>
      <c r="Q34" s="1809" t="str">
        <f t="shared" si="11"/>
        <v>建筑结构</v>
      </c>
      <c r="R34" s="774" t="s">
        <v>21</v>
      </c>
      <c r="S34" s="775">
        <f t="shared" si="12"/>
        <v>100</v>
      </c>
      <c r="T34" s="774" t="s">
        <v>21</v>
      </c>
      <c r="U34" s="775">
        <f t="shared" si="13"/>
        <v>100</v>
      </c>
      <c r="V34" s="774" t="s">
        <v>21</v>
      </c>
      <c r="W34" s="775">
        <f t="shared" si="14"/>
        <v>100</v>
      </c>
      <c r="X34" s="1812"/>
      <c r="Y34" s="3177"/>
      <c r="Z34" s="1813" t="str">
        <f t="shared" si="18"/>
        <v>建筑结构</v>
      </c>
      <c r="AA34" s="1810">
        <f t="shared" si="15"/>
        <v>1</v>
      </c>
      <c r="AB34" s="1810">
        <f t="shared" si="16"/>
        <v>1</v>
      </c>
      <c r="AC34" s="1810">
        <f t="shared" si="17"/>
        <v>1</v>
      </c>
    </row>
    <row r="35" spans="1:29" ht="15">
      <c r="A35" s="472"/>
      <c r="B35" s="422" t="s">
        <v>2516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175"/>
      <c r="Q35" s="1809" t="str">
        <f t="shared" si="11"/>
        <v>建筑品质</v>
      </c>
      <c r="R35" s="774" t="s">
        <v>21</v>
      </c>
      <c r="S35" s="775">
        <f t="shared" si="12"/>
        <v>100</v>
      </c>
      <c r="T35" s="774" t="s">
        <v>21</v>
      </c>
      <c r="U35" s="775">
        <f t="shared" si="13"/>
        <v>100</v>
      </c>
      <c r="V35" s="774" t="s">
        <v>21</v>
      </c>
      <c r="W35" s="775">
        <f t="shared" si="14"/>
        <v>100</v>
      </c>
      <c r="X35" s="1812"/>
      <c r="Y35" s="3177"/>
      <c r="Z35" s="1813" t="str">
        <f t="shared" si="18"/>
        <v>建筑品质</v>
      </c>
      <c r="AA35" s="1810">
        <f t="shared" si="15"/>
        <v>1</v>
      </c>
      <c r="AB35" s="1810">
        <f t="shared" si="16"/>
        <v>1</v>
      </c>
      <c r="AC35" s="1810">
        <f t="shared" si="17"/>
        <v>1</v>
      </c>
    </row>
    <row r="36" spans="1:29" ht="15">
      <c r="A36" s="472"/>
      <c r="B36" s="422" t="s">
        <v>2517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175"/>
      <c r="Q36" s="1809" t="str">
        <f t="shared" si="11"/>
        <v>公共部分装修</v>
      </c>
      <c r="R36" s="774" t="s">
        <v>21</v>
      </c>
      <c r="S36" s="775">
        <f t="shared" si="12"/>
        <v>100</v>
      </c>
      <c r="T36" s="774" t="s">
        <v>21</v>
      </c>
      <c r="U36" s="775">
        <f t="shared" si="13"/>
        <v>100</v>
      </c>
      <c r="V36" s="774" t="s">
        <v>21</v>
      </c>
      <c r="W36" s="775">
        <f t="shared" si="14"/>
        <v>100</v>
      </c>
      <c r="X36" s="1812"/>
      <c r="Y36" s="3177"/>
      <c r="Z36" s="1813" t="str">
        <f t="shared" si="18"/>
        <v>公共部分装修</v>
      </c>
      <c r="AA36" s="1810">
        <f t="shared" si="15"/>
        <v>1</v>
      </c>
      <c r="AB36" s="1810">
        <f t="shared" si="16"/>
        <v>1</v>
      </c>
      <c r="AC36" s="1810">
        <f t="shared" si="17"/>
        <v>1</v>
      </c>
    </row>
    <row r="37" spans="1:29" s="117" customFormat="1" ht="15">
      <c r="A37" s="473"/>
      <c r="B37" s="422" t="s">
        <v>2518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5"/>
      <c r="Q37" s="1794" t="str">
        <f t="shared" si="11"/>
        <v>成新度</v>
      </c>
      <c r="R37" s="770" t="s">
        <v>21</v>
      </c>
      <c r="S37" s="771" t="e">
        <f t="shared" si="12"/>
        <v>#N/A</v>
      </c>
      <c r="T37" s="770" t="s">
        <v>21</v>
      </c>
      <c r="U37" s="771" t="e">
        <f t="shared" si="13"/>
        <v>#N/A</v>
      </c>
      <c r="V37" s="770" t="s">
        <v>21</v>
      </c>
      <c r="W37" s="771" t="e">
        <f t="shared" si="14"/>
        <v>#N/A</v>
      </c>
      <c r="X37" s="772"/>
      <c r="Y37" s="3177"/>
      <c r="Z37" s="55" t="str">
        <f t="shared" si="18"/>
        <v>成新度</v>
      </c>
      <c r="AA37" s="773" t="e">
        <f t="shared" si="15"/>
        <v>#N/A</v>
      </c>
      <c r="AB37" s="773" t="e">
        <f t="shared" si="16"/>
        <v>#N/A</v>
      </c>
      <c r="AC37" s="773" t="e">
        <f t="shared" si="17"/>
        <v>#N/A</v>
      </c>
    </row>
    <row r="38" spans="1:29" ht="15">
      <c r="A38" s="472"/>
      <c r="B38" s="422" t="s">
        <v>2519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175" t="s">
        <v>2513</v>
      </c>
      <c r="Q38" s="1809" t="str">
        <f t="shared" si="11"/>
        <v>物业管理</v>
      </c>
      <c r="R38" s="774" t="s">
        <v>21</v>
      </c>
      <c r="S38" s="775">
        <f t="shared" si="12"/>
        <v>100</v>
      </c>
      <c r="T38" s="774" t="s">
        <v>21</v>
      </c>
      <c r="U38" s="775">
        <f t="shared" si="13"/>
        <v>100</v>
      </c>
      <c r="V38" s="774" t="s">
        <v>21</v>
      </c>
      <c r="W38" s="775">
        <f t="shared" si="14"/>
        <v>100</v>
      </c>
      <c r="X38" s="1812"/>
      <c r="Y38" s="3177" t="s">
        <v>2513</v>
      </c>
      <c r="Z38" s="1813" t="str">
        <f t="shared" si="18"/>
        <v>物业管理</v>
      </c>
      <c r="AA38" s="1810">
        <f t="shared" si="15"/>
        <v>1</v>
      </c>
      <c r="AB38" s="1810">
        <f t="shared" si="16"/>
        <v>1</v>
      </c>
      <c r="AC38" s="1810">
        <f t="shared" si="17"/>
        <v>1</v>
      </c>
    </row>
    <row r="39" spans="1:29" ht="15">
      <c r="A39" s="472"/>
      <c r="B39" s="422" t="s">
        <v>2520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175"/>
      <c r="Q39" s="1809" t="str">
        <f t="shared" si="11"/>
        <v>市政基础设施</v>
      </c>
      <c r="R39" s="774" t="s">
        <v>21</v>
      </c>
      <c r="S39" s="775">
        <f t="shared" si="12"/>
        <v>100</v>
      </c>
      <c r="T39" s="774" t="s">
        <v>21</v>
      </c>
      <c r="U39" s="775">
        <f t="shared" si="13"/>
        <v>100</v>
      </c>
      <c r="V39" s="774" t="s">
        <v>21</v>
      </c>
      <c r="W39" s="775">
        <f t="shared" si="14"/>
        <v>100</v>
      </c>
      <c r="X39" s="1812"/>
      <c r="Y39" s="3177"/>
      <c r="Z39" s="1813" t="str">
        <f t="shared" si="18"/>
        <v>市政基础设施</v>
      </c>
      <c r="AA39" s="1810">
        <f t="shared" si="15"/>
        <v>1</v>
      </c>
      <c r="AB39" s="1810">
        <f t="shared" si="16"/>
        <v>1</v>
      </c>
      <c r="AC39" s="1810">
        <f t="shared" si="17"/>
        <v>1</v>
      </c>
    </row>
    <row r="40" spans="1:29" ht="15">
      <c r="A40" s="472"/>
      <c r="B40" s="422" t="s">
        <v>2521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175"/>
      <c r="Q40" s="1809" t="str">
        <f t="shared" si="11"/>
        <v>房型</v>
      </c>
      <c r="R40" s="774" t="s">
        <v>21</v>
      </c>
      <c r="S40" s="775">
        <f t="shared" si="12"/>
        <v>100</v>
      </c>
      <c r="T40" s="774" t="s">
        <v>21</v>
      </c>
      <c r="U40" s="775">
        <f t="shared" si="13"/>
        <v>100</v>
      </c>
      <c r="V40" s="774" t="s">
        <v>21</v>
      </c>
      <c r="W40" s="775">
        <f t="shared" si="14"/>
        <v>100</v>
      </c>
      <c r="X40" s="1812"/>
      <c r="Y40" s="3177"/>
      <c r="Z40" s="1813" t="str">
        <f t="shared" si="18"/>
        <v>房型</v>
      </c>
      <c r="AA40" s="1810">
        <f t="shared" si="15"/>
        <v>1</v>
      </c>
      <c r="AB40" s="1810">
        <f t="shared" si="16"/>
        <v>1</v>
      </c>
      <c r="AC40" s="1810">
        <f t="shared" si="17"/>
        <v>1</v>
      </c>
    </row>
    <row r="41" spans="1:29" s="471" customFormat="1" ht="28.5">
      <c r="A41" s="468"/>
      <c r="B41" s="422" t="s">
        <v>2522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175"/>
      <c r="Q41" s="776" t="str">
        <f t="shared" si="11"/>
        <v>单套/主力户型建筑面积</v>
      </c>
      <c r="R41" s="777" t="s">
        <v>21</v>
      </c>
      <c r="S41" s="778">
        <f t="shared" si="12"/>
        <v>100</v>
      </c>
      <c r="T41" s="777" t="s">
        <v>21</v>
      </c>
      <c r="U41" s="778">
        <f t="shared" si="13"/>
        <v>100</v>
      </c>
      <c r="V41" s="777" t="s">
        <v>21</v>
      </c>
      <c r="W41" s="778">
        <f t="shared" si="14"/>
        <v>100</v>
      </c>
      <c r="X41" s="779"/>
      <c r="Y41" s="3177"/>
      <c r="Z41" s="780" t="str">
        <f t="shared" si="18"/>
        <v>单套/主力户型建筑面积</v>
      </c>
      <c r="AA41" s="1810">
        <f t="shared" si="15"/>
        <v>1</v>
      </c>
      <c r="AB41" s="1810">
        <f t="shared" si="16"/>
        <v>1</v>
      </c>
      <c r="AC41" s="1810">
        <f t="shared" si="17"/>
        <v>1</v>
      </c>
    </row>
    <row r="42" spans="1:29" ht="15">
      <c r="A42" s="472"/>
      <c r="B42" s="422" t="s">
        <v>2523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175"/>
      <c r="Q42" s="1809" t="str">
        <f t="shared" si="11"/>
        <v>内部装修</v>
      </c>
      <c r="R42" s="774" t="s">
        <v>21</v>
      </c>
      <c r="S42" s="775">
        <f t="shared" si="12"/>
        <v>100</v>
      </c>
      <c r="T42" s="774" t="s">
        <v>21</v>
      </c>
      <c r="U42" s="775">
        <f t="shared" si="13"/>
        <v>100</v>
      </c>
      <c r="V42" s="774" t="s">
        <v>21</v>
      </c>
      <c r="W42" s="775">
        <f t="shared" si="14"/>
        <v>100</v>
      </c>
      <c r="X42" s="1812"/>
      <c r="Y42" s="3177"/>
      <c r="Z42" s="1813" t="str">
        <f t="shared" si="18"/>
        <v>内部装修</v>
      </c>
      <c r="AA42" s="1810">
        <f t="shared" si="15"/>
        <v>1</v>
      </c>
      <c r="AB42" s="1810">
        <f t="shared" si="16"/>
        <v>1</v>
      </c>
      <c r="AC42" s="1810">
        <f t="shared" si="17"/>
        <v>1</v>
      </c>
    </row>
    <row r="43" spans="1:29" ht="15">
      <c r="A43" s="472"/>
      <c r="B43" s="422" t="s">
        <v>2524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175"/>
      <c r="Q43" s="1809" t="str">
        <f t="shared" si="11"/>
        <v>内部装修维护情况</v>
      </c>
      <c r="R43" s="774" t="s">
        <v>21</v>
      </c>
      <c r="S43" s="775">
        <f t="shared" si="12"/>
        <v>100</v>
      </c>
      <c r="T43" s="774" t="s">
        <v>21</v>
      </c>
      <c r="U43" s="775">
        <f t="shared" si="13"/>
        <v>100</v>
      </c>
      <c r="V43" s="774" t="s">
        <v>21</v>
      </c>
      <c r="W43" s="775">
        <f t="shared" si="14"/>
        <v>100</v>
      </c>
      <c r="X43" s="1812"/>
      <c r="Y43" s="3177"/>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175"/>
      <c r="Q44" s="1794">
        <f t="shared" si="11"/>
        <v>111</v>
      </c>
      <c r="R44" s="770" t="s">
        <v>21</v>
      </c>
      <c r="S44" s="771">
        <f t="shared" si="12"/>
        <v>100</v>
      </c>
      <c r="T44" s="770" t="s">
        <v>21</v>
      </c>
      <c r="U44" s="771">
        <f t="shared" si="13"/>
        <v>100</v>
      </c>
      <c r="V44" s="770" t="s">
        <v>21</v>
      </c>
      <c r="W44" s="771">
        <f t="shared" si="14"/>
        <v>100</v>
      </c>
      <c r="X44" s="772"/>
      <c r="Y44" s="317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175"/>
      <c r="Q45" s="1809">
        <f t="shared" si="11"/>
        <v>111</v>
      </c>
      <c r="R45" s="774" t="s">
        <v>21</v>
      </c>
      <c r="S45" s="775">
        <f t="shared" si="12"/>
        <v>100</v>
      </c>
      <c r="T45" s="774" t="s">
        <v>21</v>
      </c>
      <c r="U45" s="775">
        <f t="shared" si="13"/>
        <v>100</v>
      </c>
      <c r="V45" s="774" t="s">
        <v>21</v>
      </c>
      <c r="W45" s="775">
        <f t="shared" si="14"/>
        <v>100</v>
      </c>
      <c r="X45" s="1812"/>
      <c r="Y45" s="3177"/>
      <c r="Z45" s="1813">
        <f t="shared" si="18"/>
        <v>111</v>
      </c>
      <c r="AA45" s="1810">
        <f t="shared" si="15"/>
        <v>1</v>
      </c>
      <c r="AB45" s="1810">
        <f t="shared" si="16"/>
        <v>1</v>
      </c>
      <c r="AC45" s="1810">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176"/>
      <c r="Q46" s="1809">
        <f t="shared" si="11"/>
        <v>111</v>
      </c>
      <c r="R46" s="774" t="s">
        <v>20</v>
      </c>
      <c r="S46" s="775">
        <f t="shared" si="12"/>
        <v>100</v>
      </c>
      <c r="T46" s="774" t="s">
        <v>20</v>
      </c>
      <c r="U46" s="775">
        <f t="shared" si="13"/>
        <v>100</v>
      </c>
      <c r="V46" s="774" t="s">
        <v>20</v>
      </c>
      <c r="W46" s="775">
        <f t="shared" si="14"/>
        <v>100</v>
      </c>
      <c r="X46" s="1812"/>
      <c r="Y46" s="3178"/>
      <c r="Z46" s="1813">
        <f t="shared" si="18"/>
        <v>111</v>
      </c>
      <c r="AA46" s="1810">
        <f t="shared" si="15"/>
        <v>1</v>
      </c>
      <c r="AB46" s="1810">
        <f t="shared" si="16"/>
        <v>1</v>
      </c>
      <c r="AC46" s="1810">
        <f t="shared" si="17"/>
        <v>1</v>
      </c>
    </row>
    <row r="47" spans="1:29" ht="15">
      <c r="A47" s="479" t="s">
        <v>2525</v>
      </c>
      <c r="B47" s="480"/>
      <c r="C47" s="1407" t="s">
        <v>19</v>
      </c>
      <c r="D47" s="1408"/>
      <c r="E47" s="1409"/>
      <c r="F47" s="1410"/>
      <c r="G47" s="1411"/>
      <c r="H47" s="1412"/>
      <c r="I47" s="1409"/>
      <c r="J47" s="1412"/>
      <c r="K47" s="2623"/>
      <c r="L47" s="1143"/>
      <c r="M47" s="1144"/>
      <c r="N47" s="1131"/>
      <c r="O47" s="1144"/>
      <c r="P47" s="3170" t="str">
        <f>A47</f>
        <v>成交单价（元/平方米）</v>
      </c>
      <c r="Q47" s="3170"/>
      <c r="R47" s="3171">
        <f>E47</f>
        <v>0</v>
      </c>
      <c r="S47" s="3171"/>
      <c r="T47" s="3171">
        <f>G47</f>
        <v>0</v>
      </c>
      <c r="U47" s="3171"/>
      <c r="V47" s="3171">
        <f>I47</f>
        <v>0</v>
      </c>
      <c r="W47" s="3171"/>
      <c r="X47" s="759"/>
      <c r="Y47" s="781"/>
      <c r="Z47" s="759"/>
      <c r="AA47" s="759"/>
      <c r="AB47" s="759"/>
      <c r="AC47" s="759"/>
    </row>
    <row r="48" spans="1:29" ht="15.75" thickBot="1">
      <c r="A48" s="486" t="s">
        <v>2526</v>
      </c>
      <c r="B48" s="487"/>
      <c r="C48" s="1413" t="e">
        <f>R49</f>
        <v>#DIV/0!</v>
      </c>
      <c r="D48" s="1414"/>
      <c r="E48" s="1415" t="e">
        <f>R48</f>
        <v>#DIV/0!</v>
      </c>
      <c r="F48" s="1415"/>
      <c r="G48" s="1413" t="e">
        <f>T48</f>
        <v>#DIV/0!</v>
      </c>
      <c r="H48" s="1414"/>
      <c r="I48" s="1415" t="e">
        <f>V48</f>
        <v>#DIV/0!</v>
      </c>
      <c r="J48" s="1414"/>
      <c r="K48" s="2624"/>
      <c r="L48" s="1143"/>
      <c r="M48" s="1144"/>
      <c r="N48" s="1144"/>
      <c r="O48" s="1144"/>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9"/>
      <c r="Y48" s="759"/>
      <c r="Z48" s="759"/>
      <c r="AA48" s="759"/>
      <c r="AB48" s="759"/>
      <c r="AC48" s="759"/>
    </row>
    <row r="49" spans="1:29" ht="15.75" thickBot="1">
      <c r="A49" s="492" t="s">
        <v>2527</v>
      </c>
      <c r="B49" s="493"/>
      <c r="C49" s="1416" t="e">
        <f>R49</f>
        <v>#DIV/0!</v>
      </c>
      <c r="D49" s="1417"/>
      <c r="E49" s="1417"/>
      <c r="F49" s="1417"/>
      <c r="G49" s="1417"/>
      <c r="H49" s="1417"/>
      <c r="I49" s="1417"/>
      <c r="J49" s="1417"/>
      <c r="K49" s="2625"/>
      <c r="L49" s="1143"/>
      <c r="M49" s="1144"/>
      <c r="N49" s="1144"/>
      <c r="O49" s="1144"/>
      <c r="P49" s="3167" t="str">
        <f>A49</f>
        <v>估价对象XX用房的比较价值（楼面单价，元/平方米）</v>
      </c>
      <c r="Q49" s="3168"/>
      <c r="R49" s="3169" t="e">
        <f>IF(F1="售价",ROUND(AVERAGE(R48:V48),0),ROUND(AVERAGE(R48:V48),1))</f>
        <v>#DIV/0!</v>
      </c>
      <c r="S49" s="3169"/>
      <c r="T49" s="3169"/>
      <c r="U49" s="3169"/>
      <c r="V49" s="3169"/>
      <c r="W49" s="316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2531</v>
      </c>
      <c r="B57" s="759"/>
      <c r="C57" s="764"/>
      <c r="D57" s="764"/>
      <c r="E57" s="764"/>
      <c r="F57" s="765"/>
      <c r="G57" s="765"/>
      <c r="H57" s="764"/>
      <c r="I57" s="764"/>
      <c r="J57" s="764"/>
      <c r="K57" s="1160"/>
      <c r="L57" s="1161"/>
      <c r="M57" s="1159"/>
      <c r="N57" s="1159"/>
      <c r="O57" s="1159"/>
      <c r="P57" s="2628"/>
      <c r="Q57" s="504"/>
    </row>
    <row r="58" spans="1:29" s="508" customFormat="1" ht="15">
      <c r="A58" s="505" t="s">
        <v>2532</v>
      </c>
      <c r="B58" s="506"/>
      <c r="C58" s="1575" t="str">
        <f>YEAR(C7)&amp;"-"&amp;MONTH(C7)</f>
        <v>2019-3</v>
      </c>
      <c r="D58" s="1574">
        <f>EDATE(C58,-1)</f>
        <v>43497</v>
      </c>
      <c r="E58" s="1574">
        <f>EDATE(D58,-1)</f>
        <v>43466</v>
      </c>
      <c r="F58" s="1574">
        <f t="shared" ref="F58:O58" si="19">EDATE(E58,-1)</f>
        <v>43435</v>
      </c>
      <c r="G58" s="1574">
        <f t="shared" si="19"/>
        <v>43405</v>
      </c>
      <c r="H58" s="1574">
        <f t="shared" si="19"/>
        <v>43374</v>
      </c>
      <c r="I58" s="1574">
        <f t="shared" si="19"/>
        <v>43344</v>
      </c>
      <c r="J58" s="1574">
        <f t="shared" si="19"/>
        <v>43313</v>
      </c>
      <c r="K58" s="1574">
        <f t="shared" si="19"/>
        <v>43282</v>
      </c>
      <c r="L58" s="1574">
        <f t="shared" si="19"/>
        <v>43252</v>
      </c>
      <c r="M58" s="1574">
        <f t="shared" si="19"/>
        <v>43221</v>
      </c>
      <c r="N58" s="1574">
        <f t="shared" si="19"/>
        <v>43191</v>
      </c>
      <c r="O58" s="1574">
        <f t="shared" si="19"/>
        <v>43160</v>
      </c>
      <c r="P58" s="1569"/>
    </row>
    <row r="59" spans="1:29" s="117" customFormat="1" ht="15">
      <c r="A59" s="509"/>
      <c r="B59" s="2629"/>
      <c r="C59" s="1572">
        <v>100</v>
      </c>
      <c r="D59" s="511"/>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2534</v>
      </c>
      <c r="B61" s="510"/>
      <c r="C61" s="522" t="s">
        <v>2535</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2536</v>
      </c>
      <c r="B63" s="528" t="s">
        <v>2502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2506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2050</v>
      </c>
      <c r="C82" s="539" t="s">
        <v>2552</v>
      </c>
      <c r="D82" s="539" t="s">
        <v>2553</v>
      </c>
      <c r="E82" s="539" t="s">
        <v>2554</v>
      </c>
      <c r="F82" s="539" t="s">
        <v>2555</v>
      </c>
      <c r="G82" s="539" t="s">
        <v>2556</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2558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2559</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2511</v>
      </c>
      <c r="B100" s="528" t="s">
        <v>2560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2561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2563</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2564</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2565</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2566</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2567</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2522</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2570</v>
      </c>
    </row>
    <row r="137" spans="1:17" ht="15">
      <c r="B137" s="2640" t="s">
        <v>2571</v>
      </c>
      <c r="C137" s="2641"/>
      <c r="D137" s="2641"/>
      <c r="E137" s="2641"/>
      <c r="F137" s="2641"/>
      <c r="G137" s="2642"/>
      <c r="H137" s="2643"/>
      <c r="I137" s="2644" t="s">
        <v>2572</v>
      </c>
      <c r="J137" s="2641"/>
      <c r="K137" s="2645"/>
    </row>
    <row r="138" spans="1:17" ht="15">
      <c r="B138" s="2646"/>
      <c r="C138" s="146" t="s">
        <v>2573</v>
      </c>
      <c r="D138" s="146" t="s">
        <v>2574</v>
      </c>
      <c r="E138" s="2647" t="s">
        <v>2575</v>
      </c>
      <c r="F138" s="2648" t="s">
        <v>2576</v>
      </c>
      <c r="G138" s="146" t="s">
        <v>2574</v>
      </c>
      <c r="H138" s="147" t="s">
        <v>2575</v>
      </c>
      <c r="I138" s="2649"/>
      <c r="J138" s="146" t="s">
        <v>2577</v>
      </c>
      <c r="K138" s="147" t="s">
        <v>2578</v>
      </c>
    </row>
    <row r="139" spans="1:17" ht="15">
      <c r="B139" s="1084">
        <v>6</v>
      </c>
      <c r="C139" s="1085">
        <v>96</v>
      </c>
      <c r="D139" s="2650" t="s">
        <v>2579</v>
      </c>
      <c r="E139" s="1086">
        <v>100</v>
      </c>
      <c r="F139" s="1087">
        <v>102.5</v>
      </c>
      <c r="G139" s="2650" t="s">
        <v>2579</v>
      </c>
      <c r="H139" s="1088">
        <v>105</v>
      </c>
      <c r="I139" s="2651" t="s">
        <v>2580</v>
      </c>
      <c r="J139" s="1085">
        <v>20</v>
      </c>
      <c r="K139" s="1089">
        <f>C145/(J139-2)</f>
        <v>4.0555555555555553E-3</v>
      </c>
    </row>
    <row r="140" spans="1:17" ht="15">
      <c r="B140" s="1090">
        <v>5</v>
      </c>
      <c r="C140" s="1091">
        <v>100</v>
      </c>
      <c r="D140" s="1091"/>
      <c r="E140" s="1092"/>
      <c r="F140" s="1093">
        <v>102</v>
      </c>
      <c r="G140" s="1091"/>
      <c r="H140" s="1094"/>
      <c r="I140" s="2652" t="s">
        <v>2581</v>
      </c>
      <c r="J140" s="315">
        <f>ROUNDUP((J139-1)/2,0)</f>
        <v>10</v>
      </c>
      <c r="K140" s="1095">
        <v>100</v>
      </c>
    </row>
    <row r="141" spans="1:17" ht="15">
      <c r="B141" s="1090">
        <v>4</v>
      </c>
      <c r="C141" s="1091">
        <v>102</v>
      </c>
      <c r="D141" s="1091"/>
      <c r="E141" s="1092"/>
      <c r="F141" s="1093">
        <v>101.5</v>
      </c>
      <c r="G141" s="1091"/>
      <c r="H141" s="1094"/>
      <c r="I141" s="2652" t="s">
        <v>2582</v>
      </c>
      <c r="J141" s="315">
        <v>1</v>
      </c>
      <c r="K141" s="1096">
        <f>ROUND(100+(J141-J140)*K139*100,1)</f>
        <v>96.4</v>
      </c>
    </row>
    <row r="142" spans="1:17" ht="15">
      <c r="B142" s="1090">
        <v>3</v>
      </c>
      <c r="C142" s="1091">
        <v>103</v>
      </c>
      <c r="D142" s="1091"/>
      <c r="E142" s="1092"/>
      <c r="F142" s="1093">
        <v>101</v>
      </c>
      <c r="G142" s="1091"/>
      <c r="H142" s="1094"/>
      <c r="I142" s="2652" t="s">
        <v>2583</v>
      </c>
      <c r="J142" s="315">
        <f>J139</f>
        <v>20</v>
      </c>
      <c r="K142" s="1097">
        <v>95</v>
      </c>
    </row>
    <row r="143" spans="1:17" ht="15">
      <c r="B143" s="1090">
        <v>2</v>
      </c>
      <c r="C143" s="1091">
        <v>100</v>
      </c>
      <c r="D143" s="1091"/>
      <c r="E143" s="1092"/>
      <c r="F143" s="1093">
        <v>100.5</v>
      </c>
      <c r="G143" s="1091"/>
      <c r="H143" s="1094"/>
      <c r="I143" s="2652" t="s">
        <v>2584</v>
      </c>
      <c r="J143" s="1091">
        <v>15</v>
      </c>
      <c r="K143" s="1096">
        <f>ROUND(100+(J143-J140)*K139*100,1)</f>
        <v>102</v>
      </c>
    </row>
    <row r="144" spans="1:17" ht="15">
      <c r="B144" s="1090">
        <v>1</v>
      </c>
      <c r="C144" s="1091">
        <v>98</v>
      </c>
      <c r="D144" s="2653" t="s">
        <v>2585</v>
      </c>
      <c r="E144" s="1092">
        <v>102</v>
      </c>
      <c r="F144" s="1098">
        <v>100</v>
      </c>
      <c r="G144" s="2653" t="s">
        <v>2585</v>
      </c>
      <c r="H144" s="1094">
        <v>105</v>
      </c>
      <c r="I144" s="2652" t="s">
        <v>2584</v>
      </c>
      <c r="J144" s="1091">
        <v>18</v>
      </c>
      <c r="K144" s="1096">
        <f>ROUND(100+(J144-J140)*K139*100,1)</f>
        <v>103.2</v>
      </c>
    </row>
    <row r="145" spans="2:11" ht="15.75" thickBot="1">
      <c r="B145" s="2654" t="s">
        <v>2586</v>
      </c>
      <c r="C145" s="1099">
        <f>ROUND(MAX(C139:C144)/MIN(C139:C144)-1,3)</f>
        <v>7.2999999999999995E-2</v>
      </c>
      <c r="D145" s="1100"/>
      <c r="E145" s="1100"/>
      <c r="F145" s="2655" t="s">
        <v>2587</v>
      </c>
      <c r="G145" s="2656"/>
      <c r="H145" s="2657"/>
      <c r="I145" s="2658" t="s">
        <v>2584</v>
      </c>
      <c r="J145" s="1101">
        <v>8</v>
      </c>
      <c r="K145" s="1102">
        <f>ROUND(100+(J145-J140)*K139*100,1)</f>
        <v>99.2</v>
      </c>
    </row>
    <row r="147" spans="2:11">
      <c r="B147" s="2639" t="s">
        <v>2588</v>
      </c>
    </row>
    <row r="148" spans="2:11">
      <c r="B148" s="2639" t="s">
        <v>2589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584" t="s">
        <v>2590</v>
      </c>
      <c r="C1" s="1633" t="s">
        <v>2478</v>
      </c>
      <c r="D1" s="1620"/>
      <c r="E1" s="2659"/>
      <c r="F1" s="2586"/>
      <c r="G1" s="1630" t="s">
        <v>2591</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2278</v>
      </c>
      <c r="B2" s="1418" t="e">
        <f ca="1">IF(C2="——",ROUND(C49*D3/10000,0),ROUND(C49*D3/10000,0)-D2)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2280</v>
      </c>
      <c r="B3" s="609" t="e">
        <f ca="1">IF(C2="——",C49,ROUND(B2*10000/D3,0))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2593</v>
      </c>
      <c r="B4" s="402"/>
      <c r="C4" s="3185" t="s">
        <v>2594</v>
      </c>
      <c r="D4" s="3186"/>
      <c r="E4" s="3187" t="s">
        <v>2595</v>
      </c>
      <c r="F4" s="3188"/>
      <c r="G4" s="3185" t="s">
        <v>2596</v>
      </c>
      <c r="H4" s="3186"/>
      <c r="I4" s="3185" t="s">
        <v>2597</v>
      </c>
      <c r="J4" s="3186"/>
      <c r="K4" s="610" t="s">
        <v>2598</v>
      </c>
      <c r="L4" s="1130"/>
      <c r="M4" s="1131"/>
      <c r="N4" s="1131"/>
      <c r="O4" s="1131"/>
      <c r="P4" s="3189" t="s">
        <v>2599</v>
      </c>
      <c r="Q4" s="3190"/>
      <c r="R4" s="3195" t="s">
        <v>2595</v>
      </c>
      <c r="S4" s="3196"/>
      <c r="T4" s="3195" t="s">
        <v>2596</v>
      </c>
      <c r="U4" s="3196"/>
      <c r="V4" s="3201" t="s">
        <v>2597</v>
      </c>
      <c r="W4" s="3201"/>
      <c r="X4" s="1812"/>
      <c r="Y4" s="3195" t="s">
        <v>2599</v>
      </c>
      <c r="Z4" s="3196"/>
      <c r="AA4" s="3182" t="s">
        <v>2595</v>
      </c>
      <c r="AB4" s="3201" t="s">
        <v>2596</v>
      </c>
      <c r="AC4" s="3182" t="s">
        <v>2597</v>
      </c>
    </row>
    <row r="5" spans="1:29" ht="15">
      <c r="A5" s="404"/>
      <c r="B5" s="405"/>
      <c r="C5" s="3204" t="s">
        <v>2490</v>
      </c>
      <c r="D5" s="3205"/>
      <c r="E5" s="3211" t="s">
        <v>2491</v>
      </c>
      <c r="F5" s="3212"/>
      <c r="G5" s="3204" t="s">
        <v>2492</v>
      </c>
      <c r="H5" s="3205"/>
      <c r="I5" s="3204" t="s">
        <v>2493</v>
      </c>
      <c r="J5" s="3205"/>
      <c r="K5" s="610"/>
      <c r="L5" s="1130"/>
      <c r="M5" s="1131"/>
      <c r="N5" s="1131"/>
      <c r="O5" s="1131"/>
      <c r="P5" s="3191"/>
      <c r="Q5" s="3192"/>
      <c r="R5" s="3197"/>
      <c r="S5" s="3198"/>
      <c r="T5" s="3197"/>
      <c r="U5" s="3198"/>
      <c r="V5" s="3201"/>
      <c r="W5" s="3201"/>
      <c r="X5" s="1812"/>
      <c r="Y5" s="3197"/>
      <c r="Z5" s="3198"/>
      <c r="AA5" s="3183"/>
      <c r="AB5" s="3201"/>
      <c r="AC5" s="3183"/>
    </row>
    <row r="6" spans="1:29" ht="15.75" thickBot="1">
      <c r="A6" s="406"/>
      <c r="B6" s="407"/>
      <c r="C6" s="3202" t="s">
        <v>2494</v>
      </c>
      <c r="D6" s="3203"/>
      <c r="E6" s="3209" t="s">
        <v>2494</v>
      </c>
      <c r="F6" s="3210"/>
      <c r="G6" s="3202" t="s">
        <v>2494</v>
      </c>
      <c r="H6" s="3203"/>
      <c r="I6" s="3202" t="s">
        <v>2494</v>
      </c>
      <c r="J6" s="3203"/>
      <c r="K6" s="610" t="s">
        <v>2495</v>
      </c>
      <c r="L6" s="1130"/>
      <c r="M6" s="1131"/>
      <c r="N6" s="1131"/>
      <c r="O6" s="1131"/>
      <c r="P6" s="3193"/>
      <c r="Q6" s="3194"/>
      <c r="R6" s="3197"/>
      <c r="S6" s="3198"/>
      <c r="T6" s="3199"/>
      <c r="U6" s="3200"/>
      <c r="V6" s="3201"/>
      <c r="W6" s="3201"/>
      <c r="X6" s="1812"/>
      <c r="Y6" s="3199"/>
      <c r="Z6" s="3200"/>
      <c r="AA6" s="3184"/>
      <c r="AB6" s="3201"/>
      <c r="AC6" s="3184"/>
    </row>
    <row r="7" spans="1:29" s="117" customFormat="1" ht="15.7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6" t="s">
        <v>2497</v>
      </c>
      <c r="Q7" s="3208"/>
      <c r="R7" s="770" t="s">
        <v>17</v>
      </c>
      <c r="S7" s="771">
        <f t="shared" ref="S7:S15" si="0">F7</f>
        <v>0</v>
      </c>
      <c r="T7" s="770" t="s">
        <v>17</v>
      </c>
      <c r="U7" s="771">
        <f t="shared" ref="U7:U15" si="1">H7</f>
        <v>0</v>
      </c>
      <c r="V7" s="770" t="s">
        <v>17</v>
      </c>
      <c r="W7" s="771">
        <f t="shared" ref="W7:W15" si="2">J7</f>
        <v>0</v>
      </c>
      <c r="X7" s="772"/>
      <c r="Y7" s="3206" t="s">
        <v>2497</v>
      </c>
      <c r="Z7" s="3207"/>
      <c r="AA7" s="773" t="e">
        <f>D7/F7</f>
        <v>#DIV/0!</v>
      </c>
      <c r="AB7" s="773" t="e">
        <f>D7/H7</f>
        <v>#DIV/0!</v>
      </c>
      <c r="AC7" s="773" t="e">
        <f>D7/J7</f>
        <v>#DIV/0!</v>
      </c>
    </row>
    <row r="8" spans="1:29" s="117" customFormat="1" ht="15.75" thickBot="1">
      <c r="A8" s="408" t="s">
        <v>2498</v>
      </c>
      <c r="B8" s="409"/>
      <c r="C8" s="414" t="s">
        <v>2600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6" t="s">
        <v>2500</v>
      </c>
      <c r="Q8" s="3207"/>
      <c r="R8" s="770" t="s">
        <v>17</v>
      </c>
      <c r="S8" s="771">
        <f t="shared" si="0"/>
        <v>0</v>
      </c>
      <c r="T8" s="770" t="s">
        <v>17</v>
      </c>
      <c r="U8" s="771">
        <f t="shared" si="1"/>
        <v>0</v>
      </c>
      <c r="V8" s="770" t="s">
        <v>17</v>
      </c>
      <c r="W8" s="771">
        <f t="shared" si="2"/>
        <v>0</v>
      </c>
      <c r="X8" s="772"/>
      <c r="Y8" s="3206" t="s">
        <v>2500</v>
      </c>
      <c r="Z8" s="3207"/>
      <c r="AA8" s="773" t="e">
        <f t="shared" ref="AA8:AA46" si="3">D8/F8</f>
        <v>#DIV/0!</v>
      </c>
      <c r="AB8" s="773" t="e">
        <f t="shared" ref="AB8:AB46" si="4">D8/H8</f>
        <v>#DIV/0!</v>
      </c>
      <c r="AC8" s="773" t="e">
        <f t="shared" ref="AC8:AC46" si="5">D8/J8</f>
        <v>#DIV/0!</v>
      </c>
    </row>
    <row r="9" spans="1:29" s="117" customFormat="1">
      <c r="A9" s="415" t="s">
        <v>2501</v>
      </c>
      <c r="B9" s="71" t="s">
        <v>2502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1" t="s">
        <v>2503</v>
      </c>
      <c r="Q9" s="1794" t="str">
        <f t="shared" ref="Q9:Q15" si="6">B9</f>
        <v>用途</v>
      </c>
      <c r="R9" s="770" t="s">
        <v>17</v>
      </c>
      <c r="S9" s="771">
        <f t="shared" si="0"/>
        <v>100</v>
      </c>
      <c r="T9" s="770" t="s">
        <v>17</v>
      </c>
      <c r="U9" s="771">
        <f t="shared" si="1"/>
        <v>100</v>
      </c>
      <c r="V9" s="770" t="s">
        <v>17</v>
      </c>
      <c r="W9" s="771">
        <f t="shared" si="2"/>
        <v>100</v>
      </c>
      <c r="X9" s="772"/>
      <c r="Y9" s="2997"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1"/>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1"/>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1"/>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1"/>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1"/>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2507</v>
      </c>
      <c r="B15" s="69" t="s">
        <v>2601</v>
      </c>
      <c r="C15" s="2605" t="str">
        <f>估价对象房地状况!C4</f>
        <v>估价对象位于经济开发区，周边商业氛围成熟度一般，人流量一般，商业繁华度一般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79" t="s">
        <v>2508</v>
      </c>
      <c r="Q15" s="1809" t="str">
        <f t="shared" si="6"/>
        <v>商业繁华度</v>
      </c>
      <c r="R15" s="774" t="s">
        <v>17</v>
      </c>
      <c r="S15" s="775">
        <f t="shared" si="0"/>
        <v>100</v>
      </c>
      <c r="T15" s="774" t="s">
        <v>17</v>
      </c>
      <c r="U15" s="775">
        <f t="shared" si="1"/>
        <v>100</v>
      </c>
      <c r="V15" s="774" t="s">
        <v>17</v>
      </c>
      <c r="W15" s="775">
        <f t="shared" si="2"/>
        <v>100</v>
      </c>
      <c r="X15" s="1812"/>
      <c r="Y15" s="3172" t="s">
        <v>2508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180"/>
      <c r="Q16" s="1809"/>
      <c r="R16" s="774"/>
      <c r="S16" s="775"/>
      <c r="T16" s="774"/>
      <c r="U16" s="775"/>
      <c r="V16" s="774"/>
      <c r="W16" s="775"/>
      <c r="X16" s="1812"/>
      <c r="Y16" s="3173"/>
      <c r="Z16" s="1813"/>
      <c r="AA16" s="1810">
        <v>1</v>
      </c>
      <c r="AB16" s="1810">
        <v>1</v>
      </c>
      <c r="AC16" s="1810">
        <v>1</v>
      </c>
    </row>
    <row r="17" spans="1:29" ht="85.5">
      <c r="A17" s="428"/>
      <c r="B17" s="451" t="s">
        <v>2049</v>
      </c>
      <c r="C17" s="2609" t="str">
        <f>估价对象房地状况!C6</f>
        <v>估价对象周边道路状况一般、公共交通通达情况一般、停车便捷程度一般，周边有开发区2路等公交线路，综合评价交通便捷度一般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0"/>
      <c r="Q17" s="1809" t="str">
        <f>B17</f>
        <v>交通便捷度</v>
      </c>
      <c r="R17" s="774" t="s">
        <v>17</v>
      </c>
      <c r="S17" s="775">
        <f>F17</f>
        <v>100</v>
      </c>
      <c r="T17" s="774" t="s">
        <v>17</v>
      </c>
      <c r="U17" s="775">
        <f>H17</f>
        <v>100</v>
      </c>
      <c r="V17" s="774" t="s">
        <v>17</v>
      </c>
      <c r="W17" s="775">
        <f>J17</f>
        <v>100</v>
      </c>
      <c r="X17" s="1812"/>
      <c r="Y17" s="3173"/>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180"/>
      <c r="Q18" s="1809"/>
      <c r="R18" s="774"/>
      <c r="S18" s="775"/>
      <c r="T18" s="774"/>
      <c r="U18" s="775"/>
      <c r="V18" s="774"/>
      <c r="W18" s="775"/>
      <c r="X18" s="1812"/>
      <c r="Y18" s="3173"/>
      <c r="Z18" s="1813"/>
      <c r="AA18" s="1810">
        <v>1</v>
      </c>
      <c r="AB18" s="1810">
        <v>1</v>
      </c>
      <c r="AC18" s="1810">
        <v>1</v>
      </c>
    </row>
    <row r="19" spans="1:29" ht="42.75">
      <c r="A19" s="428"/>
      <c r="B19" s="451" t="s">
        <v>2602</v>
      </c>
      <c r="C19" s="2609"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0"/>
      <c r="Q19" s="1809" t="str">
        <f>B19</f>
        <v>公共配套设施</v>
      </c>
      <c r="R19" s="774" t="s">
        <v>17</v>
      </c>
      <c r="S19" s="775">
        <f>F19</f>
        <v>100</v>
      </c>
      <c r="T19" s="774" t="s">
        <v>17</v>
      </c>
      <c r="U19" s="775">
        <f>H19</f>
        <v>100</v>
      </c>
      <c r="V19" s="774" t="s">
        <v>17</v>
      </c>
      <c r="W19" s="775">
        <f>J19</f>
        <v>100</v>
      </c>
      <c r="X19" s="1812"/>
      <c r="Y19" s="3173"/>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180"/>
      <c r="Q20" s="1809"/>
      <c r="R20" s="774"/>
      <c r="S20" s="775"/>
      <c r="T20" s="774"/>
      <c r="U20" s="775"/>
      <c r="V20" s="774"/>
      <c r="W20" s="775"/>
      <c r="X20" s="1812"/>
      <c r="Y20" s="3173"/>
      <c r="Z20" s="1813"/>
      <c r="AA20" s="1810">
        <v>1</v>
      </c>
      <c r="AB20" s="1810">
        <v>1</v>
      </c>
      <c r="AC20" s="1810">
        <v>1</v>
      </c>
    </row>
    <row r="21" spans="1:29" ht="28.5">
      <c r="A21" s="428"/>
      <c r="B21" s="1384" t="s">
        <v>2603</v>
      </c>
      <c r="C21" s="2609"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0"/>
      <c r="Q21" s="1809" t="str">
        <f>B21</f>
        <v>基础设施水平</v>
      </c>
      <c r="R21" s="774" t="s">
        <v>17</v>
      </c>
      <c r="S21" s="775">
        <f>F21</f>
        <v>100</v>
      </c>
      <c r="T21" s="774" t="s">
        <v>17</v>
      </c>
      <c r="U21" s="775">
        <f>H21</f>
        <v>100</v>
      </c>
      <c r="V21" s="774" t="s">
        <v>17</v>
      </c>
      <c r="W21" s="775">
        <f>J21</f>
        <v>100</v>
      </c>
      <c r="X21" s="1812"/>
      <c r="Y21" s="3173"/>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180"/>
      <c r="Q22" s="1809"/>
      <c r="R22" s="774"/>
      <c r="S22" s="775"/>
      <c r="T22" s="774"/>
      <c r="U22" s="775"/>
      <c r="V22" s="774"/>
      <c r="W22" s="775"/>
      <c r="X22" s="1812"/>
      <c r="Y22" s="3173"/>
      <c r="Z22" s="1813"/>
      <c r="AA22" s="1810">
        <v>1</v>
      </c>
      <c r="AB22" s="1810">
        <v>1</v>
      </c>
      <c r="AC22" s="1810">
        <v>1</v>
      </c>
    </row>
    <row r="23" spans="1:29" ht="57">
      <c r="A23" s="428"/>
      <c r="B23" s="451" t="s">
        <v>2052</v>
      </c>
      <c r="C23" s="2666" t="str">
        <f>估价对象房地状况!C9</f>
        <v>区域自然环境一般；人文环境一般；综合评价环境状况一般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0"/>
      <c r="Q23" s="1809" t="str">
        <f>B23</f>
        <v>自然及人文环境</v>
      </c>
      <c r="R23" s="774" t="s">
        <v>17</v>
      </c>
      <c r="S23" s="775">
        <f>F23</f>
        <v>100</v>
      </c>
      <c r="T23" s="774" t="s">
        <v>17</v>
      </c>
      <c r="U23" s="775">
        <f>H23</f>
        <v>100</v>
      </c>
      <c r="V23" s="774" t="s">
        <v>17</v>
      </c>
      <c r="W23" s="775">
        <f>J23</f>
        <v>100</v>
      </c>
      <c r="X23" s="1812"/>
      <c r="Y23" s="3173"/>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180"/>
      <c r="Q24" s="1809"/>
      <c r="R24" s="774"/>
      <c r="S24" s="775"/>
      <c r="T24" s="774"/>
      <c r="U24" s="775"/>
      <c r="V24" s="774"/>
      <c r="W24" s="775"/>
      <c r="X24" s="1812"/>
      <c r="Y24" s="3173"/>
      <c r="Z24" s="1813"/>
      <c r="AA24" s="1810">
        <v>1</v>
      </c>
      <c r="AB24" s="1810">
        <v>1</v>
      </c>
      <c r="AC24" s="1810">
        <v>1</v>
      </c>
    </row>
    <row r="25" spans="1:29" ht="15">
      <c r="A25" s="428"/>
      <c r="B25" s="422" t="s">
        <v>2604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0"/>
      <c r="Q25" s="1809" t="str">
        <f t="shared" ref="Q25:Q46" si="11">B25</f>
        <v>临街状况</v>
      </c>
      <c r="R25" s="774" t="s">
        <v>17</v>
      </c>
      <c r="S25" s="775">
        <f>F25</f>
        <v>100</v>
      </c>
      <c r="T25" s="774" t="s">
        <v>17</v>
      </c>
      <c r="U25" s="775">
        <f>H25</f>
        <v>100</v>
      </c>
      <c r="V25" s="774" t="s">
        <v>17</v>
      </c>
      <c r="W25" s="775">
        <f>J25</f>
        <v>100</v>
      </c>
      <c r="X25" s="1812"/>
      <c r="Y25" s="3173"/>
      <c r="Z25" s="1813" t="str">
        <f>Q25</f>
        <v>临街状况</v>
      </c>
      <c r="AA25" s="1810">
        <f t="shared" si="3"/>
        <v>1</v>
      </c>
      <c r="AB25" s="1810">
        <f t="shared" si="4"/>
        <v>1</v>
      </c>
      <c r="AC25" s="1810">
        <f t="shared" si="5"/>
        <v>1</v>
      </c>
    </row>
    <row r="26" spans="1:29" ht="15">
      <c r="A26" s="428"/>
      <c r="B26" s="1386" t="s">
        <v>2605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0"/>
      <c r="Q26" s="1809" t="str">
        <f t="shared" si="11"/>
        <v>平面位置/可视性</v>
      </c>
      <c r="R26" s="774" t="s">
        <v>17</v>
      </c>
      <c r="S26" s="775">
        <f>F26</f>
        <v>100</v>
      </c>
      <c r="T26" s="774" t="s">
        <v>17</v>
      </c>
      <c r="U26" s="775">
        <f>H26</f>
        <v>100</v>
      </c>
      <c r="V26" s="774" t="s">
        <v>17</v>
      </c>
      <c r="W26" s="775">
        <f>J26</f>
        <v>100</v>
      </c>
      <c r="X26" s="1812"/>
      <c r="Y26" s="3173"/>
      <c r="Z26" s="1813" t="str">
        <f>Q26</f>
        <v>平面位置/可视性</v>
      </c>
      <c r="AA26" s="1810">
        <f t="shared" si="3"/>
        <v>1</v>
      </c>
      <c r="AB26" s="1810">
        <f t="shared" si="4"/>
        <v>1</v>
      </c>
      <c r="AC26" s="1810">
        <f t="shared" si="5"/>
        <v>1</v>
      </c>
    </row>
    <row r="27" spans="1:29" s="117" customFormat="1" ht="15">
      <c r="A27" s="431"/>
      <c r="B27" s="451" t="s">
        <v>2606</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180"/>
      <c r="Q27" s="1794" t="str">
        <f t="shared" si="11"/>
        <v>人流量</v>
      </c>
      <c r="R27" s="770" t="s">
        <v>17</v>
      </c>
      <c r="S27" s="771">
        <f>F27</f>
        <v>100</v>
      </c>
      <c r="T27" s="770" t="s">
        <v>17</v>
      </c>
      <c r="U27" s="771">
        <f>H27</f>
        <v>100</v>
      </c>
      <c r="V27" s="770" t="s">
        <v>17</v>
      </c>
      <c r="W27" s="771">
        <f>J27</f>
        <v>100</v>
      </c>
      <c r="X27" s="772"/>
      <c r="Y27" s="3173"/>
      <c r="Z27" s="55" t="str">
        <f>Q27</f>
        <v>人流量</v>
      </c>
      <c r="AA27" s="1810">
        <f>D27/F27</f>
        <v>1</v>
      </c>
      <c r="AB27" s="1810">
        <f>D27/H27</f>
        <v>1</v>
      </c>
      <c r="AC27" s="1810">
        <f>D27/J27</f>
        <v>1</v>
      </c>
    </row>
    <row r="28" spans="1:29" ht="15">
      <c r="A28" s="428"/>
      <c r="B28" s="422" t="s">
        <v>2607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0"/>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3"/>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0"/>
      <c r="Q29" s="1809">
        <f t="shared" si="11"/>
        <v>111</v>
      </c>
      <c r="R29" s="774" t="s">
        <v>17</v>
      </c>
      <c r="S29" s="775">
        <f t="shared" si="12"/>
        <v>100</v>
      </c>
      <c r="T29" s="774" t="s">
        <v>17</v>
      </c>
      <c r="U29" s="775">
        <f t="shared" si="13"/>
        <v>100</v>
      </c>
      <c r="V29" s="774" t="s">
        <v>17</v>
      </c>
      <c r="W29" s="775">
        <f t="shared" si="14"/>
        <v>100</v>
      </c>
      <c r="X29" s="1812"/>
      <c r="Y29" s="3173"/>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0"/>
      <c r="Q30" s="1809">
        <f t="shared" si="11"/>
        <v>111</v>
      </c>
      <c r="R30" s="774" t="s">
        <v>17</v>
      </c>
      <c r="S30" s="775">
        <f t="shared" si="12"/>
        <v>100</v>
      </c>
      <c r="T30" s="774" t="s">
        <v>17</v>
      </c>
      <c r="U30" s="775">
        <f t="shared" si="13"/>
        <v>100</v>
      </c>
      <c r="V30" s="774" t="s">
        <v>17</v>
      </c>
      <c r="W30" s="775">
        <f t="shared" si="14"/>
        <v>100</v>
      </c>
      <c r="X30" s="1812"/>
      <c r="Y30" s="3173"/>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0"/>
      <c r="Q31" s="1809">
        <f t="shared" si="11"/>
        <v>111</v>
      </c>
      <c r="R31" s="774" t="s">
        <v>17</v>
      </c>
      <c r="S31" s="775">
        <f t="shared" si="12"/>
        <v>100</v>
      </c>
      <c r="T31" s="774" t="s">
        <v>17</v>
      </c>
      <c r="U31" s="775">
        <f t="shared" si="13"/>
        <v>100</v>
      </c>
      <c r="V31" s="774" t="s">
        <v>17</v>
      </c>
      <c r="W31" s="775">
        <f t="shared" si="14"/>
        <v>100</v>
      </c>
      <c r="X31" s="1812"/>
      <c r="Y31" s="3173"/>
      <c r="Z31" s="1813">
        <f t="shared" si="15"/>
        <v>111</v>
      </c>
      <c r="AA31" s="1810">
        <f t="shared" si="3"/>
        <v>1</v>
      </c>
      <c r="AB31" s="1810">
        <f t="shared" si="4"/>
        <v>1</v>
      </c>
      <c r="AC31" s="1810">
        <f t="shared" si="5"/>
        <v>1</v>
      </c>
    </row>
    <row r="32" spans="1:29" ht="15">
      <c r="A32" s="440" t="s">
        <v>2511</v>
      </c>
      <c r="B32" s="71" t="s">
        <v>2608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174" t="s">
        <v>2513</v>
      </c>
      <c r="Q32" s="1809" t="str">
        <f t="shared" si="11"/>
        <v>商业类型</v>
      </c>
      <c r="R32" s="774" t="s">
        <v>17</v>
      </c>
      <c r="S32" s="775">
        <f t="shared" si="12"/>
        <v>100</v>
      </c>
      <c r="T32" s="774" t="s">
        <v>17</v>
      </c>
      <c r="U32" s="775">
        <f t="shared" si="13"/>
        <v>100</v>
      </c>
      <c r="V32" s="774" t="s">
        <v>17</v>
      </c>
      <c r="W32" s="775">
        <f t="shared" si="14"/>
        <v>100</v>
      </c>
      <c r="X32" s="1812"/>
      <c r="Y32" s="3177" t="s">
        <v>2513</v>
      </c>
      <c r="Z32" s="1813" t="str">
        <f t="shared" si="15"/>
        <v>商业类型</v>
      </c>
      <c r="AA32" s="1810">
        <f t="shared" si="3"/>
        <v>1</v>
      </c>
      <c r="AB32" s="1810">
        <f t="shared" si="4"/>
        <v>1</v>
      </c>
      <c r="AC32" s="1810">
        <f t="shared" si="5"/>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5"/>
      <c r="Q33" s="776" t="str">
        <f t="shared" si="11"/>
        <v>项目建筑规模</v>
      </c>
      <c r="R33" s="777" t="s">
        <v>17</v>
      </c>
      <c r="S33" s="778" t="e">
        <f t="shared" si="12"/>
        <v>#N/A</v>
      </c>
      <c r="T33" s="777" t="s">
        <v>17</v>
      </c>
      <c r="U33" s="778" t="e">
        <f t="shared" si="13"/>
        <v>#N/A</v>
      </c>
      <c r="V33" s="777" t="s">
        <v>17</v>
      </c>
      <c r="W33" s="778" t="e">
        <f t="shared" si="14"/>
        <v>#N/A</v>
      </c>
      <c r="X33" s="779"/>
      <c r="Y33" s="3177"/>
      <c r="Z33" s="780" t="str">
        <f t="shared" si="15"/>
        <v>项目建筑规模</v>
      </c>
      <c r="AA33" s="1810" t="e">
        <f t="shared" si="3"/>
        <v>#N/A</v>
      </c>
      <c r="AB33" s="1810" t="e">
        <f t="shared" si="4"/>
        <v>#N/A</v>
      </c>
      <c r="AC33" s="1810" t="e">
        <f t="shared" si="5"/>
        <v>#N/A</v>
      </c>
    </row>
    <row r="34" spans="1:29" ht="15">
      <c r="A34" s="472"/>
      <c r="B34" s="422" t="s">
        <v>2515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175"/>
      <c r="Q34" s="1809" t="str">
        <f t="shared" si="11"/>
        <v>建筑结构</v>
      </c>
      <c r="R34" s="774" t="s">
        <v>17</v>
      </c>
      <c r="S34" s="775">
        <f t="shared" si="12"/>
        <v>100</v>
      </c>
      <c r="T34" s="774" t="s">
        <v>17</v>
      </c>
      <c r="U34" s="775">
        <f t="shared" si="13"/>
        <v>100</v>
      </c>
      <c r="V34" s="774" t="s">
        <v>17</v>
      </c>
      <c r="W34" s="775">
        <f t="shared" si="14"/>
        <v>100</v>
      </c>
      <c r="X34" s="1812"/>
      <c r="Y34" s="3177"/>
      <c r="Z34" s="1813" t="str">
        <f t="shared" si="15"/>
        <v>建筑结构</v>
      </c>
      <c r="AA34" s="1810">
        <f t="shared" si="3"/>
        <v>1</v>
      </c>
      <c r="AB34" s="1810">
        <f t="shared" si="4"/>
        <v>1</v>
      </c>
      <c r="AC34" s="1810">
        <f t="shared" si="5"/>
        <v>1</v>
      </c>
    </row>
    <row r="35" spans="1:29" ht="15">
      <c r="A35" s="472"/>
      <c r="B35" s="422" t="s">
        <v>2609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175"/>
      <c r="Q35" s="1809" t="str">
        <f t="shared" si="11"/>
        <v>公共部分装修</v>
      </c>
      <c r="R35" s="774" t="s">
        <v>17</v>
      </c>
      <c r="S35" s="775">
        <f t="shared" si="12"/>
        <v>100</v>
      </c>
      <c r="T35" s="774" t="s">
        <v>17</v>
      </c>
      <c r="U35" s="775">
        <f t="shared" si="13"/>
        <v>100</v>
      </c>
      <c r="V35" s="774" t="s">
        <v>17</v>
      </c>
      <c r="W35" s="775">
        <f t="shared" si="14"/>
        <v>100</v>
      </c>
      <c r="X35" s="1812"/>
      <c r="Y35" s="3177"/>
      <c r="Z35" s="1813" t="str">
        <f t="shared" si="15"/>
        <v>公共部分装修</v>
      </c>
      <c r="AA35" s="1810">
        <f t="shared" si="3"/>
        <v>1</v>
      </c>
      <c r="AB35" s="1810">
        <f t="shared" si="4"/>
        <v>1</v>
      </c>
      <c r="AC35" s="1810">
        <f t="shared" si="5"/>
        <v>1</v>
      </c>
    </row>
    <row r="36" spans="1:29" ht="15">
      <c r="A36" s="472"/>
      <c r="B36" s="422" t="s">
        <v>2610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5"/>
      <c r="Q36" s="1809" t="str">
        <f t="shared" si="11"/>
        <v>成新度</v>
      </c>
      <c r="R36" s="774" t="s">
        <v>17</v>
      </c>
      <c r="S36" s="775" t="e">
        <f t="shared" si="12"/>
        <v>#N/A</v>
      </c>
      <c r="T36" s="774" t="s">
        <v>17</v>
      </c>
      <c r="U36" s="775" t="e">
        <f t="shared" si="13"/>
        <v>#N/A</v>
      </c>
      <c r="V36" s="774" t="s">
        <v>17</v>
      </c>
      <c r="W36" s="775" t="e">
        <f t="shared" si="14"/>
        <v>#N/A</v>
      </c>
      <c r="X36" s="1812"/>
      <c r="Y36" s="3177"/>
      <c r="Z36" s="1813" t="str">
        <f t="shared" si="15"/>
        <v>成新度</v>
      </c>
      <c r="AA36" s="1810" t="e">
        <f t="shared" si="3"/>
        <v>#N/A</v>
      </c>
      <c r="AB36" s="1810" t="e">
        <f t="shared" si="4"/>
        <v>#N/A</v>
      </c>
      <c r="AC36" s="1810" t="e">
        <f t="shared" si="5"/>
        <v>#N/A</v>
      </c>
    </row>
    <row r="37" spans="1:29" s="117" customFormat="1" ht="15">
      <c r="A37" s="473"/>
      <c r="B37" s="422" t="s">
        <v>2611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175"/>
      <c r="Q37" s="1794" t="str">
        <f t="shared" si="11"/>
        <v>市政基础设施</v>
      </c>
      <c r="R37" s="770" t="s">
        <v>17</v>
      </c>
      <c r="S37" s="771">
        <f t="shared" si="12"/>
        <v>100</v>
      </c>
      <c r="T37" s="770" t="s">
        <v>17</v>
      </c>
      <c r="U37" s="771">
        <f t="shared" si="13"/>
        <v>100</v>
      </c>
      <c r="V37" s="770" t="s">
        <v>17</v>
      </c>
      <c r="W37" s="771">
        <f t="shared" si="14"/>
        <v>100</v>
      </c>
      <c r="X37" s="772"/>
      <c r="Y37" s="3177"/>
      <c r="Z37" s="55" t="str">
        <f t="shared" si="15"/>
        <v>市政基础设施</v>
      </c>
      <c r="AA37" s="773">
        <f t="shared" si="3"/>
        <v>1</v>
      </c>
      <c r="AB37" s="773">
        <f t="shared" si="4"/>
        <v>1</v>
      </c>
      <c r="AC37" s="773">
        <f t="shared" si="5"/>
        <v>1</v>
      </c>
    </row>
    <row r="38" spans="1:29" ht="15">
      <c r="A38" s="472"/>
      <c r="B38" s="422" t="s">
        <v>2612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175" t="s">
        <v>2513</v>
      </c>
      <c r="Q38" s="1809" t="str">
        <f t="shared" si="11"/>
        <v>业态</v>
      </c>
      <c r="R38" s="774" t="s">
        <v>17</v>
      </c>
      <c r="S38" s="775">
        <f t="shared" si="12"/>
        <v>100</v>
      </c>
      <c r="T38" s="774" t="s">
        <v>17</v>
      </c>
      <c r="U38" s="775">
        <f t="shared" si="13"/>
        <v>100</v>
      </c>
      <c r="V38" s="774" t="s">
        <v>17</v>
      </c>
      <c r="W38" s="775">
        <f t="shared" si="14"/>
        <v>100</v>
      </c>
      <c r="X38" s="1812"/>
      <c r="Y38" s="3177" t="s">
        <v>2513</v>
      </c>
      <c r="Z38" s="1813" t="str">
        <f t="shared" si="15"/>
        <v>业态</v>
      </c>
      <c r="AA38" s="1810">
        <f t="shared" si="3"/>
        <v>1</v>
      </c>
      <c r="AB38" s="1810">
        <f t="shared" si="4"/>
        <v>1</v>
      </c>
      <c r="AC38" s="1810">
        <f t="shared" si="5"/>
        <v>1</v>
      </c>
    </row>
    <row r="39" spans="1:29" ht="15">
      <c r="A39" s="472"/>
      <c r="B39" s="422" t="s">
        <v>2613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175"/>
      <c r="Q39" s="1809" t="str">
        <f t="shared" si="11"/>
        <v>层高</v>
      </c>
      <c r="R39" s="774" t="s">
        <v>17</v>
      </c>
      <c r="S39" s="775">
        <f t="shared" si="12"/>
        <v>100</v>
      </c>
      <c r="T39" s="774" t="s">
        <v>17</v>
      </c>
      <c r="U39" s="775">
        <f t="shared" si="13"/>
        <v>100</v>
      </c>
      <c r="V39" s="774" t="s">
        <v>17</v>
      </c>
      <c r="W39" s="775">
        <f t="shared" si="14"/>
        <v>100</v>
      </c>
      <c r="X39" s="1812"/>
      <c r="Y39" s="3177"/>
      <c r="Z39" s="1813" t="str">
        <f t="shared" si="15"/>
        <v>层高</v>
      </c>
      <c r="AA39" s="1810">
        <f t="shared" si="3"/>
        <v>1</v>
      </c>
      <c r="AB39" s="1810">
        <f t="shared" si="4"/>
        <v>1</v>
      </c>
      <c r="AC39" s="1810">
        <f t="shared" si="5"/>
        <v>1</v>
      </c>
    </row>
    <row r="40" spans="1:29" ht="15">
      <c r="A40" s="472"/>
      <c r="B40" s="422" t="s">
        <v>2614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5"/>
      <c r="Q40" s="1809" t="str">
        <f t="shared" si="11"/>
        <v>单套建筑面积</v>
      </c>
      <c r="R40" s="774" t="s">
        <v>17</v>
      </c>
      <c r="S40" s="775">
        <f t="shared" si="12"/>
        <v>100</v>
      </c>
      <c r="T40" s="774" t="s">
        <v>17</v>
      </c>
      <c r="U40" s="775">
        <f t="shared" si="13"/>
        <v>100</v>
      </c>
      <c r="V40" s="774" t="s">
        <v>17</v>
      </c>
      <c r="W40" s="775">
        <f t="shared" si="14"/>
        <v>100</v>
      </c>
      <c r="X40" s="1812"/>
      <c r="Y40" s="3177"/>
      <c r="Z40" s="1813" t="str">
        <f t="shared" si="15"/>
        <v>单套建筑面积</v>
      </c>
      <c r="AA40" s="1810">
        <f t="shared" si="3"/>
        <v>1</v>
      </c>
      <c r="AB40" s="1810">
        <f t="shared" si="4"/>
        <v>1</v>
      </c>
      <c r="AC40" s="1810">
        <f t="shared" si="5"/>
        <v>1</v>
      </c>
    </row>
    <row r="41" spans="1:29" s="471" customFormat="1" ht="15">
      <c r="A41" s="468"/>
      <c r="B41" s="1811" t="s">
        <v>2615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5"/>
      <c r="Q41" s="776" t="str">
        <f t="shared" si="11"/>
        <v>进深比</v>
      </c>
      <c r="R41" s="777" t="s">
        <v>17</v>
      </c>
      <c r="S41" s="778">
        <f t="shared" si="12"/>
        <v>100</v>
      </c>
      <c r="T41" s="777" t="s">
        <v>17</v>
      </c>
      <c r="U41" s="778">
        <f t="shared" si="13"/>
        <v>100</v>
      </c>
      <c r="V41" s="777" t="s">
        <v>17</v>
      </c>
      <c r="W41" s="778">
        <f t="shared" si="14"/>
        <v>100</v>
      </c>
      <c r="X41" s="779"/>
      <c r="Y41" s="3177"/>
      <c r="Z41" s="780" t="str">
        <f t="shared" si="15"/>
        <v>进深比</v>
      </c>
      <c r="AA41" s="1810">
        <f t="shared" si="3"/>
        <v>1</v>
      </c>
      <c r="AB41" s="1810">
        <f t="shared" si="4"/>
        <v>1</v>
      </c>
      <c r="AC41" s="1810">
        <f t="shared" si="5"/>
        <v>1</v>
      </c>
    </row>
    <row r="42" spans="1:29" ht="15">
      <c r="A42" s="472"/>
      <c r="B42" s="422" t="s">
        <v>2616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175"/>
      <c r="Q42" s="1809" t="str">
        <f t="shared" si="11"/>
        <v>内部装修</v>
      </c>
      <c r="R42" s="774" t="s">
        <v>17</v>
      </c>
      <c r="S42" s="775">
        <f t="shared" si="12"/>
        <v>100</v>
      </c>
      <c r="T42" s="774" t="s">
        <v>17</v>
      </c>
      <c r="U42" s="775">
        <f t="shared" si="13"/>
        <v>100</v>
      </c>
      <c r="V42" s="774" t="s">
        <v>17</v>
      </c>
      <c r="W42" s="775">
        <f t="shared" si="14"/>
        <v>100</v>
      </c>
      <c r="X42" s="1812"/>
      <c r="Y42" s="3177"/>
      <c r="Z42" s="1813" t="str">
        <f t="shared" si="15"/>
        <v>内部装修</v>
      </c>
      <c r="AA42" s="1810">
        <f t="shared" si="3"/>
        <v>1</v>
      </c>
      <c r="AB42" s="1810">
        <f t="shared" si="4"/>
        <v>1</v>
      </c>
      <c r="AC42" s="1810">
        <f t="shared" si="5"/>
        <v>1</v>
      </c>
    </row>
    <row r="43" spans="1:29" ht="15">
      <c r="A43" s="472"/>
      <c r="B43" s="422" t="s">
        <v>2524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175"/>
      <c r="Q43" s="1809" t="str">
        <f t="shared" si="11"/>
        <v>内部装修维护情况</v>
      </c>
      <c r="R43" s="774" t="s">
        <v>17</v>
      </c>
      <c r="S43" s="775">
        <f t="shared" si="12"/>
        <v>100</v>
      </c>
      <c r="T43" s="774" t="s">
        <v>17</v>
      </c>
      <c r="U43" s="775">
        <f t="shared" si="13"/>
        <v>100</v>
      </c>
      <c r="V43" s="774" t="s">
        <v>17</v>
      </c>
      <c r="W43" s="775">
        <f t="shared" si="14"/>
        <v>100</v>
      </c>
      <c r="X43" s="1812"/>
      <c r="Y43" s="317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5"/>
      <c r="Q44" s="1794">
        <f t="shared" si="11"/>
        <v>111</v>
      </c>
      <c r="R44" s="770" t="s">
        <v>17</v>
      </c>
      <c r="S44" s="771">
        <f t="shared" si="12"/>
        <v>100</v>
      </c>
      <c r="T44" s="770" t="s">
        <v>17</v>
      </c>
      <c r="U44" s="771">
        <f t="shared" si="13"/>
        <v>100</v>
      </c>
      <c r="V44" s="770" t="s">
        <v>17</v>
      </c>
      <c r="W44" s="771">
        <f t="shared" si="14"/>
        <v>100</v>
      </c>
      <c r="X44" s="772"/>
      <c r="Y44" s="317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5"/>
      <c r="Q45" s="1809">
        <f t="shared" si="11"/>
        <v>111</v>
      </c>
      <c r="R45" s="774" t="s">
        <v>17</v>
      </c>
      <c r="S45" s="775">
        <f t="shared" si="12"/>
        <v>100</v>
      </c>
      <c r="T45" s="774" t="s">
        <v>17</v>
      </c>
      <c r="U45" s="775">
        <f t="shared" si="13"/>
        <v>100</v>
      </c>
      <c r="V45" s="774" t="s">
        <v>17</v>
      </c>
      <c r="W45" s="775">
        <f t="shared" si="14"/>
        <v>100</v>
      </c>
      <c r="X45" s="1812"/>
      <c r="Y45" s="3177"/>
      <c r="Z45" s="1813">
        <f t="shared" si="15"/>
        <v>111</v>
      </c>
      <c r="AA45" s="1810">
        <f t="shared" si="3"/>
        <v>1</v>
      </c>
      <c r="AB45" s="1810">
        <f t="shared" si="4"/>
        <v>1</v>
      </c>
      <c r="AC45" s="1810">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6"/>
      <c r="Q46" s="1809">
        <f t="shared" si="11"/>
        <v>111</v>
      </c>
      <c r="R46" s="774" t="s">
        <v>17</v>
      </c>
      <c r="S46" s="775">
        <f t="shared" si="12"/>
        <v>100</v>
      </c>
      <c r="T46" s="774" t="s">
        <v>17</v>
      </c>
      <c r="U46" s="775">
        <f t="shared" si="13"/>
        <v>100</v>
      </c>
      <c r="V46" s="774" t="s">
        <v>17</v>
      </c>
      <c r="W46" s="775">
        <f t="shared" si="14"/>
        <v>100</v>
      </c>
      <c r="X46" s="1812"/>
      <c r="Y46" s="3178"/>
      <c r="Z46" s="1813">
        <f t="shared" si="15"/>
        <v>111</v>
      </c>
      <c r="AA46" s="1810">
        <f t="shared" si="3"/>
        <v>1</v>
      </c>
      <c r="AB46" s="1810">
        <f t="shared" si="4"/>
        <v>1</v>
      </c>
      <c r="AC46" s="1810">
        <f t="shared" si="5"/>
        <v>1</v>
      </c>
    </row>
    <row r="47" spans="1:29" ht="15">
      <c r="A47" s="479" t="s">
        <v>2525</v>
      </c>
      <c r="B47" s="480"/>
      <c r="C47" s="1407" t="s">
        <v>1</v>
      </c>
      <c r="D47" s="1408"/>
      <c r="E47" s="1409"/>
      <c r="F47" s="1410"/>
      <c r="G47" s="1411"/>
      <c r="H47" s="1412"/>
      <c r="I47" s="1409"/>
      <c r="J47" s="1412"/>
      <c r="K47" s="783"/>
      <c r="L47" s="1143"/>
      <c r="M47" s="1144"/>
      <c r="N47" s="1131"/>
      <c r="O47" s="1144"/>
      <c r="P47" s="3170" t="str">
        <f>A47</f>
        <v>成交单价（元/平方米）</v>
      </c>
      <c r="Q47" s="3170"/>
      <c r="R47" s="3201">
        <f>E47</f>
        <v>0</v>
      </c>
      <c r="S47" s="3201"/>
      <c r="T47" s="3201">
        <f>G47</f>
        <v>0</v>
      </c>
      <c r="U47" s="3201"/>
      <c r="V47" s="3201">
        <f>I47</f>
        <v>0</v>
      </c>
      <c r="W47" s="3201"/>
      <c r="X47" s="759"/>
      <c r="Y47" s="781"/>
      <c r="Z47" s="759"/>
      <c r="AA47" s="759"/>
      <c r="AB47" s="759"/>
      <c r="AC47" s="759"/>
    </row>
    <row r="48" spans="1:29" ht="15.75" thickBot="1">
      <c r="A48" s="486" t="s">
        <v>2617</v>
      </c>
      <c r="B48" s="487"/>
      <c r="C48" s="1413" t="e">
        <f>R49</f>
        <v>#DIV/0!</v>
      </c>
      <c r="D48" s="1414"/>
      <c r="E48" s="1415" t="e">
        <f>R48</f>
        <v>#DIV/0!</v>
      </c>
      <c r="F48" s="1415"/>
      <c r="G48" s="1413" t="e">
        <f>T48</f>
        <v>#DIV/0!</v>
      </c>
      <c r="H48" s="1414"/>
      <c r="I48" s="1415" t="e">
        <f>V48</f>
        <v>#DIV/0!</v>
      </c>
      <c r="J48" s="1414"/>
      <c r="K48" s="784"/>
      <c r="L48" s="1143"/>
      <c r="M48" s="1144"/>
      <c r="N48" s="1131"/>
      <c r="O48" s="1144"/>
      <c r="P48" s="3170" t="str">
        <f>A48</f>
        <v>比较价值（元/平方米）</v>
      </c>
      <c r="Q48" s="3170"/>
      <c r="R48" s="3171" t="e">
        <f>IF(F1="售价",ROUND(PRODUCT(R47,AA7:AA46),0),ROUND(PRODUCT(R47,AA7:AA46),1))</f>
        <v>#DIV/0!</v>
      </c>
      <c r="S48" s="3171"/>
      <c r="T48" s="3171" t="e">
        <f>IF(F1="售价",ROUND(PRODUCT(T47,AB7:AB46),0),ROUND(PRODUCT(T47,AB7:AB46),1))</f>
        <v>#DIV/0!</v>
      </c>
      <c r="U48" s="3171"/>
      <c r="V48" s="3171" t="e">
        <f>IF(F1="售价",ROUND(PRODUCT(V47,AC7:AC46),0),ROUND(PRODUCT(V47,AC7:AC46),1))</f>
        <v>#DIV/0!</v>
      </c>
      <c r="W48" s="3171"/>
      <c r="X48" s="759"/>
      <c r="Y48" s="759"/>
      <c r="Z48" s="759"/>
      <c r="AA48" s="759"/>
      <c r="AB48" s="759"/>
      <c r="AC48" s="759"/>
    </row>
    <row r="49" spans="1:29" ht="15.75" thickBot="1">
      <c r="A49" s="492" t="s">
        <v>2618</v>
      </c>
      <c r="B49" s="493"/>
      <c r="C49" s="1417" t="e">
        <f>R49</f>
        <v>#DIV/0!</v>
      </c>
      <c r="D49" s="1417"/>
      <c r="E49" s="1417"/>
      <c r="F49" s="1417"/>
      <c r="G49" s="1417"/>
      <c r="H49" s="1417"/>
      <c r="I49" s="1417"/>
      <c r="J49" s="1417"/>
      <c r="K49" s="785"/>
      <c r="L49" s="1143"/>
      <c r="M49" s="1144"/>
      <c r="N49" s="1131"/>
      <c r="O49" s="1144"/>
      <c r="P49" s="3167" t="str">
        <f>A49</f>
        <v>估价对象XX用房的比较价值（楼面单价，元/平方米）</v>
      </c>
      <c r="Q49" s="3168"/>
      <c r="R49" s="3169" t="e">
        <f>IF(F1="售价",ROUND(AVERAGE(R48:V48),0),ROUND(AVERAGE(R48:V48),1))</f>
        <v>#DIV/0!</v>
      </c>
      <c r="S49" s="3169"/>
      <c r="T49" s="3169"/>
      <c r="U49" s="3169"/>
      <c r="V49" s="3169"/>
      <c r="W49" s="316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2619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2622</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2496</v>
      </c>
      <c r="B58" s="506"/>
      <c r="C58" s="1573" t="str">
        <f>YEAR(C7)&amp;"-"&amp;MONTH(C7)</f>
        <v>2019-3</v>
      </c>
      <c r="D58" s="1574">
        <f>EDATE(C58,-1)</f>
        <v>43497</v>
      </c>
      <c r="E58" s="1574">
        <f t="shared" ref="E58:N58" si="16">EDATE(D58,-1)</f>
        <v>43466</v>
      </c>
      <c r="F58" s="1574">
        <f t="shared" si="16"/>
        <v>43435</v>
      </c>
      <c r="G58" s="1574">
        <f t="shared" si="16"/>
        <v>43405</v>
      </c>
      <c r="H58" s="1574">
        <f t="shared" si="16"/>
        <v>43374</v>
      </c>
      <c r="I58" s="1574">
        <f t="shared" si="16"/>
        <v>43344</v>
      </c>
      <c r="J58" s="1574">
        <f t="shared" si="16"/>
        <v>43313</v>
      </c>
      <c r="K58" s="1574">
        <f t="shared" si="16"/>
        <v>43282</v>
      </c>
      <c r="L58" s="1574">
        <f t="shared" si="16"/>
        <v>43252</v>
      </c>
      <c r="M58" s="1574">
        <f t="shared" si="16"/>
        <v>43221</v>
      </c>
      <c r="N58" s="1574">
        <f t="shared" si="16"/>
        <v>43191</v>
      </c>
      <c r="O58" s="1574">
        <f>EDATE(N58,-1)</f>
        <v>43160</v>
      </c>
      <c r="P58" s="1569"/>
    </row>
    <row r="59" spans="1:29" s="117" customFormat="1" ht="15">
      <c r="A59" s="509"/>
      <c r="B59" s="510"/>
      <c r="C59" s="1572">
        <v>100</v>
      </c>
      <c r="D59" s="512"/>
      <c r="E59" s="512"/>
      <c r="F59" s="512"/>
      <c r="G59" s="512"/>
      <c r="H59" s="512"/>
      <c r="I59" s="512"/>
      <c r="J59" s="512"/>
      <c r="K59" s="512"/>
      <c r="L59" s="512"/>
      <c r="M59" s="513"/>
      <c r="N59" s="512"/>
      <c r="O59" s="513"/>
      <c r="P59" s="2630"/>
    </row>
    <row r="60" spans="1:29" s="117" customFormat="1" ht="15.75" thickBot="1">
      <c r="A60" s="515" t="s">
        <v>2533</v>
      </c>
      <c r="B60" s="516"/>
      <c r="C60" s="517"/>
      <c r="D60" s="518"/>
      <c r="E60" s="518"/>
      <c r="F60" s="518"/>
      <c r="G60" s="518"/>
      <c r="H60" s="518"/>
      <c r="I60" s="518"/>
      <c r="J60" s="518"/>
      <c r="K60" s="518"/>
      <c r="L60" s="518"/>
      <c r="M60" s="519"/>
      <c r="N60" s="518"/>
      <c r="O60" s="519"/>
      <c r="P60" s="2630"/>
      <c r="Q60" s="504"/>
    </row>
    <row r="61" spans="1:29" s="117" customFormat="1" ht="15">
      <c r="A61" s="521" t="s">
        <v>2498</v>
      </c>
      <c r="B61" s="510"/>
      <c r="C61" s="522" t="s">
        <v>2600</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2536</v>
      </c>
      <c r="B63" s="528" t="s">
        <v>2502</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2506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2603</v>
      </c>
      <c r="C82" s="660" t="s">
        <v>2623</v>
      </c>
      <c r="D82" s="660" t="s">
        <v>2624</v>
      </c>
      <c r="E82" s="660" t="s">
        <v>2625</v>
      </c>
      <c r="F82" s="660" t="s">
        <v>2626</v>
      </c>
      <c r="G82" s="660" t="s">
        <v>2627</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2628</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2511</v>
      </c>
      <c r="B100" s="528" t="s">
        <v>2629</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2561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2564</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2566</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2630</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2631</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2632</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2633</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2476</v>
      </c>
      <c r="B1" s="2671" t="s">
        <v>2650</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IF(C2="——",ROUND(C43*D3/10000,0),ROUND(C43*D3/10000,0)-D2)</f>
        <v>#DIV/0!</v>
      </c>
      <c r="C2" s="2588"/>
      <c r="D2" s="1124"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2280</v>
      </c>
      <c r="B3" s="609" t="e">
        <f ca="1">IF(C2="——",C43,ROUND(B2*10000/D3,0))</f>
        <v>#DIV/0!</v>
      </c>
      <c r="C3" s="400" t="s">
        <v>2592</v>
      </c>
      <c r="D3" s="399">
        <f>IF(D1="",'数据-汇总表'!E3,SUMIF('数据-汇总表'!$C19:$C33,D1,'数据-汇总表'!$E19:$E33))</f>
        <v>272582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5" t="s">
        <v>2594</v>
      </c>
      <c r="D4" s="3186"/>
      <c r="E4" s="3187" t="s">
        <v>2595</v>
      </c>
      <c r="F4" s="3188"/>
      <c r="G4" s="3185" t="s">
        <v>2596</v>
      </c>
      <c r="H4" s="3186"/>
      <c r="I4" s="3185" t="s">
        <v>2597</v>
      </c>
      <c r="J4" s="3186"/>
      <c r="K4" s="610" t="s">
        <v>2598</v>
      </c>
      <c r="L4" s="1130"/>
      <c r="M4" s="1131"/>
      <c r="N4" s="1131"/>
      <c r="O4" s="1131"/>
      <c r="P4" s="3189" t="s">
        <v>2599</v>
      </c>
      <c r="Q4" s="3190"/>
      <c r="R4" s="3195" t="s">
        <v>2595</v>
      </c>
      <c r="S4" s="3196"/>
      <c r="T4" s="3195" t="s">
        <v>2596</v>
      </c>
      <c r="U4" s="3196"/>
      <c r="V4" s="3201" t="s">
        <v>2597</v>
      </c>
      <c r="W4" s="3201"/>
      <c r="X4" s="1812"/>
      <c r="Y4" s="3195" t="s">
        <v>2599</v>
      </c>
      <c r="Z4" s="3196"/>
      <c r="AA4" s="3182" t="s">
        <v>2595</v>
      </c>
      <c r="AB4" s="3183" t="s">
        <v>2596</v>
      </c>
      <c r="AC4" s="3182" t="s">
        <v>2597</v>
      </c>
    </row>
    <row r="5" spans="1:29" ht="15">
      <c r="A5" s="404"/>
      <c r="B5" s="405"/>
      <c r="C5" s="3204" t="s">
        <v>2490</v>
      </c>
      <c r="D5" s="3205"/>
      <c r="E5" s="3211" t="s">
        <v>2491</v>
      </c>
      <c r="F5" s="3212"/>
      <c r="G5" s="3204" t="s">
        <v>2492</v>
      </c>
      <c r="H5" s="3205"/>
      <c r="I5" s="3204" t="s">
        <v>2493</v>
      </c>
      <c r="J5" s="3205"/>
      <c r="K5" s="610"/>
      <c r="L5" s="1130"/>
      <c r="M5" s="1131"/>
      <c r="N5" s="1131"/>
      <c r="O5" s="1131"/>
      <c r="P5" s="3191"/>
      <c r="Q5" s="3192"/>
      <c r="R5" s="3197"/>
      <c r="S5" s="3198"/>
      <c r="T5" s="3197"/>
      <c r="U5" s="3198"/>
      <c r="V5" s="3201"/>
      <c r="W5" s="3201"/>
      <c r="X5" s="1812"/>
      <c r="Y5" s="3197"/>
      <c r="Z5" s="3198"/>
      <c r="AA5" s="3183"/>
      <c r="AB5" s="3183"/>
      <c r="AC5" s="3183"/>
    </row>
    <row r="6" spans="1:29" ht="15.75" thickBot="1">
      <c r="A6" s="406"/>
      <c r="B6" s="407"/>
      <c r="C6" s="3202" t="s">
        <v>2494</v>
      </c>
      <c r="D6" s="3203"/>
      <c r="E6" s="3209" t="s">
        <v>2494</v>
      </c>
      <c r="F6" s="3210"/>
      <c r="G6" s="3202" t="s">
        <v>2494</v>
      </c>
      <c r="H6" s="3203"/>
      <c r="I6" s="3202" t="s">
        <v>2494</v>
      </c>
      <c r="J6" s="3203"/>
      <c r="K6" s="610" t="s">
        <v>2495</v>
      </c>
      <c r="L6" s="1130"/>
      <c r="M6" s="1131"/>
      <c r="N6" s="1131"/>
      <c r="O6" s="1131"/>
      <c r="P6" s="3193"/>
      <c r="Q6" s="3194"/>
      <c r="R6" s="3197"/>
      <c r="S6" s="3198"/>
      <c r="T6" s="3199"/>
      <c r="U6" s="3200"/>
      <c r="V6" s="3201"/>
      <c r="W6" s="3201"/>
      <c r="X6" s="1812"/>
      <c r="Y6" s="3199"/>
      <c r="Z6" s="3200"/>
      <c r="AA6" s="3184"/>
      <c r="AB6" s="3184"/>
      <c r="AC6" s="3184"/>
    </row>
    <row r="7" spans="1:29" s="117" customFormat="1" ht="15.75" thickBot="1">
      <c r="A7" s="408" t="s">
        <v>2496</v>
      </c>
      <c r="B7" s="409"/>
      <c r="C7" s="410">
        <f>'数据-取费表'!B2</f>
        <v>43537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6" t="s">
        <v>2497</v>
      </c>
      <c r="Q7" s="3208"/>
      <c r="R7" s="770" t="s">
        <v>17</v>
      </c>
      <c r="S7" s="771">
        <f t="shared" ref="S7:S15" si="0">F7</f>
        <v>0</v>
      </c>
      <c r="T7" s="770" t="s">
        <v>17</v>
      </c>
      <c r="U7" s="771">
        <f t="shared" ref="U7:U15" si="1">H7</f>
        <v>0</v>
      </c>
      <c r="V7" s="770" t="s">
        <v>17</v>
      </c>
      <c r="W7" s="771">
        <f t="shared" ref="W7:W15" si="2">J7</f>
        <v>0</v>
      </c>
      <c r="X7" s="772"/>
      <c r="Y7" s="3206" t="s">
        <v>2497</v>
      </c>
      <c r="Z7" s="3207"/>
      <c r="AA7" s="773" t="e">
        <f>D7/F7</f>
        <v>#DIV/0!</v>
      </c>
      <c r="AB7" s="773" t="e">
        <f>D7/H7</f>
        <v>#DIV/0!</v>
      </c>
      <c r="AC7" s="773" t="e">
        <f>D7/J7</f>
        <v>#DIV/0!</v>
      </c>
    </row>
    <row r="8" spans="1:29" s="117" customFormat="1" ht="15.75" thickBot="1">
      <c r="A8" s="408" t="s">
        <v>2498</v>
      </c>
      <c r="B8" s="409"/>
      <c r="C8" s="414" t="s">
        <v>2499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6" t="s">
        <v>2500</v>
      </c>
      <c r="Q8" s="3207"/>
      <c r="R8" s="770" t="s">
        <v>17</v>
      </c>
      <c r="S8" s="771">
        <f t="shared" si="0"/>
        <v>0</v>
      </c>
      <c r="T8" s="770" t="s">
        <v>17</v>
      </c>
      <c r="U8" s="771">
        <f t="shared" si="1"/>
        <v>0</v>
      </c>
      <c r="V8" s="770" t="s">
        <v>17</v>
      </c>
      <c r="W8" s="771">
        <f t="shared" si="2"/>
        <v>0</v>
      </c>
      <c r="X8" s="772"/>
      <c r="Y8" s="3206" t="s">
        <v>2500</v>
      </c>
      <c r="Z8" s="3207"/>
      <c r="AA8" s="773" t="e">
        <f t="shared" ref="AA8:AA40" si="3">D8/F8</f>
        <v>#DIV/0!</v>
      </c>
      <c r="AB8" s="773" t="e">
        <f t="shared" ref="AB8:AB40" si="4">D8/H8</f>
        <v>#DIV/0!</v>
      </c>
      <c r="AC8" s="773" t="e">
        <f t="shared" ref="AC8:AC40" si="5">D8/J8</f>
        <v>#DIV/0!</v>
      </c>
    </row>
    <row r="9" spans="1:29" s="117" customFormat="1">
      <c r="A9" s="415" t="s">
        <v>2501</v>
      </c>
      <c r="B9" s="71" t="s">
        <v>2502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0" t="s">
        <v>2503</v>
      </c>
      <c r="Q9" s="1794" t="str">
        <f t="shared" ref="Q9:Q15" si="6">B9</f>
        <v>用途</v>
      </c>
      <c r="R9" s="770" t="s">
        <v>17</v>
      </c>
      <c r="S9" s="771">
        <f t="shared" si="0"/>
        <v>100</v>
      </c>
      <c r="T9" s="770" t="s">
        <v>17</v>
      </c>
      <c r="U9" s="771">
        <f t="shared" si="1"/>
        <v>100</v>
      </c>
      <c r="V9" s="770" t="s">
        <v>17</v>
      </c>
      <c r="W9" s="771">
        <f t="shared" si="2"/>
        <v>100</v>
      </c>
      <c r="X9" s="772"/>
      <c r="Y9" s="2997" t="s">
        <v>2504</v>
      </c>
      <c r="Z9" s="55" t="str">
        <f t="shared" ref="Z9:Z15" si="7">Q9</f>
        <v>用途</v>
      </c>
      <c r="AA9" s="773">
        <f t="shared" si="3"/>
        <v>1</v>
      </c>
      <c r="AB9" s="773">
        <f t="shared" si="4"/>
        <v>1</v>
      </c>
      <c r="AC9" s="773">
        <f t="shared" si="5"/>
        <v>1</v>
      </c>
    </row>
    <row r="10" spans="1:29" s="427" customFormat="1" ht="27">
      <c r="A10" s="421"/>
      <c r="B10" s="422" t="s">
        <v>2505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0"/>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2506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0"/>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70"/>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70"/>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70"/>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2507</v>
      </c>
      <c r="B15" s="69" t="s">
        <v>2651</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2" t="s">
        <v>2508</v>
      </c>
      <c r="Q15" s="1809" t="str">
        <f t="shared" si="6"/>
        <v>产业集聚程度</v>
      </c>
      <c r="R15" s="774" t="s">
        <v>17</v>
      </c>
      <c r="S15" s="775">
        <f t="shared" si="0"/>
        <v>100</v>
      </c>
      <c r="T15" s="774" t="s">
        <v>17</v>
      </c>
      <c r="U15" s="775">
        <f t="shared" si="1"/>
        <v>100</v>
      </c>
      <c r="V15" s="774" t="s">
        <v>17</v>
      </c>
      <c r="W15" s="775">
        <f t="shared" si="2"/>
        <v>100</v>
      </c>
      <c r="X15" s="1812"/>
      <c r="Y15" s="3172" t="s">
        <v>2508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73"/>
      <c r="Q16" s="1809"/>
      <c r="R16" s="774"/>
      <c r="S16" s="775"/>
      <c r="T16" s="774"/>
      <c r="U16" s="775"/>
      <c r="V16" s="774"/>
      <c r="W16" s="775"/>
      <c r="X16" s="1812"/>
      <c r="Y16" s="3173"/>
      <c r="Z16" s="1813"/>
      <c r="AA16" s="1810">
        <v>1</v>
      </c>
      <c r="AB16" s="1810">
        <v>1</v>
      </c>
      <c r="AC16" s="1810">
        <v>1</v>
      </c>
    </row>
    <row r="17" spans="1:29" ht="85.5">
      <c r="A17" s="428"/>
      <c r="B17" s="451" t="s">
        <v>2049</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3"/>
      <c r="Q17" s="1809" t="str">
        <f>B17</f>
        <v>交通便捷度</v>
      </c>
      <c r="R17" s="774" t="s">
        <v>17</v>
      </c>
      <c r="S17" s="775">
        <f>F17</f>
        <v>100</v>
      </c>
      <c r="T17" s="774" t="s">
        <v>17</v>
      </c>
      <c r="U17" s="775">
        <f>H17</f>
        <v>100</v>
      </c>
      <c r="V17" s="774" t="s">
        <v>17</v>
      </c>
      <c r="W17" s="775">
        <f>J17</f>
        <v>100</v>
      </c>
      <c r="X17" s="1812"/>
      <c r="Y17" s="3173"/>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173"/>
      <c r="Q18" s="1809"/>
      <c r="R18" s="774"/>
      <c r="S18" s="775"/>
      <c r="T18" s="774"/>
      <c r="U18" s="775"/>
      <c r="V18" s="774"/>
      <c r="W18" s="775"/>
      <c r="X18" s="1812"/>
      <c r="Y18" s="3173"/>
      <c r="Z18" s="1813"/>
      <c r="AA18" s="1810">
        <v>1</v>
      </c>
      <c r="AB18" s="1810">
        <v>1</v>
      </c>
      <c r="AC18" s="1810">
        <v>1</v>
      </c>
    </row>
    <row r="19" spans="1:29" ht="42.75">
      <c r="A19" s="428"/>
      <c r="B19" s="451" t="s">
        <v>2636</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3"/>
      <c r="Q19" s="1809" t="str">
        <f>B19</f>
        <v>公共配套设施</v>
      </c>
      <c r="R19" s="774" t="s">
        <v>17</v>
      </c>
      <c r="S19" s="775">
        <f>F19</f>
        <v>100</v>
      </c>
      <c r="T19" s="774" t="s">
        <v>17</v>
      </c>
      <c r="U19" s="775">
        <f>H19</f>
        <v>100</v>
      </c>
      <c r="V19" s="774" t="s">
        <v>17</v>
      </c>
      <c r="W19" s="775">
        <f>J19</f>
        <v>100</v>
      </c>
      <c r="X19" s="1812"/>
      <c r="Y19" s="3173"/>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173"/>
      <c r="Q20" s="1809"/>
      <c r="R20" s="774"/>
      <c r="S20" s="775"/>
      <c r="T20" s="774"/>
      <c r="U20" s="775"/>
      <c r="V20" s="774"/>
      <c r="W20" s="775"/>
      <c r="X20" s="1812"/>
      <c r="Y20" s="3173"/>
      <c r="Z20" s="1813"/>
      <c r="AA20" s="1810">
        <v>1</v>
      </c>
      <c r="AB20" s="1810">
        <v>1</v>
      </c>
      <c r="AC20" s="1810">
        <v>1</v>
      </c>
    </row>
    <row r="21" spans="1:29" ht="28.5">
      <c r="A21" s="428"/>
      <c r="B21" s="1384" t="s">
        <v>2637</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3"/>
      <c r="Q21" s="1809" t="str">
        <f>B21</f>
        <v>基础设施水平</v>
      </c>
      <c r="R21" s="774" t="s">
        <v>17</v>
      </c>
      <c r="S21" s="775">
        <f>F21</f>
        <v>100</v>
      </c>
      <c r="T21" s="774" t="s">
        <v>17</v>
      </c>
      <c r="U21" s="775">
        <f>H21</f>
        <v>100</v>
      </c>
      <c r="V21" s="774" t="s">
        <v>17</v>
      </c>
      <c r="W21" s="775">
        <f>J21</f>
        <v>100</v>
      </c>
      <c r="X21" s="1812"/>
      <c r="Y21" s="3173"/>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173"/>
      <c r="Q22" s="1809"/>
      <c r="R22" s="774"/>
      <c r="S22" s="775"/>
      <c r="T22" s="774"/>
      <c r="U22" s="775"/>
      <c r="V22" s="774"/>
      <c r="W22" s="775"/>
      <c r="X22" s="1812"/>
      <c r="Y22" s="3173"/>
      <c r="Z22" s="1813"/>
      <c r="AA22" s="1810">
        <v>1</v>
      </c>
      <c r="AB22" s="1810">
        <v>1</v>
      </c>
      <c r="AC22" s="1810">
        <v>1</v>
      </c>
    </row>
    <row r="23" spans="1:29" ht="71.25">
      <c r="A23" s="428"/>
      <c r="B23" s="451" t="s">
        <v>2638</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3"/>
      <c r="Q23" s="1809" t="str">
        <f>B23</f>
        <v>环境质量</v>
      </c>
      <c r="R23" s="774" t="s">
        <v>17</v>
      </c>
      <c r="S23" s="775">
        <f>F23</f>
        <v>100</v>
      </c>
      <c r="T23" s="774" t="s">
        <v>17</v>
      </c>
      <c r="U23" s="775">
        <f>H23</f>
        <v>100</v>
      </c>
      <c r="V23" s="774" t="s">
        <v>17</v>
      </c>
      <c r="W23" s="775">
        <f>J23</f>
        <v>100</v>
      </c>
      <c r="X23" s="1812"/>
      <c r="Y23" s="3173"/>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173"/>
      <c r="Q24" s="1809"/>
      <c r="R24" s="774"/>
      <c r="S24" s="775"/>
      <c r="T24" s="774"/>
      <c r="U24" s="775"/>
      <c r="V24" s="774"/>
      <c r="W24" s="775"/>
      <c r="X24" s="1812"/>
      <c r="Y24" s="3173"/>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3"/>
      <c r="Q25" s="1809">
        <f>B25</f>
        <v>111</v>
      </c>
      <c r="R25" s="774" t="s">
        <v>17</v>
      </c>
      <c r="S25" s="775">
        <f>F25</f>
        <v>100</v>
      </c>
      <c r="T25" s="774" t="s">
        <v>17</v>
      </c>
      <c r="U25" s="775">
        <f>H25</f>
        <v>100</v>
      </c>
      <c r="V25" s="774" t="s">
        <v>17</v>
      </c>
      <c r="W25" s="775">
        <f>J25</f>
        <v>100</v>
      </c>
      <c r="X25" s="1812"/>
      <c r="Y25" s="3173"/>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3"/>
      <c r="Q26" s="1809">
        <f t="shared" ref="Q26:Q40" si="11">B26</f>
        <v>111</v>
      </c>
      <c r="R26" s="774" t="s">
        <v>17</v>
      </c>
      <c r="S26" s="775">
        <f>F26</f>
        <v>100</v>
      </c>
      <c r="T26" s="774" t="s">
        <v>17</v>
      </c>
      <c r="U26" s="775">
        <f>H26</f>
        <v>100</v>
      </c>
      <c r="V26" s="774" t="s">
        <v>17</v>
      </c>
      <c r="W26" s="775">
        <f>J26</f>
        <v>100</v>
      </c>
      <c r="X26" s="1812"/>
      <c r="Y26" s="3173"/>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3"/>
      <c r="Q27" s="1794">
        <f t="shared" si="11"/>
        <v>111</v>
      </c>
      <c r="R27" s="770" t="s">
        <v>17</v>
      </c>
      <c r="S27" s="771">
        <f>F27</f>
        <v>100</v>
      </c>
      <c r="T27" s="770" t="s">
        <v>17</v>
      </c>
      <c r="U27" s="771">
        <f>H27</f>
        <v>100</v>
      </c>
      <c r="V27" s="770" t="s">
        <v>17</v>
      </c>
      <c r="W27" s="771">
        <f>J27</f>
        <v>100</v>
      </c>
      <c r="X27" s="772"/>
      <c r="Y27" s="3173"/>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3"/>
      <c r="Q28" s="1809">
        <f t="shared" si="11"/>
        <v>111</v>
      </c>
      <c r="R28" s="774" t="s">
        <v>17</v>
      </c>
      <c r="S28" s="775">
        <f t="shared" ref="S28:S40" si="12">F28</f>
        <v>100</v>
      </c>
      <c r="T28" s="774" t="s">
        <v>17</v>
      </c>
      <c r="U28" s="775">
        <f t="shared" ref="U28:U40" si="13">H28</f>
        <v>100</v>
      </c>
      <c r="V28" s="774" t="s">
        <v>17</v>
      </c>
      <c r="W28" s="775">
        <f t="shared" ref="W28:W40" si="14">J28</f>
        <v>100</v>
      </c>
      <c r="X28" s="1812"/>
      <c r="Y28" s="3173"/>
      <c r="Z28" s="1813">
        <f t="shared" ref="Z28:Z40" si="15">Q28</f>
        <v>111</v>
      </c>
      <c r="AA28" s="1810">
        <f t="shared" si="3"/>
        <v>1</v>
      </c>
      <c r="AB28" s="1810">
        <f t="shared" si="4"/>
        <v>1</v>
      </c>
      <c r="AC28" s="1810">
        <f t="shared" si="5"/>
        <v>1</v>
      </c>
    </row>
    <row r="29" spans="1:29" ht="28.5">
      <c r="A29" s="466" t="s">
        <v>2511</v>
      </c>
      <c r="B29" s="71" t="s">
        <v>2641</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28" t="s">
        <v>2513</v>
      </c>
      <c r="Q29" s="1809" t="str">
        <f t="shared" si="11"/>
        <v>建筑类型</v>
      </c>
      <c r="R29" s="774" t="s">
        <v>17</v>
      </c>
      <c r="S29" s="775">
        <f t="shared" si="12"/>
        <v>100</v>
      </c>
      <c r="T29" s="774" t="s">
        <v>17</v>
      </c>
      <c r="U29" s="775">
        <f t="shared" si="13"/>
        <v>100</v>
      </c>
      <c r="V29" s="774" t="s">
        <v>17</v>
      </c>
      <c r="W29" s="775">
        <f t="shared" si="14"/>
        <v>100</v>
      </c>
      <c r="X29" s="1812"/>
      <c r="Y29" s="3177" t="s">
        <v>2513</v>
      </c>
      <c r="Z29" s="1813" t="str">
        <f t="shared" si="15"/>
        <v>建筑类型</v>
      </c>
      <c r="AA29" s="1810">
        <f t="shared" si="3"/>
        <v>1</v>
      </c>
      <c r="AB29" s="1810">
        <f t="shared" si="4"/>
        <v>1</v>
      </c>
      <c r="AC29" s="1810">
        <f t="shared" si="5"/>
        <v>1</v>
      </c>
    </row>
    <row r="30" spans="1:29" s="471" customFormat="1" ht="15">
      <c r="A30" s="468"/>
      <c r="B30" s="422" t="s">
        <v>2514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7"/>
      <c r="Q30" s="776" t="str">
        <f t="shared" si="11"/>
        <v>项目建筑规模</v>
      </c>
      <c r="R30" s="777" t="s">
        <v>17</v>
      </c>
      <c r="S30" s="778" t="e">
        <f t="shared" si="12"/>
        <v>#N/A</v>
      </c>
      <c r="T30" s="777" t="s">
        <v>17</v>
      </c>
      <c r="U30" s="778" t="e">
        <f t="shared" si="13"/>
        <v>#N/A</v>
      </c>
      <c r="V30" s="777" t="s">
        <v>17</v>
      </c>
      <c r="W30" s="778" t="e">
        <f t="shared" si="14"/>
        <v>#N/A</v>
      </c>
      <c r="X30" s="779"/>
      <c r="Y30" s="3177"/>
      <c r="Z30" s="780" t="str">
        <f t="shared" si="15"/>
        <v>项目建筑规模</v>
      </c>
      <c r="AA30" s="1810" t="e">
        <f t="shared" si="3"/>
        <v>#N/A</v>
      </c>
      <c r="AB30" s="1810" t="e">
        <f t="shared" si="4"/>
        <v>#N/A</v>
      </c>
      <c r="AC30" s="1810" t="e">
        <f t="shared" si="5"/>
        <v>#N/A</v>
      </c>
    </row>
    <row r="31" spans="1:29" ht="15">
      <c r="A31" s="472"/>
      <c r="B31" s="422" t="s">
        <v>2515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7"/>
      <c r="Q31" s="1809" t="str">
        <f t="shared" si="11"/>
        <v>建筑结构</v>
      </c>
      <c r="R31" s="774" t="s">
        <v>17</v>
      </c>
      <c r="S31" s="775">
        <f t="shared" si="12"/>
        <v>100</v>
      </c>
      <c r="T31" s="774" t="s">
        <v>17</v>
      </c>
      <c r="U31" s="775">
        <f t="shared" si="13"/>
        <v>100</v>
      </c>
      <c r="V31" s="774" t="s">
        <v>17</v>
      </c>
      <c r="W31" s="775">
        <f t="shared" si="14"/>
        <v>100</v>
      </c>
      <c r="X31" s="1812"/>
      <c r="Y31" s="3177"/>
      <c r="Z31" s="1813" t="str">
        <f t="shared" si="15"/>
        <v>建筑结构</v>
      </c>
      <c r="AA31" s="1810">
        <f t="shared" si="3"/>
        <v>1</v>
      </c>
      <c r="AB31" s="1810">
        <f t="shared" si="4"/>
        <v>1</v>
      </c>
      <c r="AC31" s="1810">
        <f t="shared" si="5"/>
        <v>1</v>
      </c>
    </row>
    <row r="32" spans="1:29" ht="15">
      <c r="A32" s="472"/>
      <c r="B32" s="422" t="s">
        <v>2609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7"/>
      <c r="Q32" s="1809" t="str">
        <f t="shared" si="11"/>
        <v>公共部分装修</v>
      </c>
      <c r="R32" s="774" t="s">
        <v>17</v>
      </c>
      <c r="S32" s="775">
        <f t="shared" si="12"/>
        <v>100</v>
      </c>
      <c r="T32" s="774" t="s">
        <v>17</v>
      </c>
      <c r="U32" s="775">
        <f t="shared" si="13"/>
        <v>100</v>
      </c>
      <c r="V32" s="774" t="s">
        <v>17</v>
      </c>
      <c r="W32" s="775">
        <f t="shared" si="14"/>
        <v>100</v>
      </c>
      <c r="X32" s="1812"/>
      <c r="Y32" s="3177"/>
      <c r="Z32" s="1813" t="str">
        <f t="shared" si="15"/>
        <v>公共部分装修</v>
      </c>
      <c r="AA32" s="1810">
        <f t="shared" si="3"/>
        <v>1</v>
      </c>
      <c r="AB32" s="1810">
        <f t="shared" si="4"/>
        <v>1</v>
      </c>
      <c r="AC32" s="1810">
        <f t="shared" si="5"/>
        <v>1</v>
      </c>
    </row>
    <row r="33" spans="1:29" ht="15">
      <c r="A33" s="472"/>
      <c r="B33" s="422" t="s">
        <v>2610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7"/>
      <c r="Q33" s="1809" t="str">
        <f t="shared" si="11"/>
        <v>成新度</v>
      </c>
      <c r="R33" s="774" t="s">
        <v>17</v>
      </c>
      <c r="S33" s="775" t="e">
        <f t="shared" si="12"/>
        <v>#N/A</v>
      </c>
      <c r="T33" s="774" t="s">
        <v>17</v>
      </c>
      <c r="U33" s="775" t="e">
        <f t="shared" si="13"/>
        <v>#N/A</v>
      </c>
      <c r="V33" s="774" t="s">
        <v>17</v>
      </c>
      <c r="W33" s="775" t="e">
        <f t="shared" si="14"/>
        <v>#N/A</v>
      </c>
      <c r="X33" s="1812"/>
      <c r="Y33" s="3177"/>
      <c r="Z33" s="1813" t="str">
        <f t="shared" si="15"/>
        <v>成新度</v>
      </c>
      <c r="AA33" s="1810" t="e">
        <f t="shared" si="3"/>
        <v>#N/A</v>
      </c>
      <c r="AB33" s="1810" t="e">
        <f t="shared" si="4"/>
        <v>#N/A</v>
      </c>
      <c r="AC33" s="1810" t="e">
        <f t="shared" si="5"/>
        <v>#N/A</v>
      </c>
    </row>
    <row r="34" spans="1:29" s="117" customFormat="1" ht="15">
      <c r="A34" s="473"/>
      <c r="B34" s="422" t="s">
        <v>2643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7"/>
      <c r="Q34" s="1794" t="str">
        <f t="shared" si="11"/>
        <v>物业管理</v>
      </c>
      <c r="R34" s="770" t="s">
        <v>17</v>
      </c>
      <c r="S34" s="771">
        <f t="shared" si="12"/>
        <v>100</v>
      </c>
      <c r="T34" s="770" t="s">
        <v>17</v>
      </c>
      <c r="U34" s="771">
        <f t="shared" si="13"/>
        <v>100</v>
      </c>
      <c r="V34" s="770" t="s">
        <v>17</v>
      </c>
      <c r="W34" s="771">
        <f t="shared" si="14"/>
        <v>100</v>
      </c>
      <c r="X34" s="772"/>
      <c r="Y34" s="3177"/>
      <c r="Z34" s="55" t="str">
        <f t="shared" si="15"/>
        <v>物业管理</v>
      </c>
      <c r="AA34" s="773">
        <f t="shared" si="3"/>
        <v>1</v>
      </c>
      <c r="AB34" s="773">
        <f t="shared" si="4"/>
        <v>1</v>
      </c>
      <c r="AC34" s="773">
        <f t="shared" si="5"/>
        <v>1</v>
      </c>
    </row>
    <row r="35" spans="1:29" ht="15">
      <c r="A35" s="472"/>
      <c r="B35" s="422" t="s">
        <v>2611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7" t="s">
        <v>2513</v>
      </c>
      <c r="Q35" s="1809" t="str">
        <f t="shared" si="11"/>
        <v>市政基础设施</v>
      </c>
      <c r="R35" s="774" t="s">
        <v>17</v>
      </c>
      <c r="S35" s="775">
        <f t="shared" si="12"/>
        <v>100</v>
      </c>
      <c r="T35" s="774" t="s">
        <v>17</v>
      </c>
      <c r="U35" s="775">
        <f t="shared" si="13"/>
        <v>100</v>
      </c>
      <c r="V35" s="774" t="s">
        <v>17</v>
      </c>
      <c r="W35" s="775">
        <f t="shared" si="14"/>
        <v>100</v>
      </c>
      <c r="X35" s="1812"/>
      <c r="Y35" s="3177" t="s">
        <v>2513</v>
      </c>
      <c r="Z35" s="1813" t="str">
        <f t="shared" si="15"/>
        <v>市政基础设施</v>
      </c>
      <c r="AA35" s="1810">
        <f t="shared" si="3"/>
        <v>1</v>
      </c>
      <c r="AB35" s="1810">
        <f t="shared" si="4"/>
        <v>1</v>
      </c>
      <c r="AC35" s="1810">
        <f t="shared" si="5"/>
        <v>1</v>
      </c>
    </row>
    <row r="36" spans="1:29" ht="15">
      <c r="A36" s="472"/>
      <c r="B36" s="422" t="s">
        <v>2616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7"/>
      <c r="Q36" s="1809" t="str">
        <f t="shared" si="11"/>
        <v>内部装修</v>
      </c>
      <c r="R36" s="774" t="s">
        <v>17</v>
      </c>
      <c r="S36" s="775">
        <f t="shared" si="12"/>
        <v>100</v>
      </c>
      <c r="T36" s="774" t="s">
        <v>17</v>
      </c>
      <c r="U36" s="775">
        <f t="shared" si="13"/>
        <v>100</v>
      </c>
      <c r="V36" s="774" t="s">
        <v>17</v>
      </c>
      <c r="W36" s="775">
        <f t="shared" si="14"/>
        <v>100</v>
      </c>
      <c r="X36" s="1812"/>
      <c r="Y36" s="3177"/>
      <c r="Z36" s="1813" t="str">
        <f t="shared" si="15"/>
        <v>内部装修</v>
      </c>
      <c r="AA36" s="1810">
        <f t="shared" si="3"/>
        <v>1</v>
      </c>
      <c r="AB36" s="1810">
        <f t="shared" si="4"/>
        <v>1</v>
      </c>
      <c r="AC36" s="1810">
        <f t="shared" si="5"/>
        <v>1</v>
      </c>
    </row>
    <row r="37" spans="1:29" ht="15">
      <c r="A37" s="472"/>
      <c r="B37" s="422" t="s">
        <v>2652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7"/>
      <c r="Q37" s="1809" t="str">
        <f t="shared" si="11"/>
        <v>内部装修状况</v>
      </c>
      <c r="R37" s="774" t="s">
        <v>17</v>
      </c>
      <c r="S37" s="775">
        <f t="shared" si="12"/>
        <v>100</v>
      </c>
      <c r="T37" s="774" t="s">
        <v>17</v>
      </c>
      <c r="U37" s="775">
        <f t="shared" si="13"/>
        <v>100</v>
      </c>
      <c r="V37" s="774" t="s">
        <v>17</v>
      </c>
      <c r="W37" s="775">
        <f t="shared" si="14"/>
        <v>100</v>
      </c>
      <c r="X37" s="1812"/>
      <c r="Y37" s="317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7"/>
      <c r="Q38" s="776">
        <f t="shared" si="11"/>
        <v>111</v>
      </c>
      <c r="R38" s="777" t="s">
        <v>17</v>
      </c>
      <c r="S38" s="778">
        <f t="shared" si="12"/>
        <v>100</v>
      </c>
      <c r="T38" s="777" t="s">
        <v>17</v>
      </c>
      <c r="U38" s="778">
        <f t="shared" si="13"/>
        <v>100</v>
      </c>
      <c r="V38" s="777" t="s">
        <v>17</v>
      </c>
      <c r="W38" s="778">
        <f t="shared" si="14"/>
        <v>100</v>
      </c>
      <c r="X38" s="779"/>
      <c r="Y38" s="317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7"/>
      <c r="Q39" s="1809">
        <f t="shared" si="11"/>
        <v>111</v>
      </c>
      <c r="R39" s="774" t="s">
        <v>17</v>
      </c>
      <c r="S39" s="775">
        <f t="shared" si="12"/>
        <v>100</v>
      </c>
      <c r="T39" s="774" t="s">
        <v>17</v>
      </c>
      <c r="U39" s="775">
        <f t="shared" si="13"/>
        <v>100</v>
      </c>
      <c r="V39" s="774" t="s">
        <v>17</v>
      </c>
      <c r="W39" s="775">
        <f t="shared" si="14"/>
        <v>100</v>
      </c>
      <c r="X39" s="1812"/>
      <c r="Y39" s="3177"/>
      <c r="Z39" s="1813">
        <f t="shared" si="15"/>
        <v>111</v>
      </c>
      <c r="AA39" s="1810">
        <f t="shared" si="3"/>
        <v>1</v>
      </c>
      <c r="AB39" s="1810">
        <f t="shared" si="4"/>
        <v>1</v>
      </c>
      <c r="AC39" s="1810">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8"/>
      <c r="Q40" s="1809">
        <f t="shared" si="11"/>
        <v>111</v>
      </c>
      <c r="R40" s="774" t="s">
        <v>17</v>
      </c>
      <c r="S40" s="775">
        <f t="shared" si="12"/>
        <v>100</v>
      </c>
      <c r="T40" s="774" t="s">
        <v>17</v>
      </c>
      <c r="U40" s="775">
        <f t="shared" si="13"/>
        <v>100</v>
      </c>
      <c r="V40" s="774" t="s">
        <v>17</v>
      </c>
      <c r="W40" s="775">
        <f t="shared" si="14"/>
        <v>100</v>
      </c>
      <c r="X40" s="1812"/>
      <c r="Y40" s="3178"/>
      <c r="Z40" s="1813">
        <f t="shared" si="15"/>
        <v>111</v>
      </c>
      <c r="AA40" s="1810">
        <f t="shared" si="3"/>
        <v>1</v>
      </c>
      <c r="AB40" s="1810">
        <f t="shared" si="4"/>
        <v>1</v>
      </c>
      <c r="AC40" s="1810">
        <f t="shared" si="5"/>
        <v>1</v>
      </c>
    </row>
    <row r="41" spans="1:29" ht="15">
      <c r="A41" s="479" t="s">
        <v>2525</v>
      </c>
      <c r="B41" s="480"/>
      <c r="C41" s="1407" t="s">
        <v>1</v>
      </c>
      <c r="D41" s="1408"/>
      <c r="E41" s="1409"/>
      <c r="F41" s="1410"/>
      <c r="G41" s="1411"/>
      <c r="H41" s="1412"/>
      <c r="I41" s="1409"/>
      <c r="J41" s="1412"/>
      <c r="K41" s="783"/>
      <c r="L41" s="1143"/>
      <c r="M41" s="1144"/>
      <c r="N41" s="1131"/>
      <c r="O41" s="1144"/>
      <c r="P41" s="3170" t="str">
        <f>A41</f>
        <v>成交单价（元/平方米）</v>
      </c>
      <c r="Q41" s="3170"/>
      <c r="R41" s="3171">
        <f>E41</f>
        <v>0</v>
      </c>
      <c r="S41" s="3171"/>
      <c r="T41" s="3171">
        <f>G41</f>
        <v>0</v>
      </c>
      <c r="U41" s="3171"/>
      <c r="V41" s="3171">
        <f>I41</f>
        <v>0</v>
      </c>
      <c r="W41" s="3171"/>
      <c r="X41" s="759"/>
      <c r="Y41" s="781"/>
      <c r="Z41" s="759"/>
      <c r="AA41" s="759"/>
      <c r="AB41" s="759"/>
      <c r="AC41" s="759"/>
    </row>
    <row r="42" spans="1:29" ht="15.75" thickBot="1">
      <c r="A42" s="486" t="s">
        <v>2617</v>
      </c>
      <c r="B42" s="487"/>
      <c r="C42" s="1413" t="e">
        <f>R43</f>
        <v>#DIV/0!</v>
      </c>
      <c r="D42" s="1414"/>
      <c r="E42" s="1415" t="e">
        <f>R42</f>
        <v>#DIV/0!</v>
      </c>
      <c r="F42" s="1415"/>
      <c r="G42" s="1413" t="e">
        <f>T42</f>
        <v>#DIV/0!</v>
      </c>
      <c r="H42" s="1414"/>
      <c r="I42" s="1415" t="e">
        <f>V42</f>
        <v>#DIV/0!</v>
      </c>
      <c r="J42" s="1414"/>
      <c r="K42" s="784"/>
      <c r="L42" s="1143"/>
      <c r="M42" s="1144"/>
      <c r="N42" s="1131"/>
      <c r="O42" s="1144"/>
      <c r="P42" s="3170" t="str">
        <f>A42</f>
        <v>比较价值（元/平方米）</v>
      </c>
      <c r="Q42" s="3170"/>
      <c r="R42" s="3171" t="e">
        <f>IF(F1="售价",ROUND(PRODUCT(R41,AA7:AA40),0),ROUND(PRODUCT(R41,AA7:AA40),1))</f>
        <v>#DIV/0!</v>
      </c>
      <c r="S42" s="3171"/>
      <c r="T42" s="3171" t="e">
        <f>IF(F1="售价",ROUND(PRODUCT(T41,AB7:AB40),0),ROUND(PRODUCT(T41,AB7:AB40),1))</f>
        <v>#DIV/0!</v>
      </c>
      <c r="U42" s="3171"/>
      <c r="V42" s="3171" t="e">
        <f>IF(F1="售价",ROUND(PRODUCT(V41,AC7:AC40),0),ROUND(PRODUCT(V41,AC7:AC40),1))</f>
        <v>#DIV/0!</v>
      </c>
      <c r="W42" s="3171"/>
      <c r="X42" s="759"/>
      <c r="Y42" s="759"/>
      <c r="Z42" s="759"/>
      <c r="AA42" s="759"/>
      <c r="AB42" s="759"/>
      <c r="AC42" s="759"/>
    </row>
    <row r="43" spans="1:29" ht="15.75" thickBot="1">
      <c r="A43" s="492" t="s">
        <v>2618</v>
      </c>
      <c r="B43" s="493"/>
      <c r="C43" s="1417" t="e">
        <f>R43</f>
        <v>#DIV/0!</v>
      </c>
      <c r="D43" s="1417"/>
      <c r="E43" s="1417"/>
      <c r="F43" s="1417"/>
      <c r="G43" s="1417"/>
      <c r="H43" s="1417"/>
      <c r="I43" s="1417"/>
      <c r="J43" s="1417"/>
      <c r="K43" s="785"/>
      <c r="L43" s="1143"/>
      <c r="M43" s="1144"/>
      <c r="N43" s="1144"/>
      <c r="O43" s="1144"/>
      <c r="P43" s="3167" t="str">
        <f>A43</f>
        <v>估价对象XX用房的比较价值（楼面单价，元/平方米）</v>
      </c>
      <c r="Q43" s="3168"/>
      <c r="R43" s="3169" t="e">
        <f>IF(F1="售价",ROUND(AVERAGE(R42:V42),0),ROUND(AVERAGE(R42:V42),1))</f>
        <v>#DIV/0!</v>
      </c>
      <c r="S43" s="3169"/>
      <c r="T43" s="3169"/>
      <c r="U43" s="3169"/>
      <c r="V43" s="3169"/>
      <c r="W43" s="316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2622</v>
      </c>
      <c r="B51" s="759"/>
      <c r="C51" s="764"/>
      <c r="D51" s="764"/>
      <c r="E51" s="764"/>
      <c r="F51" s="765"/>
      <c r="G51" s="765"/>
      <c r="H51" s="764"/>
      <c r="I51" s="764"/>
      <c r="J51" s="764"/>
      <c r="K51" s="1160"/>
      <c r="L51" s="1161"/>
      <c r="M51" s="1159"/>
      <c r="N51" s="1159"/>
      <c r="O51" s="1159"/>
      <c r="P51" s="503"/>
      <c r="Q51" s="504"/>
    </row>
    <row r="52" spans="1:17" s="508" customFormat="1" ht="15">
      <c r="A52" s="505" t="s">
        <v>2496</v>
      </c>
      <c r="B52" s="506"/>
      <c r="C52" s="1573" t="str">
        <f>YEAR(C7)&amp;"-"&amp;MONTH(C7)</f>
        <v>2019-3</v>
      </c>
      <c r="D52" s="1574">
        <f>EDATE(C52,-1)</f>
        <v>43497</v>
      </c>
      <c r="E52" s="1574">
        <f t="shared" ref="E52:O52" si="16">EDATE(D52,-1)</f>
        <v>43466</v>
      </c>
      <c r="F52" s="1574">
        <f t="shared" si="16"/>
        <v>43435</v>
      </c>
      <c r="G52" s="1574">
        <f t="shared" si="16"/>
        <v>43405</v>
      </c>
      <c r="H52" s="1574">
        <f t="shared" si="16"/>
        <v>43374</v>
      </c>
      <c r="I52" s="1574">
        <f t="shared" si="16"/>
        <v>43344</v>
      </c>
      <c r="J52" s="1574">
        <f t="shared" si="16"/>
        <v>43313</v>
      </c>
      <c r="K52" s="1574">
        <f t="shared" si="16"/>
        <v>43282</v>
      </c>
      <c r="L52" s="1574">
        <f t="shared" si="16"/>
        <v>43252</v>
      </c>
      <c r="M52" s="1574">
        <f t="shared" si="16"/>
        <v>43221</v>
      </c>
      <c r="N52" s="1574">
        <f t="shared" si="16"/>
        <v>43191</v>
      </c>
      <c r="O52" s="1574">
        <f t="shared" si="16"/>
        <v>43160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2533</v>
      </c>
      <c r="B54" s="516"/>
      <c r="C54" s="517"/>
      <c r="D54" s="518"/>
      <c r="E54" s="518"/>
      <c r="F54" s="518"/>
      <c r="G54" s="518"/>
      <c r="H54" s="518"/>
      <c r="I54" s="518"/>
      <c r="J54" s="518"/>
      <c r="K54" s="518"/>
      <c r="L54" s="518"/>
      <c r="M54" s="519"/>
      <c r="N54" s="518"/>
      <c r="O54" s="520"/>
      <c r="P54" s="504"/>
      <c r="Q54" s="504"/>
    </row>
    <row r="55" spans="1:17" s="117" customFormat="1" ht="15">
      <c r="A55" s="521" t="s">
        <v>2498</v>
      </c>
      <c r="B55" s="510"/>
      <c r="C55" s="522" t="s">
        <v>2600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2536</v>
      </c>
      <c r="B57" s="528" t="s">
        <v>2502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2505</v>
      </c>
      <c r="C59" s="539" t="s">
        <v>2537</v>
      </c>
      <c r="D59" s="539" t="s">
        <v>2538</v>
      </c>
      <c r="E59" s="539" t="s">
        <v>2539</v>
      </c>
      <c r="F59" s="539" t="s">
        <v>2540</v>
      </c>
      <c r="G59" s="539" t="s">
        <v>2541</v>
      </c>
      <c r="H59" s="539" t="s">
        <v>2542</v>
      </c>
      <c r="I59" s="539" t="s">
        <v>2543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2507</v>
      </c>
      <c r="B70" s="528" t="s">
        <v>2653</v>
      </c>
      <c r="C70" s="573" t="s">
        <v>2545</v>
      </c>
      <c r="D70" s="573" t="s">
        <v>2546</v>
      </c>
      <c r="E70" s="573" t="s">
        <v>2547</v>
      </c>
      <c r="F70" s="573" t="s">
        <v>2548</v>
      </c>
      <c r="G70" s="573" t="s">
        <v>2549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2550</v>
      </c>
      <c r="C72" s="578" t="s">
        <v>2545</v>
      </c>
      <c r="D72" s="578" t="s">
        <v>2546</v>
      </c>
      <c r="E72" s="578" t="s">
        <v>2547</v>
      </c>
      <c r="F72" s="578" t="s">
        <v>2548</v>
      </c>
      <c r="G72" s="578" t="s">
        <v>2549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2551</v>
      </c>
      <c r="C74" s="578" t="s">
        <v>2545</v>
      </c>
      <c r="D74" s="578" t="s">
        <v>2546</v>
      </c>
      <c r="E74" s="578" t="s">
        <v>2547</v>
      </c>
      <c r="F74" s="578" t="s">
        <v>2548</v>
      </c>
      <c r="G74" s="578" t="s">
        <v>2549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2637</v>
      </c>
      <c r="C76" s="660" t="s">
        <v>2623</v>
      </c>
      <c r="D76" s="660" t="s">
        <v>2624</v>
      </c>
      <c r="E76" s="660" t="s">
        <v>2625</v>
      </c>
      <c r="F76" s="660" t="s">
        <v>2626</v>
      </c>
      <c r="G76" s="660" t="s">
        <v>2627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2646</v>
      </c>
      <c r="C78" s="578" t="s">
        <v>2545</v>
      </c>
      <c r="D78" s="578" t="s">
        <v>2546</v>
      </c>
      <c r="E78" s="578" t="s">
        <v>2547</v>
      </c>
      <c r="F78" s="578" t="s">
        <v>2548</v>
      </c>
      <c r="G78" s="578" t="s">
        <v>2549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2511</v>
      </c>
      <c r="B88" s="528" t="s">
        <v>2560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2654</v>
      </c>
      <c r="C106" s="578" t="s">
        <v>2545</v>
      </c>
      <c r="D106" s="578" t="s">
        <v>2546</v>
      </c>
      <c r="E106" s="578" t="s">
        <v>2547</v>
      </c>
      <c r="F106" s="578" t="s">
        <v>2548</v>
      </c>
      <c r="G106" s="578" t="s">
        <v>2549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2655</v>
      </c>
      <c r="B1" s="1618"/>
      <c r="C1" s="1619" t="s">
        <v>2478</v>
      </c>
      <c r="D1" s="1620"/>
      <c r="E1" s="1621"/>
      <c r="F1" s="2586"/>
      <c r="G1" s="1622" t="s">
        <v>2591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2278</v>
      </c>
      <c r="B2" s="1418" t="e">
        <f ca="1">IF(C2="——",IF(B37="元/平方米",ROUND(C39*D3/10000,0),ROUND(F3*C39/10000,0)),IF(B37="元/平方米",ROUND(C39*D3/10000,0),ROUND(F3*C39/10000,0))-D2)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2280</v>
      </c>
      <c r="B3" s="609" t="e">
        <f ca="1">IF(AND(C2="——",B37="元/平方米"),C39,ROUND(B2*10000/D3,0))</f>
        <v>#DIV/0!</v>
      </c>
      <c r="C3" s="400" t="s">
        <v>2592</v>
      </c>
      <c r="D3" s="399">
        <f>SUMIF('数据-汇总表'!$C19:$C33,D1,'数据-汇总表'!$E19:$E33)</f>
        <v>0</v>
      </c>
      <c r="E3" s="400" t="s">
        <v>2656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2593</v>
      </c>
      <c r="B4" s="402"/>
      <c r="C4" s="3185" t="s">
        <v>2594</v>
      </c>
      <c r="D4" s="3186"/>
      <c r="E4" s="3187" t="s">
        <v>2595</v>
      </c>
      <c r="F4" s="3188"/>
      <c r="G4" s="3185" t="s">
        <v>2596</v>
      </c>
      <c r="H4" s="3186"/>
      <c r="I4" s="3185" t="s">
        <v>2597</v>
      </c>
      <c r="J4" s="3186"/>
      <c r="K4" s="610" t="s">
        <v>2598</v>
      </c>
      <c r="L4" s="1130"/>
      <c r="M4" s="1131"/>
      <c r="N4" s="1131"/>
      <c r="O4" s="1131"/>
      <c r="P4" s="3189" t="s">
        <v>2599</v>
      </c>
      <c r="Q4" s="3190"/>
      <c r="R4" s="3195" t="s">
        <v>2595</v>
      </c>
      <c r="S4" s="3196"/>
      <c r="T4" s="3195" t="s">
        <v>2596</v>
      </c>
      <c r="U4" s="3196"/>
      <c r="V4" s="3201" t="s">
        <v>2597</v>
      </c>
      <c r="W4" s="3201"/>
      <c r="X4" s="1812"/>
      <c r="Y4" s="3195" t="s">
        <v>2599</v>
      </c>
      <c r="Z4" s="3196"/>
      <c r="AA4" s="3182" t="s">
        <v>2595</v>
      </c>
      <c r="AB4" s="3183" t="s">
        <v>2596</v>
      </c>
      <c r="AC4" s="3182" t="s">
        <v>2597</v>
      </c>
    </row>
    <row r="5" spans="1:29" ht="15">
      <c r="A5" s="404"/>
      <c r="B5" s="405"/>
      <c r="C5" s="3204" t="s">
        <v>2490</v>
      </c>
      <c r="D5" s="3205"/>
      <c r="E5" s="3211" t="s">
        <v>2491</v>
      </c>
      <c r="F5" s="3212"/>
      <c r="G5" s="3204" t="s">
        <v>2492</v>
      </c>
      <c r="H5" s="3205"/>
      <c r="I5" s="3204" t="s">
        <v>2493</v>
      </c>
      <c r="J5" s="3205"/>
      <c r="K5" s="610"/>
      <c r="L5" s="1130"/>
      <c r="M5" s="1131"/>
      <c r="N5" s="1131"/>
      <c r="O5" s="1131"/>
      <c r="P5" s="3191"/>
      <c r="Q5" s="3192"/>
      <c r="R5" s="3197"/>
      <c r="S5" s="3198"/>
      <c r="T5" s="3197"/>
      <c r="U5" s="3198"/>
      <c r="V5" s="3201"/>
      <c r="W5" s="3201"/>
      <c r="X5" s="1812"/>
      <c r="Y5" s="3197"/>
      <c r="Z5" s="3198"/>
      <c r="AA5" s="3183"/>
      <c r="AB5" s="3183"/>
      <c r="AC5" s="3183"/>
    </row>
    <row r="6" spans="1:29" ht="15.75" thickBot="1">
      <c r="A6" s="406"/>
      <c r="B6" s="407"/>
      <c r="C6" s="3202" t="s">
        <v>2494</v>
      </c>
      <c r="D6" s="3203"/>
      <c r="E6" s="3209" t="s">
        <v>2494</v>
      </c>
      <c r="F6" s="3210"/>
      <c r="G6" s="3202" t="s">
        <v>2494</v>
      </c>
      <c r="H6" s="3203"/>
      <c r="I6" s="3202" t="s">
        <v>2494</v>
      </c>
      <c r="J6" s="3203"/>
      <c r="K6" s="610" t="s">
        <v>2495</v>
      </c>
      <c r="L6" s="1130"/>
      <c r="M6" s="1131"/>
      <c r="N6" s="1131"/>
      <c r="O6" s="1131"/>
      <c r="P6" s="3193"/>
      <c r="Q6" s="3194"/>
      <c r="R6" s="3197"/>
      <c r="S6" s="3198"/>
      <c r="T6" s="3199"/>
      <c r="U6" s="3200"/>
      <c r="V6" s="3201"/>
      <c r="W6" s="3201"/>
      <c r="X6" s="1812"/>
      <c r="Y6" s="3199"/>
      <c r="Z6" s="3200"/>
      <c r="AA6" s="3184"/>
      <c r="AB6" s="3184"/>
      <c r="AC6" s="3184"/>
    </row>
    <row r="7" spans="1:29" s="117" customFormat="1" ht="15.75" thickBot="1">
      <c r="A7" s="408" t="s">
        <v>2496</v>
      </c>
      <c r="B7" s="409"/>
      <c r="C7" s="410">
        <f>'数据-取费表'!B2</f>
        <v>43537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6" t="s">
        <v>2497</v>
      </c>
      <c r="Q7" s="3208"/>
      <c r="R7" s="770" t="s">
        <v>17</v>
      </c>
      <c r="S7" s="771">
        <f t="shared" ref="S7:S14" si="0">F7</f>
        <v>0</v>
      </c>
      <c r="T7" s="770" t="s">
        <v>17</v>
      </c>
      <c r="U7" s="771">
        <f t="shared" ref="U7:U14" si="1">H7</f>
        <v>0</v>
      </c>
      <c r="V7" s="770" t="s">
        <v>17</v>
      </c>
      <c r="W7" s="771">
        <f t="shared" ref="W7:W14" si="2">J7</f>
        <v>0</v>
      </c>
      <c r="X7" s="772"/>
      <c r="Y7" s="3206" t="s">
        <v>2497</v>
      </c>
      <c r="Z7" s="3207"/>
      <c r="AA7" s="773" t="e">
        <f>D7/F7</f>
        <v>#DIV/0!</v>
      </c>
      <c r="AB7" s="773" t="e">
        <f>D7/H7</f>
        <v>#DIV/0!</v>
      </c>
      <c r="AC7" s="773" t="e">
        <f>D7/J7</f>
        <v>#DIV/0!</v>
      </c>
    </row>
    <row r="8" spans="1:29" s="117" customFormat="1" ht="15.75" thickBot="1">
      <c r="A8" s="408" t="s">
        <v>2498</v>
      </c>
      <c r="B8" s="409"/>
      <c r="C8" s="414" t="s">
        <v>2600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6" t="s">
        <v>2500</v>
      </c>
      <c r="Q8" s="3207"/>
      <c r="R8" s="770" t="s">
        <v>17</v>
      </c>
      <c r="S8" s="771">
        <f t="shared" si="0"/>
        <v>0</v>
      </c>
      <c r="T8" s="770" t="s">
        <v>17</v>
      </c>
      <c r="U8" s="771">
        <f t="shared" si="1"/>
        <v>0</v>
      </c>
      <c r="V8" s="770" t="s">
        <v>17</v>
      </c>
      <c r="W8" s="771">
        <f t="shared" si="2"/>
        <v>0</v>
      </c>
      <c r="X8" s="772"/>
      <c r="Y8" s="3206" t="s">
        <v>2500</v>
      </c>
      <c r="Z8" s="3207"/>
      <c r="AA8" s="773" t="e">
        <f t="shared" ref="AA8:AA36" si="3">D8/F8</f>
        <v>#DIV/0!</v>
      </c>
      <c r="AB8" s="773" t="e">
        <f t="shared" ref="AB8:AB36" si="4">D8/H8</f>
        <v>#DIV/0!</v>
      </c>
      <c r="AC8" s="773" t="e">
        <f t="shared" ref="AC8:AC36" si="5">D8/J8</f>
        <v>#DIV/0!</v>
      </c>
    </row>
    <row r="9" spans="1:29" s="117" customFormat="1">
      <c r="A9" s="68" t="s">
        <v>2501</v>
      </c>
      <c r="B9" s="640" t="s">
        <v>2502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0" t="s">
        <v>2503</v>
      </c>
      <c r="Q9" s="1794" t="str">
        <f t="shared" ref="Q9:Q14" si="6">B9</f>
        <v>用途</v>
      </c>
      <c r="R9" s="770" t="s">
        <v>17</v>
      </c>
      <c r="S9" s="771">
        <f t="shared" si="0"/>
        <v>100</v>
      </c>
      <c r="T9" s="770" t="s">
        <v>17</v>
      </c>
      <c r="U9" s="771">
        <f t="shared" si="1"/>
        <v>100</v>
      </c>
      <c r="V9" s="770" t="s">
        <v>17</v>
      </c>
      <c r="W9" s="771">
        <f t="shared" si="2"/>
        <v>100</v>
      </c>
      <c r="X9" s="772"/>
      <c r="Y9" s="2997" t="s">
        <v>2504</v>
      </c>
      <c r="Z9" s="55" t="str">
        <f t="shared" ref="Z9:Z14" si="7">Q9</f>
        <v>用途</v>
      </c>
      <c r="AA9" s="773">
        <f t="shared" si="3"/>
        <v>1</v>
      </c>
      <c r="AB9" s="773">
        <f t="shared" si="4"/>
        <v>1</v>
      </c>
      <c r="AC9" s="773">
        <f t="shared" si="5"/>
        <v>1</v>
      </c>
    </row>
    <row r="10" spans="1:29" s="427" customFormat="1" ht="27">
      <c r="A10" s="641"/>
      <c r="B10" s="642" t="s">
        <v>2505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0"/>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0"/>
      <c r="Q11" s="1794">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0"/>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0"/>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01" t="s">
        <v>2507</v>
      </c>
      <c r="B14" s="62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2" t="s">
        <v>2508</v>
      </c>
      <c r="Q14" s="1809" t="str">
        <f t="shared" si="6"/>
        <v>交通便捷度</v>
      </c>
      <c r="R14" s="774" t="s">
        <v>17</v>
      </c>
      <c r="S14" s="775">
        <f t="shared" si="0"/>
        <v>100</v>
      </c>
      <c r="T14" s="774" t="s">
        <v>17</v>
      </c>
      <c r="U14" s="775">
        <f t="shared" si="1"/>
        <v>100</v>
      </c>
      <c r="V14" s="774" t="s">
        <v>17</v>
      </c>
      <c r="W14" s="775">
        <f t="shared" si="2"/>
        <v>100</v>
      </c>
      <c r="X14" s="1812"/>
      <c r="Y14" s="3172" t="s">
        <v>2508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73"/>
      <c r="Q15" s="1809"/>
      <c r="R15" s="774"/>
      <c r="S15" s="775"/>
      <c r="T15" s="774"/>
      <c r="U15" s="775"/>
      <c r="V15" s="774"/>
      <c r="W15" s="775"/>
      <c r="X15" s="1812"/>
      <c r="Y15" s="3173"/>
      <c r="Z15" s="1813"/>
      <c r="AA15" s="1810">
        <v>1</v>
      </c>
      <c r="AB15" s="1810">
        <v>1</v>
      </c>
      <c r="AC15" s="1810">
        <v>1</v>
      </c>
    </row>
    <row r="16" spans="1:29" ht="42.75">
      <c r="A16" s="404"/>
      <c r="B16" s="631" t="s">
        <v>2636</v>
      </c>
      <c r="C16" s="2609"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3"/>
      <c r="Q16" s="1809" t="str">
        <f>B16</f>
        <v>公共配套设施</v>
      </c>
      <c r="R16" s="774" t="s">
        <v>17</v>
      </c>
      <c r="S16" s="775">
        <f>F16</f>
        <v>100</v>
      </c>
      <c r="T16" s="774" t="s">
        <v>17</v>
      </c>
      <c r="U16" s="775">
        <f>H16</f>
        <v>100</v>
      </c>
      <c r="V16" s="774" t="s">
        <v>17</v>
      </c>
      <c r="W16" s="775">
        <f>J16</f>
        <v>100</v>
      </c>
      <c r="X16" s="1812"/>
      <c r="Y16" s="3173"/>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173"/>
      <c r="Q17" s="1809"/>
      <c r="R17" s="774"/>
      <c r="S17" s="775"/>
      <c r="T17" s="774"/>
      <c r="U17" s="775"/>
      <c r="V17" s="774"/>
      <c r="W17" s="775"/>
      <c r="X17" s="1812"/>
      <c r="Y17" s="3173"/>
      <c r="Z17" s="1813"/>
      <c r="AA17" s="1810">
        <v>1</v>
      </c>
      <c r="AB17" s="1810">
        <v>1</v>
      </c>
      <c r="AC17" s="1810">
        <v>1</v>
      </c>
    </row>
    <row r="18" spans="1:29" ht="28.5">
      <c r="A18" s="404"/>
      <c r="B18" s="633" t="s">
        <v>2637</v>
      </c>
      <c r="C18" s="2609"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3"/>
      <c r="Q18" s="1809" t="str">
        <f>B18</f>
        <v>基础设施水平</v>
      </c>
      <c r="R18" s="774" t="s">
        <v>17</v>
      </c>
      <c r="S18" s="775">
        <f>F18</f>
        <v>100</v>
      </c>
      <c r="T18" s="774" t="s">
        <v>17</v>
      </c>
      <c r="U18" s="775">
        <f>H18</f>
        <v>100</v>
      </c>
      <c r="V18" s="774" t="s">
        <v>17</v>
      </c>
      <c r="W18" s="775">
        <f>J18</f>
        <v>100</v>
      </c>
      <c r="X18" s="1812"/>
      <c r="Y18" s="3173"/>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173"/>
      <c r="Q19" s="1809"/>
      <c r="R19" s="774"/>
      <c r="S19" s="775"/>
      <c r="T19" s="774"/>
      <c r="U19" s="775"/>
      <c r="V19" s="774"/>
      <c r="W19" s="775"/>
      <c r="X19" s="1812"/>
      <c r="Y19" s="3173"/>
      <c r="Z19" s="1813"/>
      <c r="AA19" s="1810">
        <v>1</v>
      </c>
      <c r="AB19" s="1810">
        <v>1</v>
      </c>
      <c r="AC19" s="1810">
        <v>1</v>
      </c>
    </row>
    <row r="20" spans="1:29" ht="57">
      <c r="A20" s="404"/>
      <c r="B20" s="631" t="s">
        <v>2658</v>
      </c>
      <c r="C20" s="2609" t="str">
        <f>IF(B1="工业",估价对象房地状况!G7,估价对象房地状况!C9)</f>
        <v>区域自然环境一般；人文环境一般；综合评价环境状况一般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3"/>
      <c r="Q20" s="1809" t="str">
        <f>B20</f>
        <v>自然及人文环境</v>
      </c>
      <c r="R20" s="774" t="s">
        <v>17</v>
      </c>
      <c r="S20" s="775">
        <f>F20</f>
        <v>100</v>
      </c>
      <c r="T20" s="774" t="s">
        <v>17</v>
      </c>
      <c r="U20" s="775">
        <f>H20</f>
        <v>100</v>
      </c>
      <c r="V20" s="774" t="s">
        <v>17</v>
      </c>
      <c r="W20" s="775">
        <f>J20</f>
        <v>100</v>
      </c>
      <c r="X20" s="1812"/>
      <c r="Y20" s="3173"/>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73"/>
      <c r="Q21" s="1809"/>
      <c r="R21" s="774"/>
      <c r="S21" s="775"/>
      <c r="T21" s="774"/>
      <c r="U21" s="775"/>
      <c r="V21" s="774"/>
      <c r="W21" s="775"/>
      <c r="X21" s="1812"/>
      <c r="Y21" s="3173"/>
      <c r="Z21" s="1813"/>
      <c r="AA21" s="1810">
        <v>1</v>
      </c>
      <c r="AB21" s="1810">
        <v>1</v>
      </c>
      <c r="AC21" s="1810">
        <v>1</v>
      </c>
    </row>
    <row r="22" spans="1:29" ht="15">
      <c r="A22" s="404"/>
      <c r="B22" s="631" t="s">
        <v>2659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3"/>
      <c r="Q22" s="1809" t="str">
        <f>B22</f>
        <v>楼层</v>
      </c>
      <c r="R22" s="774" t="s">
        <v>17</v>
      </c>
      <c r="S22" s="775">
        <f>F22</f>
        <v>100</v>
      </c>
      <c r="T22" s="774" t="s">
        <v>17</v>
      </c>
      <c r="U22" s="775">
        <f>H22</f>
        <v>100</v>
      </c>
      <c r="V22" s="774" t="s">
        <v>17</v>
      </c>
      <c r="W22" s="775">
        <f>J22</f>
        <v>100</v>
      </c>
      <c r="X22" s="1812"/>
      <c r="Y22" s="3173"/>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3"/>
      <c r="Q23" s="1809">
        <f>B23</f>
        <v>111</v>
      </c>
      <c r="R23" s="774" t="s">
        <v>17</v>
      </c>
      <c r="S23" s="775">
        <f>F23</f>
        <v>100</v>
      </c>
      <c r="T23" s="774" t="s">
        <v>17</v>
      </c>
      <c r="U23" s="775">
        <f>H23</f>
        <v>100</v>
      </c>
      <c r="V23" s="774" t="s">
        <v>17</v>
      </c>
      <c r="W23" s="775">
        <f>J23</f>
        <v>100</v>
      </c>
      <c r="X23" s="1812"/>
      <c r="Y23" s="3173"/>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3"/>
      <c r="Q24" s="1809">
        <f t="shared" ref="Q24:Q36" si="11">B24</f>
        <v>111</v>
      </c>
      <c r="R24" s="774" t="s">
        <v>17</v>
      </c>
      <c r="S24" s="775">
        <f>F24</f>
        <v>100</v>
      </c>
      <c r="T24" s="774" t="s">
        <v>17</v>
      </c>
      <c r="U24" s="775">
        <f>H24</f>
        <v>100</v>
      </c>
      <c r="V24" s="774" t="s">
        <v>17</v>
      </c>
      <c r="W24" s="775">
        <f>J24</f>
        <v>100</v>
      </c>
      <c r="X24" s="1812"/>
      <c r="Y24" s="3173"/>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3"/>
      <c r="Q25" s="1794">
        <f t="shared" si="11"/>
        <v>111</v>
      </c>
      <c r="R25" s="770" t="s">
        <v>17</v>
      </c>
      <c r="S25" s="771">
        <f>F25</f>
        <v>100</v>
      </c>
      <c r="T25" s="770" t="s">
        <v>17</v>
      </c>
      <c r="U25" s="771">
        <f>H25</f>
        <v>100</v>
      </c>
      <c r="V25" s="770" t="s">
        <v>17</v>
      </c>
      <c r="W25" s="771">
        <f>J25</f>
        <v>100</v>
      </c>
      <c r="X25" s="772"/>
      <c r="Y25" s="3173"/>
      <c r="Z25" s="55">
        <f>Q25</f>
        <v>111</v>
      </c>
      <c r="AA25" s="1810">
        <f>D25/F25</f>
        <v>1</v>
      </c>
      <c r="AB25" s="1810">
        <f>D25/H25</f>
        <v>1</v>
      </c>
      <c r="AC25" s="1810">
        <f>D25/J25</f>
        <v>1</v>
      </c>
    </row>
    <row r="26" spans="1:29" ht="28.5">
      <c r="A26" s="652" t="s">
        <v>2511</v>
      </c>
      <c r="B26" s="70" t="s">
        <v>2660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8" t="s">
        <v>2513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7" t="s">
        <v>2513</v>
      </c>
      <c r="Z26" s="1813" t="str">
        <f t="shared" ref="Z26:Z36" si="15">Q26</f>
        <v>配套类型</v>
      </c>
      <c r="AA26" s="1810">
        <f t="shared" si="3"/>
        <v>1</v>
      </c>
      <c r="AB26" s="1810">
        <f t="shared" si="4"/>
        <v>1</v>
      </c>
      <c r="AC26" s="1810">
        <f t="shared" si="5"/>
        <v>1</v>
      </c>
    </row>
    <row r="27" spans="1:29" s="471" customFormat="1" ht="15">
      <c r="A27" s="653"/>
      <c r="B27" s="654" t="s">
        <v>2661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7"/>
      <c r="Q27" s="776" t="str">
        <f t="shared" si="11"/>
        <v>项目停车位配比</v>
      </c>
      <c r="R27" s="777" t="s">
        <v>17</v>
      </c>
      <c r="S27" s="778">
        <f t="shared" si="12"/>
        <v>100</v>
      </c>
      <c r="T27" s="777" t="s">
        <v>17</v>
      </c>
      <c r="U27" s="778">
        <f t="shared" si="13"/>
        <v>100</v>
      </c>
      <c r="V27" s="777" t="s">
        <v>17</v>
      </c>
      <c r="W27" s="778">
        <f t="shared" si="14"/>
        <v>100</v>
      </c>
      <c r="X27" s="779"/>
      <c r="Y27" s="3177"/>
      <c r="Z27" s="780" t="str">
        <f t="shared" si="15"/>
        <v>项目停车位配比</v>
      </c>
      <c r="AA27" s="1810">
        <f t="shared" si="3"/>
        <v>1</v>
      </c>
      <c r="AB27" s="1810">
        <f t="shared" si="4"/>
        <v>1</v>
      </c>
      <c r="AC27" s="1810">
        <f t="shared" si="5"/>
        <v>1</v>
      </c>
    </row>
    <row r="28" spans="1:29" ht="15">
      <c r="A28" s="656"/>
      <c r="B28" s="654" t="s">
        <v>2662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7"/>
      <c r="Q28" s="1809" t="str">
        <f t="shared" si="11"/>
        <v>公共部分装修</v>
      </c>
      <c r="R28" s="774" t="s">
        <v>17</v>
      </c>
      <c r="S28" s="775">
        <f t="shared" si="12"/>
        <v>100</v>
      </c>
      <c r="T28" s="774" t="s">
        <v>17</v>
      </c>
      <c r="U28" s="775">
        <f t="shared" si="13"/>
        <v>100</v>
      </c>
      <c r="V28" s="774" t="s">
        <v>17</v>
      </c>
      <c r="W28" s="775">
        <f t="shared" si="14"/>
        <v>100</v>
      </c>
      <c r="X28" s="1812"/>
      <c r="Y28" s="3177"/>
      <c r="Z28" s="1813" t="str">
        <f t="shared" si="15"/>
        <v>公共部分装修</v>
      </c>
      <c r="AA28" s="1810">
        <f t="shared" si="3"/>
        <v>1</v>
      </c>
      <c r="AB28" s="1810">
        <f t="shared" si="4"/>
        <v>1</v>
      </c>
      <c r="AC28" s="1810">
        <f t="shared" si="5"/>
        <v>1</v>
      </c>
    </row>
    <row r="29" spans="1:29" ht="15">
      <c r="A29" s="656"/>
      <c r="B29" s="654" t="s">
        <v>2663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7"/>
      <c r="Q29" s="1809" t="str">
        <f t="shared" si="11"/>
        <v>成新率</v>
      </c>
      <c r="R29" s="774" t="s">
        <v>17</v>
      </c>
      <c r="S29" s="775" t="e">
        <f t="shared" si="12"/>
        <v>#N/A</v>
      </c>
      <c r="T29" s="774" t="s">
        <v>17</v>
      </c>
      <c r="U29" s="775" t="e">
        <f t="shared" si="13"/>
        <v>#N/A</v>
      </c>
      <c r="V29" s="774" t="s">
        <v>17</v>
      </c>
      <c r="W29" s="775" t="e">
        <f t="shared" si="14"/>
        <v>#N/A</v>
      </c>
      <c r="X29" s="1812"/>
      <c r="Y29" s="3177"/>
      <c r="Z29" s="1813" t="str">
        <f t="shared" si="15"/>
        <v>成新率</v>
      </c>
      <c r="AA29" s="1810" t="e">
        <f t="shared" si="3"/>
        <v>#N/A</v>
      </c>
      <c r="AB29" s="1810" t="e">
        <f t="shared" si="4"/>
        <v>#N/A</v>
      </c>
      <c r="AC29" s="1810" t="e">
        <f t="shared" si="5"/>
        <v>#N/A</v>
      </c>
    </row>
    <row r="30" spans="1:29" ht="15">
      <c r="A30" s="656"/>
      <c r="B30" s="654" t="s">
        <v>2664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7"/>
      <c r="Q30" s="1809" t="str">
        <f t="shared" si="11"/>
        <v>物业等级</v>
      </c>
      <c r="R30" s="774" t="s">
        <v>17</v>
      </c>
      <c r="S30" s="775">
        <f t="shared" si="12"/>
        <v>100</v>
      </c>
      <c r="T30" s="774" t="s">
        <v>17</v>
      </c>
      <c r="U30" s="775">
        <f t="shared" si="13"/>
        <v>100</v>
      </c>
      <c r="V30" s="774" t="s">
        <v>17</v>
      </c>
      <c r="W30" s="775">
        <f t="shared" si="14"/>
        <v>100</v>
      </c>
      <c r="X30" s="1812"/>
      <c r="Y30" s="3177"/>
      <c r="Z30" s="1813" t="str">
        <f t="shared" si="15"/>
        <v>物业等级</v>
      </c>
      <c r="AA30" s="1810">
        <f t="shared" si="3"/>
        <v>1</v>
      </c>
      <c r="AB30" s="1810">
        <f t="shared" si="4"/>
        <v>1</v>
      </c>
      <c r="AC30" s="1810">
        <f t="shared" si="5"/>
        <v>1</v>
      </c>
    </row>
    <row r="31" spans="1:29" s="117" customFormat="1" ht="15">
      <c r="A31" s="658"/>
      <c r="B31" s="654" t="s">
        <v>2665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7"/>
      <c r="Q31" s="1794" t="str">
        <f t="shared" si="11"/>
        <v>停车位面积</v>
      </c>
      <c r="R31" s="770" t="s">
        <v>17</v>
      </c>
      <c r="S31" s="771" t="e">
        <f t="shared" si="12"/>
        <v>#N/A</v>
      </c>
      <c r="T31" s="770" t="s">
        <v>17</v>
      </c>
      <c r="U31" s="771" t="e">
        <f t="shared" si="13"/>
        <v>#N/A</v>
      </c>
      <c r="V31" s="770" t="s">
        <v>17</v>
      </c>
      <c r="W31" s="771" t="e">
        <f t="shared" si="14"/>
        <v>#N/A</v>
      </c>
      <c r="X31" s="772"/>
      <c r="Y31" s="3177"/>
      <c r="Z31" s="55" t="str">
        <f t="shared" si="15"/>
        <v>停车位面积</v>
      </c>
      <c r="AA31" s="773" t="e">
        <f t="shared" si="3"/>
        <v>#N/A</v>
      </c>
      <c r="AB31" s="773" t="e">
        <f t="shared" si="4"/>
        <v>#N/A</v>
      </c>
      <c r="AC31" s="773" t="e">
        <f t="shared" si="5"/>
        <v>#N/A</v>
      </c>
    </row>
    <row r="32" spans="1:29" ht="15">
      <c r="A32" s="656"/>
      <c r="B32" s="654" t="s">
        <v>2666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7" t="s">
        <v>2513</v>
      </c>
      <c r="Q32" s="1809" t="str">
        <f t="shared" si="11"/>
        <v>车位类型</v>
      </c>
      <c r="R32" s="774" t="s">
        <v>17</v>
      </c>
      <c r="S32" s="775">
        <f t="shared" si="12"/>
        <v>100</v>
      </c>
      <c r="T32" s="774" t="s">
        <v>17</v>
      </c>
      <c r="U32" s="775">
        <f t="shared" si="13"/>
        <v>100</v>
      </c>
      <c r="V32" s="774" t="s">
        <v>17</v>
      </c>
      <c r="W32" s="775">
        <f t="shared" si="14"/>
        <v>100</v>
      </c>
      <c r="X32" s="1812"/>
      <c r="Y32" s="3177" t="s">
        <v>2513</v>
      </c>
      <c r="Z32" s="1813" t="str">
        <f t="shared" si="15"/>
        <v>车位类型</v>
      </c>
      <c r="AA32" s="1810">
        <f t="shared" si="3"/>
        <v>1</v>
      </c>
      <c r="AB32" s="1810">
        <f t="shared" si="4"/>
        <v>1</v>
      </c>
      <c r="AC32" s="1810">
        <f t="shared" si="5"/>
        <v>1</v>
      </c>
    </row>
    <row r="33" spans="1:29" ht="15">
      <c r="A33" s="656"/>
      <c r="B33" s="654" t="s">
        <v>2667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7"/>
      <c r="Q33" s="1809" t="str">
        <f t="shared" si="11"/>
        <v>是否直接入户</v>
      </c>
      <c r="R33" s="774" t="s">
        <v>17</v>
      </c>
      <c r="S33" s="775">
        <f t="shared" si="12"/>
        <v>100</v>
      </c>
      <c r="T33" s="774" t="s">
        <v>17</v>
      </c>
      <c r="U33" s="775">
        <f t="shared" si="13"/>
        <v>100</v>
      </c>
      <c r="V33" s="774" t="s">
        <v>17</v>
      </c>
      <c r="W33" s="775">
        <f t="shared" si="14"/>
        <v>100</v>
      </c>
      <c r="X33" s="1812"/>
      <c r="Y33" s="317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7"/>
      <c r="Q34" s="1809">
        <f t="shared" si="11"/>
        <v>111</v>
      </c>
      <c r="R34" s="774" t="s">
        <v>17</v>
      </c>
      <c r="S34" s="775">
        <f t="shared" si="12"/>
        <v>100</v>
      </c>
      <c r="T34" s="774" t="s">
        <v>17</v>
      </c>
      <c r="U34" s="775">
        <f t="shared" si="13"/>
        <v>100</v>
      </c>
      <c r="V34" s="774" t="s">
        <v>17</v>
      </c>
      <c r="W34" s="775">
        <f t="shared" si="14"/>
        <v>100</v>
      </c>
      <c r="X34" s="1812"/>
      <c r="Y34" s="317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7"/>
      <c r="Q35" s="776">
        <f t="shared" si="11"/>
        <v>111</v>
      </c>
      <c r="R35" s="777" t="s">
        <v>17</v>
      </c>
      <c r="S35" s="778">
        <f t="shared" si="12"/>
        <v>100</v>
      </c>
      <c r="T35" s="777" t="s">
        <v>17</v>
      </c>
      <c r="U35" s="778">
        <f t="shared" si="13"/>
        <v>100</v>
      </c>
      <c r="V35" s="777" t="s">
        <v>17</v>
      </c>
      <c r="W35" s="778">
        <f t="shared" si="14"/>
        <v>100</v>
      </c>
      <c r="X35" s="779"/>
      <c r="Y35" s="317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7"/>
      <c r="Q36" s="1809">
        <f t="shared" si="11"/>
        <v>111</v>
      </c>
      <c r="R36" s="774" t="s">
        <v>17</v>
      </c>
      <c r="S36" s="775">
        <f t="shared" si="12"/>
        <v>100</v>
      </c>
      <c r="T36" s="774" t="s">
        <v>17</v>
      </c>
      <c r="U36" s="775">
        <f t="shared" si="13"/>
        <v>100</v>
      </c>
      <c r="V36" s="774" t="s">
        <v>17</v>
      </c>
      <c r="W36" s="775">
        <f t="shared" si="14"/>
        <v>100</v>
      </c>
      <c r="X36" s="1812"/>
      <c r="Y36" s="3177"/>
      <c r="Z36" s="1813">
        <f t="shared" si="15"/>
        <v>111</v>
      </c>
      <c r="AA36" s="1810">
        <f t="shared" si="3"/>
        <v>1</v>
      </c>
      <c r="AB36" s="1810">
        <f t="shared" si="4"/>
        <v>1</v>
      </c>
      <c r="AC36" s="1810">
        <f t="shared" si="5"/>
        <v>1</v>
      </c>
    </row>
    <row r="37" spans="1:29" ht="15">
      <c r="A37" s="479" t="s">
        <v>2668</v>
      </c>
      <c r="B37" s="2697" t="s">
        <v>2669</v>
      </c>
      <c r="C37" s="1407" t="s">
        <v>1</v>
      </c>
      <c r="D37" s="1408"/>
      <c r="E37" s="1409"/>
      <c r="F37" s="1410"/>
      <c r="G37" s="1411"/>
      <c r="H37" s="1412"/>
      <c r="I37" s="1409"/>
      <c r="J37" s="1412"/>
      <c r="K37" s="619"/>
      <c r="L37" s="1143"/>
      <c r="M37" s="1144"/>
      <c r="N37" s="1131"/>
      <c r="O37" s="1144"/>
      <c r="P37" s="3170" t="str">
        <f>A37</f>
        <v>成交单价</v>
      </c>
      <c r="Q37" s="3170"/>
      <c r="R37" s="3171">
        <f>E37</f>
        <v>0</v>
      </c>
      <c r="S37" s="3171"/>
      <c r="T37" s="3171">
        <f>G37</f>
        <v>0</v>
      </c>
      <c r="U37" s="3171"/>
      <c r="V37" s="3171">
        <f>I37</f>
        <v>0</v>
      </c>
      <c r="W37" s="3171"/>
      <c r="X37" s="759"/>
      <c r="Y37" s="781"/>
      <c r="Z37" s="759"/>
      <c r="AA37" s="759"/>
      <c r="AB37" s="759"/>
      <c r="AC37" s="759"/>
    </row>
    <row r="38" spans="1:29" ht="15.75" thickBot="1">
      <c r="A38" s="486" t="s">
        <v>2670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0" t="str">
        <f>A38</f>
        <v>比较价值（元/平方米）</v>
      </c>
      <c r="Q38" s="3170"/>
      <c r="R38" s="3171" t="e">
        <f>IF(F1="售价",ROUND(PRODUCT(R37,AA7:AA36),0),ROUND(PRODUCT(R37,AA7:AA36),1))</f>
        <v>#DIV/0!</v>
      </c>
      <c r="S38" s="3171"/>
      <c r="T38" s="3171" t="e">
        <f>IF(F1="售价",ROUND(PRODUCT(T37,AB7:AB36),0),ROUND(PRODUCT(T37,AB7:AB36),1))</f>
        <v>#DIV/0!</v>
      </c>
      <c r="U38" s="3171"/>
      <c r="V38" s="3171" t="e">
        <f>IF(F1="售价",ROUND(PRODUCT(V37,AC7:AC36),0),ROUND(PRODUCT(V37,AC7:AC36),1))</f>
        <v>#DIV/0!</v>
      </c>
      <c r="W38" s="3171"/>
      <c r="X38" s="759"/>
      <c r="Y38" s="759"/>
      <c r="Z38" s="759"/>
      <c r="AA38" s="759"/>
      <c r="AB38" s="759"/>
      <c r="AC38" s="759"/>
    </row>
    <row r="39" spans="1:29" ht="15.75" thickBot="1">
      <c r="A39" s="492" t="s">
        <v>2671</v>
      </c>
      <c r="B39" s="493"/>
      <c r="C39" s="1417" t="e">
        <f>R39</f>
        <v>#DIV/0!</v>
      </c>
      <c r="D39" s="1417"/>
      <c r="E39" s="1417"/>
      <c r="F39" s="1417"/>
      <c r="G39" s="1417"/>
      <c r="H39" s="1417"/>
      <c r="I39" s="1417"/>
      <c r="J39" s="1417"/>
      <c r="K39" s="621"/>
      <c r="L39" s="1143"/>
      <c r="M39" s="1144"/>
      <c r="N39" s="1144"/>
      <c r="O39" s="1144"/>
      <c r="P39" s="3167" t="str">
        <f>A39</f>
        <v>估价对象XX用房的比较价值（楼面单价，元/平方米）</v>
      </c>
      <c r="Q39" s="3168"/>
      <c r="R39" s="3169" t="e">
        <f>IF(F1="售价",ROUND(AVERAGE(R38:V38),0),ROUND(AVERAGE(R38:V38),1))</f>
        <v>#DIV/0!</v>
      </c>
      <c r="S39" s="3169"/>
      <c r="T39" s="3169"/>
      <c r="U39" s="3169"/>
      <c r="V39" s="3169"/>
      <c r="W39" s="316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2676</v>
      </c>
      <c r="B48" s="506"/>
      <c r="C48" s="1573" t="str">
        <f>YEAR(C7)&amp;"-"&amp;MONTH(C7)</f>
        <v>2019-3</v>
      </c>
      <c r="D48" s="1574">
        <f>EDATE(C48,-1)</f>
        <v>43497</v>
      </c>
      <c r="E48" s="1574">
        <f t="shared" ref="E48:O48" si="16">EDATE(D48,-1)</f>
        <v>43466</v>
      </c>
      <c r="F48" s="1574">
        <f t="shared" si="16"/>
        <v>43435</v>
      </c>
      <c r="G48" s="1574">
        <f t="shared" si="16"/>
        <v>43405</v>
      </c>
      <c r="H48" s="1574">
        <f t="shared" si="16"/>
        <v>43374</v>
      </c>
      <c r="I48" s="1574">
        <f t="shared" si="16"/>
        <v>43344</v>
      </c>
      <c r="J48" s="1574">
        <f t="shared" si="16"/>
        <v>43313</v>
      </c>
      <c r="K48" s="1574">
        <f t="shared" si="16"/>
        <v>43282</v>
      </c>
      <c r="L48" s="1574">
        <f t="shared" si="16"/>
        <v>43252</v>
      </c>
      <c r="M48" s="1574">
        <f t="shared" si="16"/>
        <v>43221</v>
      </c>
      <c r="N48" s="1574">
        <f t="shared" si="16"/>
        <v>43191</v>
      </c>
      <c r="O48" s="1574">
        <f t="shared" si="16"/>
        <v>43160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2498</v>
      </c>
      <c r="B51" s="510"/>
      <c r="C51" s="522" t="s">
        <v>2600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2536</v>
      </c>
      <c r="B53" s="528" t="s">
        <v>2502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2505</v>
      </c>
      <c r="C55" s="539" t="s">
        <v>2537</v>
      </c>
      <c r="D55" s="539" t="s">
        <v>2538</v>
      </c>
      <c r="E55" s="539" t="s">
        <v>2539</v>
      </c>
      <c r="F55" s="539" t="s">
        <v>2540</v>
      </c>
      <c r="G55" s="539" t="s">
        <v>2541</v>
      </c>
      <c r="H55" s="539" t="s">
        <v>2542</v>
      </c>
      <c r="I55" s="539" t="s">
        <v>2543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2507</v>
      </c>
      <c r="B63" s="528" t="s">
        <v>2550</v>
      </c>
      <c r="C63" s="573" t="s">
        <v>2545</v>
      </c>
      <c r="D63" s="573" t="s">
        <v>2546</v>
      </c>
      <c r="E63" s="573" t="s">
        <v>2547</v>
      </c>
      <c r="F63" s="573" t="s">
        <v>2548</v>
      </c>
      <c r="G63" s="573" t="s">
        <v>2549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2551</v>
      </c>
      <c r="C65" s="578" t="s">
        <v>2545</v>
      </c>
      <c r="D65" s="578" t="s">
        <v>2546</v>
      </c>
      <c r="E65" s="578" t="s">
        <v>2547</v>
      </c>
      <c r="F65" s="578" t="s">
        <v>2548</v>
      </c>
      <c r="G65" s="578" t="s">
        <v>2549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2637</v>
      </c>
      <c r="C67" s="660" t="s">
        <v>2623</v>
      </c>
      <c r="D67" s="660" t="s">
        <v>2624</v>
      </c>
      <c r="E67" s="660" t="s">
        <v>2625</v>
      </c>
      <c r="F67" s="660" t="s">
        <v>2626</v>
      </c>
      <c r="G67" s="660" t="s">
        <v>2627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2557</v>
      </c>
      <c r="C69" s="578" t="s">
        <v>2545</v>
      </c>
      <c r="D69" s="578" t="s">
        <v>2546</v>
      </c>
      <c r="E69" s="578" t="s">
        <v>2547</v>
      </c>
      <c r="F69" s="578" t="s">
        <v>2548</v>
      </c>
      <c r="G69" s="578" t="s">
        <v>2549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2511</v>
      </c>
      <c r="B79" s="528" t="s">
        <v>2678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2679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2655</v>
      </c>
      <c r="B1" s="1618"/>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IF(C2="——",ROUND(C37*D3/10000,0),ROUND(C37*D3/10000,0)-D2)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IF(C2="——",C37,ROUND(B2*10000/D3,0))</f>
        <v>#DIV/0!</v>
      </c>
      <c r="C3" s="400" t="s">
        <v>2592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5" t="s">
        <v>2594</v>
      </c>
      <c r="D4" s="3186"/>
      <c r="E4" s="3187" t="s">
        <v>2595</v>
      </c>
      <c r="F4" s="3188"/>
      <c r="G4" s="3185" t="s">
        <v>2596</v>
      </c>
      <c r="H4" s="3186"/>
      <c r="I4" s="3185" t="s">
        <v>2597</v>
      </c>
      <c r="J4" s="3186"/>
      <c r="K4" s="610" t="s">
        <v>2598</v>
      </c>
      <c r="L4" s="1130"/>
      <c r="M4" s="1131"/>
      <c r="N4" s="1131"/>
      <c r="O4" s="1131"/>
      <c r="P4" s="3189" t="s">
        <v>2599</v>
      </c>
      <c r="Q4" s="3190"/>
      <c r="R4" s="3195" t="s">
        <v>2595</v>
      </c>
      <c r="S4" s="3196"/>
      <c r="T4" s="3195" t="s">
        <v>2596</v>
      </c>
      <c r="U4" s="3196"/>
      <c r="V4" s="3201" t="s">
        <v>2597</v>
      </c>
      <c r="W4" s="3201"/>
      <c r="X4" s="1812"/>
      <c r="Y4" s="3195" t="s">
        <v>2599</v>
      </c>
      <c r="Z4" s="3196"/>
      <c r="AA4" s="3182" t="s">
        <v>2595</v>
      </c>
      <c r="AB4" s="3183" t="s">
        <v>2596</v>
      </c>
      <c r="AC4" s="3182" t="s">
        <v>2597</v>
      </c>
    </row>
    <row r="5" spans="1:29" ht="15">
      <c r="A5" s="404"/>
      <c r="B5" s="405"/>
      <c r="C5" s="3204" t="s">
        <v>2490</v>
      </c>
      <c r="D5" s="3205"/>
      <c r="E5" s="3211" t="s">
        <v>2491</v>
      </c>
      <c r="F5" s="3212"/>
      <c r="G5" s="3204" t="s">
        <v>2492</v>
      </c>
      <c r="H5" s="3205"/>
      <c r="I5" s="3204" t="s">
        <v>2493</v>
      </c>
      <c r="J5" s="3205"/>
      <c r="K5" s="610"/>
      <c r="L5" s="1130"/>
      <c r="M5" s="1131"/>
      <c r="N5" s="1131"/>
      <c r="O5" s="1131"/>
      <c r="P5" s="3191"/>
      <c r="Q5" s="3192"/>
      <c r="R5" s="3197"/>
      <c r="S5" s="3198"/>
      <c r="T5" s="3197"/>
      <c r="U5" s="3198"/>
      <c r="V5" s="3201"/>
      <c r="W5" s="3201"/>
      <c r="X5" s="1812"/>
      <c r="Y5" s="3197"/>
      <c r="Z5" s="3198"/>
      <c r="AA5" s="3183"/>
      <c r="AB5" s="3183"/>
      <c r="AC5" s="3183"/>
    </row>
    <row r="6" spans="1:29" ht="15.75" thickBot="1">
      <c r="A6" s="406"/>
      <c r="B6" s="407"/>
      <c r="C6" s="3202" t="s">
        <v>2494</v>
      </c>
      <c r="D6" s="3203"/>
      <c r="E6" s="3209" t="s">
        <v>2494</v>
      </c>
      <c r="F6" s="3210"/>
      <c r="G6" s="3202" t="s">
        <v>2494</v>
      </c>
      <c r="H6" s="3203"/>
      <c r="I6" s="3202" t="s">
        <v>2494</v>
      </c>
      <c r="J6" s="3203"/>
      <c r="K6" s="610" t="s">
        <v>2495</v>
      </c>
      <c r="L6" s="1130"/>
      <c r="M6" s="1131"/>
      <c r="N6" s="1131"/>
      <c r="O6" s="1131"/>
      <c r="P6" s="3193"/>
      <c r="Q6" s="3194"/>
      <c r="R6" s="3197"/>
      <c r="S6" s="3198"/>
      <c r="T6" s="3199"/>
      <c r="U6" s="3200"/>
      <c r="V6" s="3201"/>
      <c r="W6" s="3201"/>
      <c r="X6" s="1812"/>
      <c r="Y6" s="3199"/>
      <c r="Z6" s="3200"/>
      <c r="AA6" s="3184"/>
      <c r="AB6" s="3184"/>
      <c r="AC6" s="3184"/>
    </row>
    <row r="7" spans="1:29" s="117" customFormat="1" ht="15.75" thickBot="1">
      <c r="A7" s="408" t="s">
        <v>2496</v>
      </c>
      <c r="B7" s="409"/>
      <c r="C7" s="410">
        <f>'数据-取费表'!B2</f>
        <v>43537</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6" t="s">
        <v>2497</v>
      </c>
      <c r="Q7" s="3208"/>
      <c r="R7" s="770" t="s">
        <v>17</v>
      </c>
      <c r="S7" s="771">
        <f t="shared" ref="S7:S14" si="0">F7</f>
        <v>0</v>
      </c>
      <c r="T7" s="770" t="s">
        <v>17</v>
      </c>
      <c r="U7" s="771">
        <f t="shared" ref="U7:U14" si="1">H7</f>
        <v>0</v>
      </c>
      <c r="V7" s="770" t="s">
        <v>17</v>
      </c>
      <c r="W7" s="771">
        <f t="shared" ref="W7:W14" si="2">J7</f>
        <v>0</v>
      </c>
      <c r="X7" s="772"/>
      <c r="Y7" s="3206" t="s">
        <v>2497</v>
      </c>
      <c r="Z7" s="3207"/>
      <c r="AA7" s="773" t="e">
        <f>D7/F7</f>
        <v>#DIV/0!</v>
      </c>
      <c r="AB7" s="773" t="e">
        <f>D7/H7</f>
        <v>#DIV/0!</v>
      </c>
      <c r="AC7" s="773" t="e">
        <f>D7/J7</f>
        <v>#DIV/0!</v>
      </c>
    </row>
    <row r="8" spans="1:29" s="117" customFormat="1" ht="15.75" thickBot="1">
      <c r="A8" s="408" t="s">
        <v>2498</v>
      </c>
      <c r="B8" s="409"/>
      <c r="C8" s="414" t="s">
        <v>2600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6" t="s">
        <v>2500</v>
      </c>
      <c r="Q8" s="3207"/>
      <c r="R8" s="770" t="s">
        <v>17</v>
      </c>
      <c r="S8" s="771">
        <f t="shared" si="0"/>
        <v>0</v>
      </c>
      <c r="T8" s="770" t="s">
        <v>17</v>
      </c>
      <c r="U8" s="771">
        <f t="shared" si="1"/>
        <v>0</v>
      </c>
      <c r="V8" s="770" t="s">
        <v>17</v>
      </c>
      <c r="W8" s="771">
        <f t="shared" si="2"/>
        <v>0</v>
      </c>
      <c r="X8" s="772"/>
      <c r="Y8" s="3206" t="s">
        <v>2500</v>
      </c>
      <c r="Z8" s="3207"/>
      <c r="AA8" s="773" t="e">
        <f t="shared" ref="AA8:AA34" si="3">D8/F8</f>
        <v>#DIV/0!</v>
      </c>
      <c r="AB8" s="773" t="e">
        <f t="shared" ref="AB8:AB34" si="4">D8/H8</f>
        <v>#DIV/0!</v>
      </c>
      <c r="AC8" s="773" t="e">
        <f t="shared" ref="AC8:AC34" si="5">D8/J8</f>
        <v>#DIV/0!</v>
      </c>
    </row>
    <row r="9" spans="1:29" s="117" customFormat="1">
      <c r="A9" s="415" t="s">
        <v>2501</v>
      </c>
      <c r="B9" s="71" t="s">
        <v>2502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0" t="s">
        <v>2503</v>
      </c>
      <c r="Q9" s="1794" t="str">
        <f t="shared" ref="Q9:Q14" si="6">B9</f>
        <v>用途</v>
      </c>
      <c r="R9" s="770" t="s">
        <v>17</v>
      </c>
      <c r="S9" s="771">
        <f t="shared" si="0"/>
        <v>100</v>
      </c>
      <c r="T9" s="770" t="s">
        <v>17</v>
      </c>
      <c r="U9" s="771">
        <f t="shared" si="1"/>
        <v>100</v>
      </c>
      <c r="V9" s="770" t="s">
        <v>17</v>
      </c>
      <c r="W9" s="771">
        <f t="shared" si="2"/>
        <v>100</v>
      </c>
      <c r="X9" s="772"/>
      <c r="Y9" s="2997" t="s">
        <v>2504</v>
      </c>
      <c r="Z9" s="55" t="str">
        <f t="shared" ref="Z9:Z14" si="7">Q9</f>
        <v>用途</v>
      </c>
      <c r="AA9" s="773">
        <f t="shared" si="3"/>
        <v>1</v>
      </c>
      <c r="AB9" s="773">
        <f t="shared" si="4"/>
        <v>1</v>
      </c>
      <c r="AC9" s="773">
        <f t="shared" si="5"/>
        <v>1</v>
      </c>
    </row>
    <row r="10" spans="1:29" s="427" customFormat="1" ht="27">
      <c r="A10" s="421"/>
      <c r="B10" s="422" t="s">
        <v>2505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0"/>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0"/>
      <c r="Q11" s="1794">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0"/>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70"/>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40" t="s">
        <v>2507</v>
      </c>
      <c r="B14" s="6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2" t="s">
        <v>2508</v>
      </c>
      <c r="Q14" s="1809" t="str">
        <f t="shared" si="6"/>
        <v>交通便捷度</v>
      </c>
      <c r="R14" s="774" t="s">
        <v>17</v>
      </c>
      <c r="S14" s="775">
        <f t="shared" si="0"/>
        <v>100</v>
      </c>
      <c r="T14" s="774" t="s">
        <v>17</v>
      </c>
      <c r="U14" s="775">
        <f t="shared" si="1"/>
        <v>100</v>
      </c>
      <c r="V14" s="774" t="s">
        <v>17</v>
      </c>
      <c r="W14" s="775">
        <f t="shared" si="2"/>
        <v>100</v>
      </c>
      <c r="X14" s="1812"/>
      <c r="Y14" s="3172" t="s">
        <v>2508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73"/>
      <c r="Q15" s="1809"/>
      <c r="R15" s="774"/>
      <c r="S15" s="775"/>
      <c r="T15" s="774"/>
      <c r="U15" s="775"/>
      <c r="V15" s="774"/>
      <c r="W15" s="775"/>
      <c r="X15" s="1812"/>
      <c r="Y15" s="3173"/>
      <c r="Z15" s="1813"/>
      <c r="AA15" s="1810">
        <v>1</v>
      </c>
      <c r="AB15" s="1810">
        <v>1</v>
      </c>
      <c r="AC15" s="1810">
        <v>1</v>
      </c>
    </row>
    <row r="16" spans="1:29" ht="42.75">
      <c r="A16" s="428"/>
      <c r="B16" s="451" t="s">
        <v>2636</v>
      </c>
      <c r="C16" s="2609"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3"/>
      <c r="Q16" s="1809" t="str">
        <f>B16</f>
        <v>公共配套设施</v>
      </c>
      <c r="R16" s="774" t="s">
        <v>17</v>
      </c>
      <c r="S16" s="775">
        <f>F16</f>
        <v>100</v>
      </c>
      <c r="T16" s="774" t="s">
        <v>17</v>
      </c>
      <c r="U16" s="775">
        <f>H16</f>
        <v>100</v>
      </c>
      <c r="V16" s="774" t="s">
        <v>17</v>
      </c>
      <c r="W16" s="775">
        <f>J16</f>
        <v>100</v>
      </c>
      <c r="X16" s="1812"/>
      <c r="Y16" s="3173"/>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173"/>
      <c r="Q17" s="1809"/>
      <c r="R17" s="774"/>
      <c r="S17" s="775"/>
      <c r="T17" s="774"/>
      <c r="U17" s="775"/>
      <c r="V17" s="774"/>
      <c r="W17" s="775"/>
      <c r="X17" s="1812"/>
      <c r="Y17" s="3173"/>
      <c r="Z17" s="1813"/>
      <c r="AA17" s="1810">
        <v>1</v>
      </c>
      <c r="AB17" s="1810">
        <v>1</v>
      </c>
      <c r="AC17" s="1810">
        <v>1</v>
      </c>
    </row>
    <row r="18" spans="1:29" ht="28.5">
      <c r="A18" s="428"/>
      <c r="B18" s="1384" t="s">
        <v>2637</v>
      </c>
      <c r="C18" s="2609"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3"/>
      <c r="Q18" s="1809" t="str">
        <f>B18</f>
        <v>基础设施水平</v>
      </c>
      <c r="R18" s="774" t="s">
        <v>17</v>
      </c>
      <c r="S18" s="775">
        <f>F18</f>
        <v>100</v>
      </c>
      <c r="T18" s="774" t="s">
        <v>17</v>
      </c>
      <c r="U18" s="775">
        <f>H18</f>
        <v>100</v>
      </c>
      <c r="V18" s="774" t="s">
        <v>17</v>
      </c>
      <c r="W18" s="775">
        <f>J18</f>
        <v>100</v>
      </c>
      <c r="X18" s="1812"/>
      <c r="Y18" s="3173"/>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173"/>
      <c r="Q19" s="1809"/>
      <c r="R19" s="774"/>
      <c r="S19" s="775"/>
      <c r="T19" s="774"/>
      <c r="U19" s="775"/>
      <c r="V19" s="774"/>
      <c r="W19" s="775"/>
      <c r="X19" s="1812"/>
      <c r="Y19" s="3173"/>
      <c r="Z19" s="1813"/>
      <c r="AA19" s="1810">
        <v>1</v>
      </c>
      <c r="AB19" s="1810">
        <v>1</v>
      </c>
      <c r="AC19" s="1810">
        <v>1</v>
      </c>
    </row>
    <row r="20" spans="1:29" ht="57">
      <c r="A20" s="428"/>
      <c r="B20" s="451" t="s">
        <v>2658</v>
      </c>
      <c r="C20" s="2609" t="str">
        <f>IF(B1="工业",估价对象房地状况!G7,估价对象房地状况!C9)</f>
        <v>区域自然环境一般；人文环境一般；综合评价环境状况一般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3"/>
      <c r="Q20" s="1809" t="str">
        <f>B20</f>
        <v>自然及人文环境</v>
      </c>
      <c r="R20" s="774" t="s">
        <v>17</v>
      </c>
      <c r="S20" s="775">
        <f>F20</f>
        <v>100</v>
      </c>
      <c r="T20" s="774" t="s">
        <v>17</v>
      </c>
      <c r="U20" s="775">
        <f>H20</f>
        <v>100</v>
      </c>
      <c r="V20" s="774" t="s">
        <v>17</v>
      </c>
      <c r="W20" s="775">
        <f>J20</f>
        <v>100</v>
      </c>
      <c r="X20" s="1812"/>
      <c r="Y20" s="3173"/>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73"/>
      <c r="Q21" s="1809"/>
      <c r="R21" s="774"/>
      <c r="S21" s="775"/>
      <c r="T21" s="774"/>
      <c r="U21" s="775"/>
      <c r="V21" s="774"/>
      <c r="W21" s="775"/>
      <c r="X21" s="1812"/>
      <c r="Y21" s="3173"/>
      <c r="Z21" s="1813"/>
      <c r="AA21" s="1810">
        <v>1</v>
      </c>
      <c r="AB21" s="1810">
        <v>1</v>
      </c>
      <c r="AC21" s="1810">
        <v>1</v>
      </c>
    </row>
    <row r="22" spans="1:29" ht="15">
      <c r="A22" s="428"/>
      <c r="B22" s="451" t="s">
        <v>2659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3"/>
      <c r="Q22" s="1809" t="str">
        <f>B22</f>
        <v>楼层</v>
      </c>
      <c r="R22" s="774" t="s">
        <v>17</v>
      </c>
      <c r="S22" s="775">
        <f>F22</f>
        <v>100</v>
      </c>
      <c r="T22" s="774" t="s">
        <v>17</v>
      </c>
      <c r="U22" s="775">
        <f>H22</f>
        <v>100</v>
      </c>
      <c r="V22" s="774" t="s">
        <v>17</v>
      </c>
      <c r="W22" s="775">
        <f>J22</f>
        <v>100</v>
      </c>
      <c r="X22" s="1812"/>
      <c r="Y22" s="3173"/>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3"/>
      <c r="Q23" s="1809">
        <f>B23</f>
        <v>111</v>
      </c>
      <c r="R23" s="774" t="s">
        <v>17</v>
      </c>
      <c r="S23" s="775">
        <f>F23</f>
        <v>100</v>
      </c>
      <c r="T23" s="774" t="s">
        <v>17</v>
      </c>
      <c r="U23" s="775">
        <f>H23</f>
        <v>100</v>
      </c>
      <c r="V23" s="774" t="s">
        <v>17</v>
      </c>
      <c r="W23" s="775">
        <f>J23</f>
        <v>100</v>
      </c>
      <c r="X23" s="1812"/>
      <c r="Y23" s="3173"/>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3"/>
      <c r="Q24" s="1809">
        <f t="shared" ref="Q24:Q34" si="11">B24</f>
        <v>111</v>
      </c>
      <c r="R24" s="774" t="s">
        <v>17</v>
      </c>
      <c r="S24" s="775">
        <f>F24</f>
        <v>100</v>
      </c>
      <c r="T24" s="774" t="s">
        <v>17</v>
      </c>
      <c r="U24" s="775">
        <f>H24</f>
        <v>100</v>
      </c>
      <c r="V24" s="774" t="s">
        <v>17</v>
      </c>
      <c r="W24" s="775">
        <f>J24</f>
        <v>100</v>
      </c>
      <c r="X24" s="1812"/>
      <c r="Y24" s="3173"/>
      <c r="Z24" s="1813">
        <f>Q24</f>
        <v>111</v>
      </c>
      <c r="AA24" s="1810">
        <f t="shared" si="3"/>
        <v>1</v>
      </c>
      <c r="AB24" s="1810">
        <f t="shared" si="4"/>
        <v>1</v>
      </c>
      <c r="AC24" s="1810">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73"/>
      <c r="Q25" s="1794">
        <f t="shared" si="11"/>
        <v>111</v>
      </c>
      <c r="R25" s="770" t="s">
        <v>17</v>
      </c>
      <c r="S25" s="771">
        <f>F25</f>
        <v>100</v>
      </c>
      <c r="T25" s="770" t="s">
        <v>17</v>
      </c>
      <c r="U25" s="771">
        <f>H25</f>
        <v>100</v>
      </c>
      <c r="V25" s="770" t="s">
        <v>17</v>
      </c>
      <c r="W25" s="771">
        <f>J25</f>
        <v>100</v>
      </c>
      <c r="X25" s="772"/>
      <c r="Y25" s="3173"/>
      <c r="Z25" s="55">
        <f>Q25</f>
        <v>111</v>
      </c>
      <c r="AA25" s="1810">
        <f>D25/F25</f>
        <v>1</v>
      </c>
      <c r="AB25" s="1810">
        <f>D25/H25</f>
        <v>1</v>
      </c>
      <c r="AC25" s="1810">
        <f>D25/J25</f>
        <v>1</v>
      </c>
    </row>
    <row r="26" spans="1:29" ht="28.5">
      <c r="A26" s="466" t="s">
        <v>2511</v>
      </c>
      <c r="B26" s="71" t="s">
        <v>2662</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28" t="s">
        <v>2513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7" t="s">
        <v>2513</v>
      </c>
      <c r="Z26" s="1813" t="str">
        <f t="shared" ref="Z26:Z34" si="15">Q26</f>
        <v>公共部分装修</v>
      </c>
      <c r="AA26" s="1810">
        <f t="shared" si="3"/>
        <v>1</v>
      </c>
      <c r="AB26" s="1810">
        <f t="shared" si="4"/>
        <v>1</v>
      </c>
      <c r="AC26" s="1810">
        <f t="shared" si="5"/>
        <v>1</v>
      </c>
    </row>
    <row r="27" spans="1:29" s="471" customFormat="1" ht="15">
      <c r="A27" s="468"/>
      <c r="B27" s="422" t="s">
        <v>2663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7"/>
      <c r="Q27" s="776" t="str">
        <f t="shared" si="11"/>
        <v>成新率</v>
      </c>
      <c r="R27" s="777" t="s">
        <v>17</v>
      </c>
      <c r="S27" s="778" t="e">
        <f t="shared" si="12"/>
        <v>#N/A</v>
      </c>
      <c r="T27" s="777" t="s">
        <v>17</v>
      </c>
      <c r="U27" s="778" t="e">
        <f t="shared" si="13"/>
        <v>#N/A</v>
      </c>
      <c r="V27" s="777" t="s">
        <v>17</v>
      </c>
      <c r="W27" s="778" t="e">
        <f t="shared" si="14"/>
        <v>#N/A</v>
      </c>
      <c r="X27" s="779"/>
      <c r="Y27" s="3177"/>
      <c r="Z27" s="780" t="str">
        <f t="shared" si="15"/>
        <v>成新率</v>
      </c>
      <c r="AA27" s="1810" t="e">
        <f t="shared" si="3"/>
        <v>#N/A</v>
      </c>
      <c r="AB27" s="1810" t="e">
        <f t="shared" si="4"/>
        <v>#N/A</v>
      </c>
      <c r="AC27" s="1810" t="e">
        <f t="shared" si="5"/>
        <v>#N/A</v>
      </c>
    </row>
    <row r="28" spans="1:29" ht="15">
      <c r="A28" s="472"/>
      <c r="B28" s="422" t="s">
        <v>2664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7"/>
      <c r="Q28" s="1809" t="str">
        <f t="shared" si="11"/>
        <v>物业等级</v>
      </c>
      <c r="R28" s="774" t="s">
        <v>17</v>
      </c>
      <c r="S28" s="775">
        <f t="shared" si="12"/>
        <v>100</v>
      </c>
      <c r="T28" s="774" t="s">
        <v>17</v>
      </c>
      <c r="U28" s="775">
        <f t="shared" si="13"/>
        <v>100</v>
      </c>
      <c r="V28" s="774" t="s">
        <v>17</v>
      </c>
      <c r="W28" s="775">
        <f t="shared" si="14"/>
        <v>100</v>
      </c>
      <c r="X28" s="1812"/>
      <c r="Y28" s="3177"/>
      <c r="Z28" s="1813" t="str">
        <f t="shared" si="15"/>
        <v>物业等级</v>
      </c>
      <c r="AA28" s="1810">
        <f t="shared" si="3"/>
        <v>1</v>
      </c>
      <c r="AB28" s="1810">
        <f t="shared" si="4"/>
        <v>1</v>
      </c>
      <c r="AC28" s="1810">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7"/>
      <c r="Q29" s="1809" t="str">
        <f t="shared" si="11"/>
        <v>有无电梯</v>
      </c>
      <c r="R29" s="774" t="s">
        <v>17</v>
      </c>
      <c r="S29" s="775">
        <f t="shared" si="12"/>
        <v>100</v>
      </c>
      <c r="T29" s="774" t="s">
        <v>17</v>
      </c>
      <c r="U29" s="775">
        <f t="shared" si="13"/>
        <v>100</v>
      </c>
      <c r="V29" s="774" t="s">
        <v>17</v>
      </c>
      <c r="W29" s="775">
        <f t="shared" si="14"/>
        <v>100</v>
      </c>
      <c r="X29" s="1812"/>
      <c r="Y29" s="3177"/>
      <c r="Z29" s="1813" t="str">
        <f t="shared" si="15"/>
        <v>有无电梯</v>
      </c>
      <c r="AA29" s="1810">
        <f t="shared" si="3"/>
        <v>1</v>
      </c>
      <c r="AB29" s="1810">
        <f t="shared" si="4"/>
        <v>1</v>
      </c>
      <c r="AC29" s="1810">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7"/>
      <c r="Q30" s="1809" t="str">
        <f t="shared" si="11"/>
        <v>建筑面积</v>
      </c>
      <c r="R30" s="774" t="s">
        <v>17</v>
      </c>
      <c r="S30" s="775" t="e">
        <f t="shared" si="12"/>
        <v>#N/A</v>
      </c>
      <c r="T30" s="774" t="s">
        <v>17</v>
      </c>
      <c r="U30" s="775" t="e">
        <f t="shared" si="13"/>
        <v>#N/A</v>
      </c>
      <c r="V30" s="774" t="s">
        <v>17</v>
      </c>
      <c r="W30" s="775" t="e">
        <f t="shared" si="14"/>
        <v>#N/A</v>
      </c>
      <c r="X30" s="1812"/>
      <c r="Y30" s="3177"/>
      <c r="Z30" s="1813" t="str">
        <f t="shared" si="15"/>
        <v>建筑面积</v>
      </c>
      <c r="AA30" s="1810" t="e">
        <f t="shared" si="3"/>
        <v>#N/A</v>
      </c>
      <c r="AB30" s="1810" t="e">
        <f t="shared" si="4"/>
        <v>#N/A</v>
      </c>
      <c r="AC30" s="1810"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7"/>
      <c r="Q31" s="1794" t="str">
        <f t="shared" si="11"/>
        <v>是否封闭</v>
      </c>
      <c r="R31" s="770" t="s">
        <v>17</v>
      </c>
      <c r="S31" s="771">
        <f t="shared" si="12"/>
        <v>100</v>
      </c>
      <c r="T31" s="770" t="s">
        <v>17</v>
      </c>
      <c r="U31" s="771">
        <f t="shared" si="13"/>
        <v>100</v>
      </c>
      <c r="V31" s="770" t="s">
        <v>17</v>
      </c>
      <c r="W31" s="771">
        <f t="shared" si="14"/>
        <v>100</v>
      </c>
      <c r="X31" s="772"/>
      <c r="Y31" s="317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7" t="s">
        <v>2513</v>
      </c>
      <c r="Q32" s="1809">
        <f t="shared" si="11"/>
        <v>111</v>
      </c>
      <c r="R32" s="774" t="s">
        <v>17</v>
      </c>
      <c r="S32" s="775">
        <f t="shared" si="12"/>
        <v>100</v>
      </c>
      <c r="T32" s="774" t="s">
        <v>17</v>
      </c>
      <c r="U32" s="775">
        <f t="shared" si="13"/>
        <v>100</v>
      </c>
      <c r="V32" s="774" t="s">
        <v>17</v>
      </c>
      <c r="W32" s="775">
        <f t="shared" si="14"/>
        <v>100</v>
      </c>
      <c r="X32" s="1812"/>
      <c r="Y32" s="3177" t="s">
        <v>2513</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7"/>
      <c r="Q33" s="1809">
        <f t="shared" si="11"/>
        <v>111</v>
      </c>
      <c r="R33" s="774" t="s">
        <v>17</v>
      </c>
      <c r="S33" s="775">
        <f t="shared" si="12"/>
        <v>100</v>
      </c>
      <c r="T33" s="774" t="s">
        <v>17</v>
      </c>
      <c r="U33" s="775">
        <f t="shared" si="13"/>
        <v>100</v>
      </c>
      <c r="V33" s="774" t="s">
        <v>17</v>
      </c>
      <c r="W33" s="775">
        <f t="shared" si="14"/>
        <v>100</v>
      </c>
      <c r="X33" s="1812"/>
      <c r="Y33" s="3177"/>
      <c r="Z33" s="1813">
        <f t="shared" si="15"/>
        <v>111</v>
      </c>
      <c r="AA33" s="1810">
        <f t="shared" si="3"/>
        <v>1</v>
      </c>
      <c r="AB33" s="1810">
        <f t="shared" si="4"/>
        <v>1</v>
      </c>
      <c r="AC33" s="1810">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77"/>
      <c r="Q34" s="1809">
        <f t="shared" si="11"/>
        <v>111</v>
      </c>
      <c r="R34" s="774" t="s">
        <v>17</v>
      </c>
      <c r="S34" s="775">
        <f t="shared" si="12"/>
        <v>100</v>
      </c>
      <c r="T34" s="774" t="s">
        <v>17</v>
      </c>
      <c r="U34" s="775">
        <f t="shared" si="13"/>
        <v>100</v>
      </c>
      <c r="V34" s="774" t="s">
        <v>17</v>
      </c>
      <c r="W34" s="775">
        <f t="shared" si="14"/>
        <v>100</v>
      </c>
      <c r="X34" s="1812"/>
      <c r="Y34" s="3177"/>
      <c r="Z34" s="1813">
        <f t="shared" si="15"/>
        <v>111</v>
      </c>
      <c r="AA34" s="1810">
        <f t="shared" si="3"/>
        <v>1</v>
      </c>
      <c r="AB34" s="1810">
        <f t="shared" si="4"/>
        <v>1</v>
      </c>
      <c r="AC34" s="1810">
        <f t="shared" si="5"/>
        <v>1</v>
      </c>
    </row>
    <row r="35" spans="1:29" ht="15">
      <c r="A35" s="479" t="s">
        <v>2525</v>
      </c>
      <c r="B35" s="480"/>
      <c r="C35" s="1407" t="s">
        <v>1</v>
      </c>
      <c r="D35" s="1408"/>
      <c r="E35" s="1409"/>
      <c r="F35" s="1410"/>
      <c r="G35" s="1411"/>
      <c r="H35" s="1412"/>
      <c r="I35" s="1409"/>
      <c r="J35" s="1412"/>
      <c r="K35" s="783"/>
      <c r="L35" s="1143"/>
      <c r="M35" s="1144"/>
      <c r="N35" s="1131"/>
      <c r="O35" s="1144"/>
      <c r="P35" s="3170" t="str">
        <f>A35</f>
        <v>成交单价（元/平方米）</v>
      </c>
      <c r="Q35" s="3170"/>
      <c r="R35" s="3171">
        <f>E35</f>
        <v>0</v>
      </c>
      <c r="S35" s="3171"/>
      <c r="T35" s="3171">
        <f>G35</f>
        <v>0</v>
      </c>
      <c r="U35" s="3171"/>
      <c r="V35" s="3171">
        <f>I35</f>
        <v>0</v>
      </c>
      <c r="W35" s="3171"/>
      <c r="X35" s="759"/>
      <c r="Y35" s="781"/>
      <c r="Z35" s="759"/>
      <c r="AA35" s="759"/>
      <c r="AB35" s="759"/>
      <c r="AC35" s="759"/>
    </row>
    <row r="36" spans="1:29" ht="15.75" thickBot="1">
      <c r="A36" s="486" t="s">
        <v>2617</v>
      </c>
      <c r="B36" s="487"/>
      <c r="C36" s="1413" t="e">
        <f>R37</f>
        <v>#DIV/0!</v>
      </c>
      <c r="D36" s="1414"/>
      <c r="E36" s="1415" t="e">
        <f>R36</f>
        <v>#DIV/0!</v>
      </c>
      <c r="F36" s="1415"/>
      <c r="G36" s="1413" t="e">
        <f>T36</f>
        <v>#DIV/0!</v>
      </c>
      <c r="H36" s="1414"/>
      <c r="I36" s="1415" t="e">
        <f>V36</f>
        <v>#DIV/0!</v>
      </c>
      <c r="J36" s="1414"/>
      <c r="K36" s="784"/>
      <c r="L36" s="1143"/>
      <c r="M36" s="1144"/>
      <c r="N36" s="1131"/>
      <c r="O36" s="1144"/>
      <c r="P36" s="3170" t="str">
        <f>A36</f>
        <v>比较价值（元/平方米）</v>
      </c>
      <c r="Q36" s="3170"/>
      <c r="R36" s="3171" t="e">
        <f>IF(F1="售价",ROUND(PRODUCT(R35,AA7:AA34),0),ROUND(PRODUCT(R35,AA7:AA34),1))</f>
        <v>#DIV/0!</v>
      </c>
      <c r="S36" s="3171"/>
      <c r="T36" s="3171" t="e">
        <f>IF(F1="售价",ROUND(PRODUCT(T35,AB7:AB34),0),ROUND(PRODUCT(T35,AB7:AB34),1))</f>
        <v>#DIV/0!</v>
      </c>
      <c r="U36" s="3171"/>
      <c r="V36" s="3171" t="e">
        <f>IF(F1="售价",ROUND(PRODUCT(V35,AC7:AC34),0),ROUND(PRODUCT(V35,AC7:AC34),1))</f>
        <v>#DIV/0!</v>
      </c>
      <c r="W36" s="3171"/>
      <c r="X36" s="759"/>
      <c r="Y36" s="759"/>
      <c r="Z36" s="759"/>
      <c r="AA36" s="759"/>
      <c r="AB36" s="759"/>
      <c r="AC36" s="759"/>
    </row>
    <row r="37" spans="1:29" ht="15.75" thickBot="1">
      <c r="A37" s="492" t="s">
        <v>2618</v>
      </c>
      <c r="B37" s="493"/>
      <c r="C37" s="1417" t="e">
        <f>R37</f>
        <v>#DIV/0!</v>
      </c>
      <c r="D37" s="1417"/>
      <c r="E37" s="1417"/>
      <c r="F37" s="1417"/>
      <c r="G37" s="1417"/>
      <c r="H37" s="1417"/>
      <c r="I37" s="1417"/>
      <c r="J37" s="1417"/>
      <c r="K37" s="785"/>
      <c r="L37" s="1143"/>
      <c r="M37" s="1144"/>
      <c r="N37" s="1144"/>
      <c r="O37" s="1144"/>
      <c r="P37" s="3167" t="str">
        <f>A37</f>
        <v>估价对象XX用房的比较价值（楼面单价，元/平方米）</v>
      </c>
      <c r="Q37" s="3168"/>
      <c r="R37" s="3169" t="e">
        <f>IF(F1="售价",ROUND(AVERAGE(R36:V36),0),ROUND(AVERAGE(R36:V36),1))</f>
        <v>#DIV/0!</v>
      </c>
      <c r="S37" s="3169"/>
      <c r="T37" s="3169"/>
      <c r="U37" s="3169"/>
      <c r="V37" s="3169"/>
      <c r="W37" s="316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2619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2622</v>
      </c>
      <c r="B45" s="759"/>
      <c r="C45" s="764"/>
      <c r="D45" s="764"/>
      <c r="E45" s="764"/>
      <c r="F45" s="765"/>
      <c r="G45" s="765"/>
      <c r="H45" s="764"/>
      <c r="I45" s="764"/>
      <c r="J45" s="764"/>
      <c r="K45" s="766"/>
      <c r="L45" s="767"/>
      <c r="M45" s="764"/>
      <c r="N45" s="764"/>
      <c r="O45" s="764"/>
      <c r="P45" s="503"/>
      <c r="Q45" s="504"/>
    </row>
    <row r="46" spans="1:29" s="508" customFormat="1" ht="15">
      <c r="A46" s="505" t="s">
        <v>2496</v>
      </c>
      <c r="B46" s="506"/>
      <c r="C46" s="1573" t="str">
        <f>YEAR(C7)&amp;"-"&amp;MONTH(C7)</f>
        <v>2019-3</v>
      </c>
      <c r="D46" s="1574">
        <f>EDATE(C46,-1)</f>
        <v>43497</v>
      </c>
      <c r="E46" s="1574">
        <f t="shared" ref="E46:O46" si="16">EDATE(D46,-1)</f>
        <v>43466</v>
      </c>
      <c r="F46" s="1574">
        <f t="shared" si="16"/>
        <v>43435</v>
      </c>
      <c r="G46" s="1574">
        <f t="shared" si="16"/>
        <v>43405</v>
      </c>
      <c r="H46" s="1574">
        <f t="shared" si="16"/>
        <v>43374</v>
      </c>
      <c r="I46" s="1574">
        <f t="shared" si="16"/>
        <v>43344</v>
      </c>
      <c r="J46" s="1574">
        <f t="shared" si="16"/>
        <v>43313</v>
      </c>
      <c r="K46" s="1574">
        <f t="shared" si="16"/>
        <v>43282</v>
      </c>
      <c r="L46" s="1574">
        <f t="shared" si="16"/>
        <v>43252</v>
      </c>
      <c r="M46" s="1574">
        <f t="shared" si="16"/>
        <v>43221</v>
      </c>
      <c r="N46" s="1574">
        <f t="shared" si="16"/>
        <v>43191</v>
      </c>
      <c r="O46" s="1574">
        <f t="shared" si="16"/>
        <v>43160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2533</v>
      </c>
      <c r="B48" s="516"/>
      <c r="C48" s="517"/>
      <c r="D48" s="518"/>
      <c r="E48" s="518"/>
      <c r="F48" s="518"/>
      <c r="G48" s="518"/>
      <c r="H48" s="518"/>
      <c r="I48" s="518"/>
      <c r="J48" s="518"/>
      <c r="K48" s="518"/>
      <c r="L48" s="518"/>
      <c r="M48" s="519"/>
      <c r="N48" s="518"/>
      <c r="O48" s="520"/>
      <c r="P48" s="504"/>
      <c r="Q48" s="504"/>
    </row>
    <row r="49" spans="1:17" s="117" customFormat="1" ht="15">
      <c r="A49" s="521" t="s">
        <v>2498</v>
      </c>
      <c r="B49" s="510"/>
      <c r="C49" s="522" t="s">
        <v>2600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2536</v>
      </c>
      <c r="B51" s="528" t="s">
        <v>2502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2505</v>
      </c>
      <c r="C53" s="539" t="s">
        <v>2537</v>
      </c>
      <c r="D53" s="539" t="s">
        <v>2538</v>
      </c>
      <c r="E53" s="539" t="s">
        <v>2539</v>
      </c>
      <c r="F53" s="539" t="s">
        <v>2540</v>
      </c>
      <c r="G53" s="539" t="s">
        <v>2541</v>
      </c>
      <c r="H53" s="539" t="s">
        <v>2542</v>
      </c>
      <c r="I53" s="539" t="s">
        <v>2543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2507</v>
      </c>
      <c r="B61" s="528" t="s">
        <v>2550</v>
      </c>
      <c r="C61" s="573" t="s">
        <v>2545</v>
      </c>
      <c r="D61" s="573" t="s">
        <v>2546</v>
      </c>
      <c r="E61" s="573" t="s">
        <v>2547</v>
      </c>
      <c r="F61" s="573" t="s">
        <v>2548</v>
      </c>
      <c r="G61" s="573" t="s">
        <v>2549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2688</v>
      </c>
      <c r="C63" s="578" t="s">
        <v>2545</v>
      </c>
      <c r="D63" s="578" t="s">
        <v>2546</v>
      </c>
      <c r="E63" s="578" t="s">
        <v>2547</v>
      </c>
      <c r="F63" s="578" t="s">
        <v>2548</v>
      </c>
      <c r="G63" s="578" t="s">
        <v>2549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2637</v>
      </c>
      <c r="C65" s="660" t="s">
        <v>2623</v>
      </c>
      <c r="D65" s="660" t="s">
        <v>2624</v>
      </c>
      <c r="E65" s="660" t="s">
        <v>2625</v>
      </c>
      <c r="F65" s="660" t="s">
        <v>2626</v>
      </c>
      <c r="G65" s="660" t="s">
        <v>2627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2557</v>
      </c>
      <c r="C67" s="578" t="s">
        <v>2545</v>
      </c>
      <c r="D67" s="578" t="s">
        <v>2546</v>
      </c>
      <c r="E67" s="578" t="s">
        <v>2547</v>
      </c>
      <c r="F67" s="578" t="s">
        <v>2548</v>
      </c>
      <c r="G67" s="578" t="s">
        <v>2549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2511</v>
      </c>
      <c r="B77" s="528" t="s">
        <v>2564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2689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2692</v>
      </c>
      <c r="B1" s="395"/>
      <c r="C1" s="396" t="s">
        <v>2742</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ROUND(IF(D3="",B2*10000/'数据-汇总表'!E3,B2*10000/D3),0)</f>
        <v>#DIV/0!</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2593</v>
      </c>
      <c r="B4" s="402"/>
      <c r="C4" s="3185" t="s">
        <v>2594</v>
      </c>
      <c r="D4" s="3186"/>
      <c r="E4" s="3187" t="s">
        <v>2595</v>
      </c>
      <c r="F4" s="3188"/>
      <c r="G4" s="3185" t="s">
        <v>2596</v>
      </c>
      <c r="H4" s="3186"/>
      <c r="I4" s="3185" t="s">
        <v>2597</v>
      </c>
      <c r="J4" s="3186"/>
      <c r="K4" s="610" t="s">
        <v>2598</v>
      </c>
      <c r="L4" s="1130"/>
      <c r="M4" s="1131"/>
      <c r="N4" s="1131"/>
      <c r="O4" s="1131"/>
      <c r="P4" s="3189" t="s">
        <v>2599</v>
      </c>
      <c r="Q4" s="3190"/>
      <c r="R4" s="3195" t="s">
        <v>2595</v>
      </c>
      <c r="S4" s="3196"/>
      <c r="T4" s="3195" t="s">
        <v>2596</v>
      </c>
      <c r="U4" s="3196"/>
      <c r="V4" s="3201" t="s">
        <v>2597</v>
      </c>
      <c r="W4" s="3201"/>
      <c r="X4" s="1812"/>
      <c r="Y4" s="3195" t="s">
        <v>2599</v>
      </c>
      <c r="Z4" s="3196"/>
      <c r="AA4" s="3182" t="s">
        <v>2595</v>
      </c>
      <c r="AB4" s="3183" t="s">
        <v>2596</v>
      </c>
      <c r="AC4" s="3182" t="s">
        <v>2597</v>
      </c>
    </row>
    <row r="5" spans="1:29" ht="15">
      <c r="A5" s="404"/>
      <c r="B5" s="405"/>
      <c r="C5" s="3204" t="s">
        <v>2490</v>
      </c>
      <c r="D5" s="3205"/>
      <c r="E5" s="3211" t="s">
        <v>2491</v>
      </c>
      <c r="F5" s="3212"/>
      <c r="G5" s="3204" t="s">
        <v>2492</v>
      </c>
      <c r="H5" s="3205"/>
      <c r="I5" s="3204" t="s">
        <v>2493</v>
      </c>
      <c r="J5" s="3205"/>
      <c r="K5" s="610"/>
      <c r="L5" s="1130"/>
      <c r="M5" s="1131"/>
      <c r="N5" s="1131"/>
      <c r="O5" s="1131"/>
      <c r="P5" s="3191"/>
      <c r="Q5" s="3192"/>
      <c r="R5" s="3197"/>
      <c r="S5" s="3198"/>
      <c r="T5" s="3197"/>
      <c r="U5" s="3198"/>
      <c r="V5" s="3201"/>
      <c r="W5" s="3201"/>
      <c r="X5" s="1812"/>
      <c r="Y5" s="3197"/>
      <c r="Z5" s="3198"/>
      <c r="AA5" s="3183"/>
      <c r="AB5" s="3183"/>
      <c r="AC5" s="3183"/>
    </row>
    <row r="6" spans="1:29" ht="15.75" thickBot="1">
      <c r="A6" s="406"/>
      <c r="B6" s="407"/>
      <c r="C6" s="3233" t="s">
        <v>2743</v>
      </c>
      <c r="D6" s="3234"/>
      <c r="E6" s="3235" t="s">
        <v>2743</v>
      </c>
      <c r="F6" s="3236"/>
      <c r="G6" s="3233" t="s">
        <v>2743</v>
      </c>
      <c r="H6" s="3234"/>
      <c r="I6" s="3233" t="s">
        <v>2743</v>
      </c>
      <c r="J6" s="3234"/>
      <c r="K6" s="610" t="s">
        <v>2495</v>
      </c>
      <c r="L6" s="1130"/>
      <c r="M6" s="1131"/>
      <c r="N6" s="1131"/>
      <c r="O6" s="1131"/>
      <c r="P6" s="3193"/>
      <c r="Q6" s="3194"/>
      <c r="R6" s="3197"/>
      <c r="S6" s="3198"/>
      <c r="T6" s="3199"/>
      <c r="U6" s="3200"/>
      <c r="V6" s="3201"/>
      <c r="W6" s="3201"/>
      <c r="X6" s="1812"/>
      <c r="Y6" s="3199"/>
      <c r="Z6" s="3200"/>
      <c r="AA6" s="3184"/>
      <c r="AB6" s="3184"/>
      <c r="AC6" s="3184"/>
    </row>
    <row r="7" spans="1:29" s="117" customFormat="1" ht="15.75" thickBot="1">
      <c r="A7" s="408" t="s">
        <v>2496</v>
      </c>
      <c r="B7" s="409"/>
      <c r="C7" s="410">
        <f>'数据-取费表'!B2</f>
        <v>43537</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6" t="s">
        <v>2497</v>
      </c>
      <c r="Q7" s="3208"/>
      <c r="R7" s="770" t="s">
        <v>17</v>
      </c>
      <c r="S7" s="771">
        <f t="shared" ref="S7:S15" si="0">F7</f>
        <v>0</v>
      </c>
      <c r="T7" s="770" t="s">
        <v>17</v>
      </c>
      <c r="U7" s="771">
        <f t="shared" ref="U7:U15" si="1">H7</f>
        <v>0</v>
      </c>
      <c r="V7" s="770" t="s">
        <v>17</v>
      </c>
      <c r="W7" s="771">
        <f t="shared" ref="W7:W15" si="2">J7</f>
        <v>0</v>
      </c>
      <c r="X7" s="772"/>
      <c r="Y7" s="3206" t="s">
        <v>2497</v>
      </c>
      <c r="Z7" s="3207"/>
      <c r="AA7" s="773" t="e">
        <f>D7/F7</f>
        <v>#DIV/0!</v>
      </c>
      <c r="AB7" s="773" t="e">
        <f>D7/H7</f>
        <v>#DIV/0!</v>
      </c>
      <c r="AC7" s="773" t="e">
        <f>D7/J7</f>
        <v>#DIV/0!</v>
      </c>
    </row>
    <row r="8" spans="1:29" s="117" customFormat="1" ht="15.75" thickBot="1">
      <c r="A8" s="408" t="s">
        <v>2498</v>
      </c>
      <c r="B8" s="409"/>
      <c r="C8" s="414" t="s">
        <v>2499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6" t="s">
        <v>2500</v>
      </c>
      <c r="Q8" s="3207"/>
      <c r="R8" s="770" t="s">
        <v>17</v>
      </c>
      <c r="S8" s="771">
        <f t="shared" si="0"/>
        <v>0</v>
      </c>
      <c r="T8" s="770" t="s">
        <v>17</v>
      </c>
      <c r="U8" s="771">
        <f t="shared" si="1"/>
        <v>0</v>
      </c>
      <c r="V8" s="770" t="s">
        <v>17</v>
      </c>
      <c r="W8" s="771">
        <f t="shared" si="2"/>
        <v>0</v>
      </c>
      <c r="X8" s="772"/>
      <c r="Y8" s="3206" t="s">
        <v>2500</v>
      </c>
      <c r="Z8" s="3207"/>
      <c r="AA8" s="773" t="e">
        <f t="shared" ref="AA8:AA40" si="3">D8/F8</f>
        <v>#DIV/0!</v>
      </c>
      <c r="AB8" s="773" t="e">
        <f t="shared" ref="AB8:AB40" si="4">D8/H8</f>
        <v>#DIV/0!</v>
      </c>
      <c r="AC8" s="773" t="e">
        <f t="shared" ref="AC8:AC40" si="5">D8/J8</f>
        <v>#DIV/0!</v>
      </c>
    </row>
    <row r="9" spans="1:29" s="117" customFormat="1">
      <c r="A9" s="415" t="s">
        <v>2501</v>
      </c>
      <c r="B9" s="71" t="s">
        <v>2502</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70" t="s">
        <v>2503</v>
      </c>
      <c r="Q9" s="1794" t="str">
        <f t="shared" ref="Q9:Q15" si="6">B9</f>
        <v>用途</v>
      </c>
      <c r="R9" s="770" t="s">
        <v>17</v>
      </c>
      <c r="S9" s="771">
        <f t="shared" si="0"/>
        <v>100</v>
      </c>
      <c r="T9" s="770" t="s">
        <v>17</v>
      </c>
      <c r="U9" s="771">
        <f t="shared" si="1"/>
        <v>100</v>
      </c>
      <c r="V9" s="770" t="s">
        <v>17</v>
      </c>
      <c r="W9" s="771">
        <f t="shared" si="2"/>
        <v>100</v>
      </c>
      <c r="X9" s="772"/>
      <c r="Y9" s="2997" t="s">
        <v>2504</v>
      </c>
      <c r="Z9" s="55" t="str">
        <f t="shared" ref="Z9:Z15" si="7">Q9</f>
        <v>用途</v>
      </c>
      <c r="AA9" s="773">
        <f t="shared" si="3"/>
        <v>1</v>
      </c>
      <c r="AB9" s="773">
        <f t="shared" si="4"/>
        <v>1</v>
      </c>
      <c r="AC9" s="773">
        <f t="shared" si="5"/>
        <v>1</v>
      </c>
    </row>
    <row r="10" spans="1:29" s="427" customFormat="1" ht="27">
      <c r="A10" s="421"/>
      <c r="B10" s="422" t="s">
        <v>2505</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70"/>
      <c r="Q10" s="1794" t="str">
        <f t="shared" si="6"/>
        <v>土地使用年限（年）</v>
      </c>
      <c r="R10" s="770" t="s">
        <v>17</v>
      </c>
      <c r="S10" s="771">
        <f t="shared" si="0"/>
        <v>103</v>
      </c>
      <c r="T10" s="770" t="s">
        <v>17</v>
      </c>
      <c r="U10" s="771">
        <f t="shared" si="1"/>
        <v>103</v>
      </c>
      <c r="V10" s="770" t="s">
        <v>17</v>
      </c>
      <c r="W10" s="771">
        <f t="shared" si="2"/>
        <v>103</v>
      </c>
      <c r="X10" s="772"/>
      <c r="Y10" s="2997"/>
      <c r="Z10" s="55" t="str">
        <f t="shared" si="7"/>
        <v>土地使用年限（年）</v>
      </c>
      <c r="AA10" s="773">
        <f t="shared" si="3"/>
        <v>0.970873786407767</v>
      </c>
      <c r="AB10" s="773">
        <f t="shared" si="4"/>
        <v>0.970873786407767</v>
      </c>
      <c r="AC10" s="773">
        <f t="shared" si="5"/>
        <v>0.970873786407767</v>
      </c>
    </row>
    <row r="11" spans="1:29" ht="15">
      <c r="A11" s="428"/>
      <c r="B11" s="422" t="s">
        <v>2506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0"/>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0"/>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0"/>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0"/>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2507</v>
      </c>
      <c r="B15" s="629" t="s">
        <v>2744</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2" t="s">
        <v>2508</v>
      </c>
      <c r="Q15" s="1809" t="str">
        <f t="shared" si="6"/>
        <v>产业集聚程度</v>
      </c>
      <c r="R15" s="774" t="s">
        <v>17</v>
      </c>
      <c r="S15" s="775">
        <f t="shared" si="0"/>
        <v>100</v>
      </c>
      <c r="T15" s="774" t="s">
        <v>17</v>
      </c>
      <c r="U15" s="775">
        <f t="shared" si="1"/>
        <v>100</v>
      </c>
      <c r="V15" s="774" t="s">
        <v>17</v>
      </c>
      <c r="W15" s="775">
        <f t="shared" si="2"/>
        <v>100</v>
      </c>
      <c r="X15" s="1812"/>
      <c r="Y15" s="3172" t="s">
        <v>2508</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173"/>
      <c r="Q16" s="1809"/>
      <c r="R16" s="774"/>
      <c r="S16" s="775"/>
      <c r="T16" s="774"/>
      <c r="U16" s="775"/>
      <c r="V16" s="774"/>
      <c r="W16" s="775"/>
      <c r="X16" s="1812"/>
      <c r="Y16" s="3173"/>
      <c r="Z16" s="1813"/>
      <c r="AA16" s="1810">
        <v>1</v>
      </c>
      <c r="AB16" s="1810">
        <v>1</v>
      </c>
      <c r="AC16" s="1810">
        <v>1</v>
      </c>
    </row>
    <row r="17" spans="1:29" ht="85.5">
      <c r="A17" s="428"/>
      <c r="B17" s="631" t="s">
        <v>2657</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3"/>
      <c r="Q17" s="1809" t="str">
        <f>B17</f>
        <v>交通便捷度</v>
      </c>
      <c r="R17" s="774" t="s">
        <v>17</v>
      </c>
      <c r="S17" s="775">
        <f>F17</f>
        <v>100</v>
      </c>
      <c r="T17" s="774" t="s">
        <v>17</v>
      </c>
      <c r="U17" s="775">
        <f>H17</f>
        <v>100</v>
      </c>
      <c r="V17" s="774" t="s">
        <v>17</v>
      </c>
      <c r="W17" s="775">
        <f>J17</f>
        <v>100</v>
      </c>
      <c r="X17" s="1812"/>
      <c r="Y17" s="3173"/>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173"/>
      <c r="Q18" s="1809"/>
      <c r="R18" s="774"/>
      <c r="S18" s="775"/>
      <c r="T18" s="774"/>
      <c r="U18" s="775"/>
      <c r="V18" s="774"/>
      <c r="W18" s="775"/>
      <c r="X18" s="1812"/>
      <c r="Y18" s="3173"/>
      <c r="Z18" s="1813"/>
      <c r="AA18" s="1810">
        <v>1</v>
      </c>
      <c r="AB18" s="1810">
        <v>1</v>
      </c>
      <c r="AC18" s="1810">
        <v>1</v>
      </c>
    </row>
    <row r="19" spans="1:29" ht="15">
      <c r="A19" s="428"/>
      <c r="B19" s="631" t="s">
        <v>2695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3"/>
      <c r="Q19" s="1809" t="str">
        <f t="shared" ref="Q19:Q33" si="8">B19</f>
        <v>区域土地利用方向</v>
      </c>
      <c r="R19" s="774" t="s">
        <v>17</v>
      </c>
      <c r="S19" s="775">
        <f>F19</f>
        <v>100</v>
      </c>
      <c r="T19" s="774" t="s">
        <v>17</v>
      </c>
      <c r="U19" s="775">
        <f>H19</f>
        <v>100</v>
      </c>
      <c r="V19" s="774" t="s">
        <v>17</v>
      </c>
      <c r="W19" s="775">
        <f>J19</f>
        <v>100</v>
      </c>
      <c r="X19" s="1812"/>
      <c r="Y19" s="3173"/>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173"/>
      <c r="Q20" s="1809"/>
      <c r="R20" s="774"/>
      <c r="S20" s="775"/>
      <c r="T20" s="774"/>
      <c r="U20" s="775"/>
      <c r="V20" s="774"/>
      <c r="W20" s="775"/>
      <c r="X20" s="1812"/>
      <c r="Y20" s="3173"/>
      <c r="Z20" s="1813"/>
      <c r="AA20" s="1810"/>
      <c r="AB20" s="1810"/>
      <c r="AC20" s="1810"/>
    </row>
    <row r="21" spans="1:29" ht="71.25">
      <c r="A21" s="404"/>
      <c r="B21" s="631" t="s">
        <v>2745</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3"/>
      <c r="Q21" s="1809" t="str">
        <f t="shared" si="8"/>
        <v>环境状况</v>
      </c>
      <c r="R21" s="774" t="s">
        <v>17</v>
      </c>
      <c r="S21" s="775">
        <f>F21</f>
        <v>100</v>
      </c>
      <c r="T21" s="774" t="s">
        <v>17</v>
      </c>
      <c r="U21" s="775">
        <f>H21</f>
        <v>100</v>
      </c>
      <c r="V21" s="774" t="s">
        <v>17</v>
      </c>
      <c r="W21" s="775">
        <f>J21</f>
        <v>100</v>
      </c>
      <c r="X21" s="1812"/>
      <c r="Y21" s="3173"/>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173"/>
      <c r="Q22" s="1809"/>
      <c r="R22" s="774"/>
      <c r="S22" s="775"/>
      <c r="T22" s="774"/>
      <c r="U22" s="775"/>
      <c r="V22" s="774"/>
      <c r="W22" s="775"/>
      <c r="X22" s="1812"/>
      <c r="Y22" s="3173"/>
      <c r="Z22" s="1813"/>
      <c r="AA22" s="1810">
        <v>1</v>
      </c>
      <c r="AB22" s="1810">
        <v>1</v>
      </c>
      <c r="AC22" s="1810">
        <v>1</v>
      </c>
    </row>
    <row r="23" spans="1:29" s="117" customFormat="1" ht="42.75">
      <c r="A23" s="649"/>
      <c r="B23" s="633" t="s">
        <v>2602</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3"/>
      <c r="Q23" s="1794" t="str">
        <f t="shared" si="8"/>
        <v>公共配套设施</v>
      </c>
      <c r="R23" s="770" t="s">
        <v>17</v>
      </c>
      <c r="S23" s="771">
        <f>F23</f>
        <v>100</v>
      </c>
      <c r="T23" s="770" t="s">
        <v>17</v>
      </c>
      <c r="U23" s="771">
        <f>H23</f>
        <v>100</v>
      </c>
      <c r="V23" s="770" t="s">
        <v>17</v>
      </c>
      <c r="W23" s="771">
        <f>J23</f>
        <v>100</v>
      </c>
      <c r="X23" s="772"/>
      <c r="Y23" s="3173"/>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173"/>
      <c r="Q24" s="1794"/>
      <c r="R24" s="770"/>
      <c r="S24" s="771"/>
      <c r="T24" s="770"/>
      <c r="U24" s="771"/>
      <c r="V24" s="770"/>
      <c r="W24" s="771"/>
      <c r="X24" s="772"/>
      <c r="Y24" s="3173"/>
      <c r="Z24" s="55"/>
      <c r="AA24" s="773">
        <v>1</v>
      </c>
      <c r="AB24" s="773">
        <v>1</v>
      </c>
      <c r="AC24" s="773">
        <v>1</v>
      </c>
    </row>
    <row r="25" spans="1:29" s="117" customFormat="1" ht="28.5">
      <c r="A25" s="649"/>
      <c r="B25" s="633" t="s">
        <v>2603</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3"/>
      <c r="Q25" s="1794" t="str">
        <f t="shared" ref="Q25" si="9">B25</f>
        <v>基础设施水平</v>
      </c>
      <c r="R25" s="770" t="s">
        <v>17</v>
      </c>
      <c r="S25" s="771">
        <f>F25</f>
        <v>100</v>
      </c>
      <c r="T25" s="770" t="s">
        <v>17</v>
      </c>
      <c r="U25" s="771">
        <f>H25</f>
        <v>100</v>
      </c>
      <c r="V25" s="770" t="s">
        <v>17</v>
      </c>
      <c r="W25" s="771">
        <f>J25</f>
        <v>100</v>
      </c>
      <c r="X25" s="772"/>
      <c r="Y25" s="3173"/>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173"/>
      <c r="Q26" s="1794"/>
      <c r="R26" s="770"/>
      <c r="S26" s="771"/>
      <c r="T26" s="770"/>
      <c r="U26" s="771"/>
      <c r="V26" s="770"/>
      <c r="W26" s="771"/>
      <c r="X26" s="772"/>
      <c r="Y26" s="3173"/>
      <c r="Z26" s="55"/>
      <c r="AA26" s="773">
        <v>1</v>
      </c>
      <c r="AB26" s="773">
        <v>1</v>
      </c>
      <c r="AC26" s="773">
        <v>1</v>
      </c>
    </row>
    <row r="27" spans="1:29" ht="15">
      <c r="A27" s="428"/>
      <c r="B27" s="632" t="s">
        <v>2604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3"/>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3"/>
      <c r="Z27" s="1813" t="str">
        <f t="shared" ref="Z27:Z40" si="13">Q27</f>
        <v>临街状况</v>
      </c>
      <c r="AA27" s="1810">
        <f t="shared" si="3"/>
        <v>1</v>
      </c>
      <c r="AB27" s="1810">
        <f t="shared" si="4"/>
        <v>1</v>
      </c>
      <c r="AC27" s="1810">
        <f t="shared" si="5"/>
        <v>1</v>
      </c>
    </row>
    <row r="28" spans="1:29" ht="27">
      <c r="A28" s="428"/>
      <c r="B28" s="633" t="s">
        <v>2639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3"/>
      <c r="Q28" s="1809" t="str">
        <f t="shared" si="8"/>
        <v>毗邻道路的类型与等级</v>
      </c>
      <c r="R28" s="774" t="s">
        <v>17</v>
      </c>
      <c r="S28" s="775">
        <f t="shared" si="10"/>
        <v>100</v>
      </c>
      <c r="T28" s="774" t="s">
        <v>17</v>
      </c>
      <c r="U28" s="775">
        <f t="shared" si="11"/>
        <v>100</v>
      </c>
      <c r="V28" s="774" t="s">
        <v>17</v>
      </c>
      <c r="W28" s="775">
        <f t="shared" si="12"/>
        <v>100</v>
      </c>
      <c r="X28" s="1812"/>
      <c r="Y28" s="3173"/>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173"/>
      <c r="Q29" s="1809"/>
      <c r="R29" s="774"/>
      <c r="S29" s="775"/>
      <c r="T29" s="774"/>
      <c r="U29" s="775"/>
      <c r="V29" s="774"/>
      <c r="W29" s="775"/>
      <c r="X29" s="1812"/>
      <c r="Y29" s="3173"/>
      <c r="Z29" s="1813"/>
      <c r="AA29" s="1810">
        <v>1</v>
      </c>
      <c r="AB29" s="1810">
        <v>1</v>
      </c>
      <c r="AC29" s="1810">
        <v>1</v>
      </c>
    </row>
    <row r="30" spans="1:29" ht="15">
      <c r="A30" s="428"/>
      <c r="B30" s="654" t="s">
        <v>2697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3"/>
      <c r="Q30" s="1809" t="str">
        <f t="shared" si="8"/>
        <v>土地级别</v>
      </c>
      <c r="R30" s="774" t="s">
        <v>17</v>
      </c>
      <c r="S30" s="775">
        <f t="shared" si="10"/>
        <v>100</v>
      </c>
      <c r="T30" s="774" t="s">
        <v>17</v>
      </c>
      <c r="U30" s="775">
        <f t="shared" si="11"/>
        <v>100</v>
      </c>
      <c r="V30" s="774" t="s">
        <v>17</v>
      </c>
      <c r="W30" s="775">
        <f t="shared" si="12"/>
        <v>100</v>
      </c>
      <c r="X30" s="1812"/>
      <c r="Y30" s="3173"/>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3"/>
      <c r="Q31" s="1809">
        <f t="shared" si="8"/>
        <v>111</v>
      </c>
      <c r="R31" s="774" t="s">
        <v>17</v>
      </c>
      <c r="S31" s="775">
        <f t="shared" si="10"/>
        <v>100</v>
      </c>
      <c r="T31" s="774" t="s">
        <v>17</v>
      </c>
      <c r="U31" s="775">
        <f t="shared" si="11"/>
        <v>100</v>
      </c>
      <c r="V31" s="774" t="s">
        <v>17</v>
      </c>
      <c r="W31" s="775">
        <f t="shared" si="12"/>
        <v>100</v>
      </c>
      <c r="X31" s="1812"/>
      <c r="Y31" s="3173"/>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8" t="s">
        <v>2513</v>
      </c>
      <c r="Q32" s="1809">
        <f t="shared" si="8"/>
        <v>111</v>
      </c>
      <c r="R32" s="774" t="s">
        <v>17</v>
      </c>
      <c r="S32" s="775">
        <f t="shared" si="10"/>
        <v>100</v>
      </c>
      <c r="T32" s="774" t="s">
        <v>17</v>
      </c>
      <c r="U32" s="775">
        <f t="shared" si="11"/>
        <v>100</v>
      </c>
      <c r="V32" s="774" t="s">
        <v>17</v>
      </c>
      <c r="W32" s="775">
        <f t="shared" si="12"/>
        <v>100</v>
      </c>
      <c r="X32" s="1812"/>
      <c r="Y32" s="3177" t="s">
        <v>2513</v>
      </c>
      <c r="Z32" s="1813">
        <f t="shared" si="13"/>
        <v>111</v>
      </c>
      <c r="AA32" s="1810">
        <f t="shared" si="3"/>
        <v>1</v>
      </c>
      <c r="AB32" s="1810">
        <f t="shared" si="4"/>
        <v>1</v>
      </c>
      <c r="AC32" s="1810">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7"/>
      <c r="Q33" s="1809">
        <f t="shared" si="8"/>
        <v>111</v>
      </c>
      <c r="R33" s="777" t="s">
        <v>17</v>
      </c>
      <c r="S33" s="778">
        <f t="shared" si="10"/>
        <v>100</v>
      </c>
      <c r="T33" s="777" t="s">
        <v>17</v>
      </c>
      <c r="U33" s="778">
        <f t="shared" si="11"/>
        <v>100</v>
      </c>
      <c r="V33" s="777" t="s">
        <v>17</v>
      </c>
      <c r="W33" s="778">
        <f t="shared" si="12"/>
        <v>100</v>
      </c>
      <c r="X33" s="779"/>
      <c r="Y33" s="3177"/>
      <c r="Z33" s="780">
        <f t="shared" si="13"/>
        <v>111</v>
      </c>
      <c r="AA33" s="1810">
        <f t="shared" si="3"/>
        <v>1</v>
      </c>
      <c r="AB33" s="1810">
        <f t="shared" si="4"/>
        <v>1</v>
      </c>
      <c r="AC33" s="1810">
        <f t="shared" si="5"/>
        <v>1</v>
      </c>
    </row>
    <row r="34" spans="1:29" ht="15">
      <c r="A34" s="440" t="s">
        <v>2511</v>
      </c>
      <c r="B34" s="456" t="s">
        <v>2698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7"/>
      <c r="Q34" s="1809" t="str">
        <f>B34</f>
        <v>宗地面积</v>
      </c>
      <c r="R34" s="774" t="s">
        <v>17</v>
      </c>
      <c r="S34" s="775" t="e">
        <f t="shared" si="10"/>
        <v>#N/A</v>
      </c>
      <c r="T34" s="774" t="s">
        <v>17</v>
      </c>
      <c r="U34" s="775" t="e">
        <f t="shared" si="11"/>
        <v>#N/A</v>
      </c>
      <c r="V34" s="774" t="s">
        <v>17</v>
      </c>
      <c r="W34" s="775" t="e">
        <f t="shared" si="12"/>
        <v>#N/A</v>
      </c>
      <c r="X34" s="1812"/>
      <c r="Y34" s="3177"/>
      <c r="Z34" s="1813" t="str">
        <f t="shared" si="13"/>
        <v>宗地面积</v>
      </c>
      <c r="AA34" s="1810" t="e">
        <f t="shared" si="3"/>
        <v>#N/A</v>
      </c>
      <c r="AB34" s="1810" t="e">
        <f t="shared" si="4"/>
        <v>#N/A</v>
      </c>
      <c r="AC34" s="1810" t="e">
        <f t="shared" si="5"/>
        <v>#N/A</v>
      </c>
    </row>
    <row r="35" spans="1:29" ht="15">
      <c r="A35" s="472"/>
      <c r="B35" s="422" t="s">
        <v>2699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77"/>
      <c r="Q35" s="1809" t="str">
        <f t="shared" ref="Q35:Q40" si="14">B35</f>
        <v>宗地形状</v>
      </c>
      <c r="R35" s="774" t="s">
        <v>17</v>
      </c>
      <c r="S35" s="775">
        <f t="shared" si="10"/>
        <v>100</v>
      </c>
      <c r="T35" s="774" t="s">
        <v>17</v>
      </c>
      <c r="U35" s="775">
        <f t="shared" si="11"/>
        <v>100</v>
      </c>
      <c r="V35" s="774" t="s">
        <v>17</v>
      </c>
      <c r="W35" s="775">
        <f t="shared" si="12"/>
        <v>100</v>
      </c>
      <c r="X35" s="1812"/>
      <c r="Y35" s="3177"/>
      <c r="Z35" s="1813" t="str">
        <f t="shared" si="13"/>
        <v>宗地形状</v>
      </c>
      <c r="AA35" s="1810">
        <f t="shared" si="3"/>
        <v>1</v>
      </c>
      <c r="AB35" s="1810">
        <f t="shared" si="4"/>
        <v>1</v>
      </c>
      <c r="AC35" s="1810">
        <f t="shared" si="5"/>
        <v>1</v>
      </c>
    </row>
    <row r="36" spans="1:29" s="117" customFormat="1" ht="15">
      <c r="A36" s="473"/>
      <c r="B36" s="422" t="s">
        <v>2701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77"/>
      <c r="Q36" s="1809" t="str">
        <f t="shared" si="14"/>
        <v>宗地开发程度</v>
      </c>
      <c r="R36" s="770" t="s">
        <v>17</v>
      </c>
      <c r="S36" s="771">
        <f t="shared" si="10"/>
        <v>100</v>
      </c>
      <c r="T36" s="770" t="s">
        <v>17</v>
      </c>
      <c r="U36" s="771">
        <f t="shared" si="11"/>
        <v>100</v>
      </c>
      <c r="V36" s="770" t="s">
        <v>17</v>
      </c>
      <c r="W36" s="771">
        <f t="shared" si="12"/>
        <v>100</v>
      </c>
      <c r="X36" s="772"/>
      <c r="Y36" s="3177"/>
      <c r="Z36" s="55" t="str">
        <f t="shared" si="13"/>
        <v>宗地开发程度</v>
      </c>
      <c r="AA36" s="773">
        <f t="shared" si="3"/>
        <v>1</v>
      </c>
      <c r="AB36" s="773">
        <f t="shared" si="4"/>
        <v>1</v>
      </c>
      <c r="AC36" s="773">
        <f t="shared" si="5"/>
        <v>1</v>
      </c>
    </row>
    <row r="37" spans="1:29" ht="15">
      <c r="A37" s="472"/>
      <c r="B37" s="422" t="s">
        <v>2702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77" t="s">
        <v>2513</v>
      </c>
      <c r="Q37" s="1809" t="str">
        <f t="shared" si="14"/>
        <v>工程地质条件</v>
      </c>
      <c r="R37" s="774" t="s">
        <v>17</v>
      </c>
      <c r="S37" s="775">
        <f t="shared" si="10"/>
        <v>100</v>
      </c>
      <c r="T37" s="774" t="s">
        <v>17</v>
      </c>
      <c r="U37" s="775">
        <f t="shared" si="11"/>
        <v>100</v>
      </c>
      <c r="V37" s="774" t="s">
        <v>17</v>
      </c>
      <c r="W37" s="775">
        <f t="shared" si="12"/>
        <v>100</v>
      </c>
      <c r="X37" s="1812"/>
      <c r="Y37" s="3177" t="s">
        <v>2513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7"/>
      <c r="Q38" s="1809">
        <f t="shared" si="14"/>
        <v>111</v>
      </c>
      <c r="R38" s="774" t="s">
        <v>17</v>
      </c>
      <c r="S38" s="775">
        <f t="shared" si="10"/>
        <v>100</v>
      </c>
      <c r="T38" s="774" t="s">
        <v>17</v>
      </c>
      <c r="U38" s="775">
        <f t="shared" si="11"/>
        <v>100</v>
      </c>
      <c r="V38" s="774" t="s">
        <v>17</v>
      </c>
      <c r="W38" s="775">
        <f t="shared" si="12"/>
        <v>100</v>
      </c>
      <c r="X38" s="1812"/>
      <c r="Y38" s="317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7"/>
      <c r="Q39" s="1809">
        <f t="shared" si="14"/>
        <v>111</v>
      </c>
      <c r="R39" s="774" t="s">
        <v>17</v>
      </c>
      <c r="S39" s="775">
        <f t="shared" si="10"/>
        <v>100</v>
      </c>
      <c r="T39" s="774" t="s">
        <v>17</v>
      </c>
      <c r="U39" s="775">
        <f t="shared" si="11"/>
        <v>100</v>
      </c>
      <c r="V39" s="774" t="s">
        <v>17</v>
      </c>
      <c r="W39" s="775">
        <f t="shared" si="12"/>
        <v>100</v>
      </c>
      <c r="X39" s="1812"/>
      <c r="Y39" s="3177"/>
      <c r="Z39" s="1813">
        <f t="shared" si="13"/>
        <v>111</v>
      </c>
      <c r="AA39" s="1810">
        <f t="shared" si="3"/>
        <v>1</v>
      </c>
      <c r="AB39" s="1810">
        <f t="shared" si="4"/>
        <v>1</v>
      </c>
      <c r="AC39" s="1810">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7"/>
      <c r="Q40" s="1809">
        <f t="shared" si="14"/>
        <v>111</v>
      </c>
      <c r="R40" s="777" t="s">
        <v>17</v>
      </c>
      <c r="S40" s="778">
        <f t="shared" si="10"/>
        <v>100</v>
      </c>
      <c r="T40" s="777" t="s">
        <v>17</v>
      </c>
      <c r="U40" s="778">
        <f t="shared" si="11"/>
        <v>100</v>
      </c>
      <c r="V40" s="777" t="s">
        <v>17</v>
      </c>
      <c r="W40" s="778">
        <f t="shared" si="12"/>
        <v>100</v>
      </c>
      <c r="X40" s="779"/>
      <c r="Y40" s="3177"/>
      <c r="Z40" s="780">
        <f t="shared" si="13"/>
        <v>111</v>
      </c>
      <c r="AA40" s="1810">
        <f t="shared" si="3"/>
        <v>1</v>
      </c>
      <c r="AB40" s="1810">
        <f t="shared" si="4"/>
        <v>1</v>
      </c>
      <c r="AC40" s="1810">
        <f t="shared" si="5"/>
        <v>1</v>
      </c>
    </row>
    <row r="41" spans="1:29" ht="15">
      <c r="A41" s="479" t="s">
        <v>2668</v>
      </c>
      <c r="B41" s="2706" t="s">
        <v>2746</v>
      </c>
      <c r="C41" s="682" t="s">
        <v>1</v>
      </c>
      <c r="D41" s="481"/>
      <c r="E41" s="482"/>
      <c r="F41" s="483"/>
      <c r="G41" s="484"/>
      <c r="H41" s="485"/>
      <c r="I41" s="482"/>
      <c r="J41" s="485"/>
      <c r="K41" s="783"/>
      <c r="L41" s="1143"/>
      <c r="M41" s="1131"/>
      <c r="N41" s="1131"/>
      <c r="O41" s="1144"/>
      <c r="P41" s="3170" t="str">
        <f>A41</f>
        <v>成交单价</v>
      </c>
      <c r="Q41" s="3170"/>
      <c r="R41" s="3201">
        <f>E41</f>
        <v>0</v>
      </c>
      <c r="S41" s="3201"/>
      <c r="T41" s="3201">
        <f>G41</f>
        <v>0</v>
      </c>
      <c r="U41" s="3201"/>
      <c r="V41" s="3201">
        <f>I41</f>
        <v>0</v>
      </c>
      <c r="W41" s="3201"/>
      <c r="X41" s="759"/>
      <c r="Y41" s="781"/>
      <c r="Z41" s="759"/>
      <c r="AA41" s="759"/>
      <c r="AB41" s="759"/>
      <c r="AC41" s="759"/>
    </row>
    <row r="42" spans="1:29" ht="15.75" thickBot="1">
      <c r="A42" s="486" t="s">
        <v>2617</v>
      </c>
      <c r="B42" s="683"/>
      <c r="C42" s="490" t="e">
        <f>R43</f>
        <v>#DIV/0!</v>
      </c>
      <c r="D42" s="489"/>
      <c r="E42" s="490" t="e">
        <f>R42</f>
        <v>#DIV/0!</v>
      </c>
      <c r="F42" s="491"/>
      <c r="G42" s="488" t="e">
        <f>T42</f>
        <v>#DIV/0!</v>
      </c>
      <c r="H42" s="489"/>
      <c r="I42" s="490" t="e">
        <f>V42</f>
        <v>#DIV/0!</v>
      </c>
      <c r="J42" s="489"/>
      <c r="K42" s="784"/>
      <c r="L42" s="1143"/>
      <c r="M42" s="1131"/>
      <c r="N42" s="1131"/>
      <c r="O42" s="1144"/>
      <c r="P42" s="3170" t="str">
        <f>A42</f>
        <v>比较价值（元/平方米）</v>
      </c>
      <c r="Q42" s="3170"/>
      <c r="R42" s="3229" t="e">
        <f>ROUND(PRODUCT(R41,AA7:AA40),0)</f>
        <v>#DIV/0!</v>
      </c>
      <c r="S42" s="3229"/>
      <c r="T42" s="3229" t="e">
        <f>ROUND(PRODUCT(T41,AB7:AB40),0)</f>
        <v>#DIV/0!</v>
      </c>
      <c r="U42" s="3229"/>
      <c r="V42" s="3229" t="e">
        <f>ROUND(PRODUCT(V41,AC7:AC40),0)</f>
        <v>#DIV/0!</v>
      </c>
      <c r="W42" s="3229"/>
      <c r="X42" s="759"/>
      <c r="Y42" s="759"/>
      <c r="Z42" s="759"/>
      <c r="AA42" s="759"/>
      <c r="AB42" s="759"/>
      <c r="AC42" s="759"/>
    </row>
    <row r="43" spans="1:29" ht="15.75" thickBot="1">
      <c r="A43" s="492" t="s">
        <v>2618</v>
      </c>
      <c r="B43" s="493"/>
      <c r="C43" s="494" t="e">
        <f>R43</f>
        <v>#DIV/0!</v>
      </c>
      <c r="D43" s="494"/>
      <c r="E43" s="494"/>
      <c r="F43" s="494"/>
      <c r="G43" s="494"/>
      <c r="H43" s="494"/>
      <c r="I43" s="494"/>
      <c r="J43" s="494"/>
      <c r="K43" s="785"/>
      <c r="L43" s="1143"/>
      <c r="M43" s="1131"/>
      <c r="N43" s="1131"/>
      <c r="O43" s="1144"/>
      <c r="P43" s="3167" t="str">
        <f>A43</f>
        <v>估价对象XX用房的比较价值（楼面单价，元/平方米）</v>
      </c>
      <c r="Q43" s="3168"/>
      <c r="R43" s="3230" t="e">
        <f>ROUND(AVERAGE(R42:V42),0)</f>
        <v>#DIV/0!</v>
      </c>
      <c r="S43" s="3230"/>
      <c r="T43" s="3230"/>
      <c r="U43" s="3230"/>
      <c r="V43" s="3230"/>
      <c r="W43" s="323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2704</v>
      </c>
      <c r="B50" s="685" t="s">
        <v>2705</v>
      </c>
      <c r="C50" s="2707" t="s">
        <v>2706</v>
      </c>
      <c r="D50" s="2708" t="s">
        <v>2707</v>
      </c>
      <c r="E50" s="686" t="s">
        <v>2708</v>
      </c>
      <c r="F50" s="687" t="s">
        <v>2709</v>
      </c>
      <c r="G50" s="3185" t="s">
        <v>2710</v>
      </c>
      <c r="H50" s="3231"/>
      <c r="I50" s="1813" t="s">
        <v>2747</v>
      </c>
      <c r="J50" s="1813">
        <f>项目基本情况!F35</f>
        <v>0</v>
      </c>
      <c r="K50" s="2710" t="s">
        <v>2712</v>
      </c>
      <c r="L50" s="1106"/>
      <c r="M50" s="1144"/>
      <c r="N50" s="1144"/>
      <c r="O50" s="1144"/>
    </row>
    <row r="51" spans="1:17" s="692" customFormat="1">
      <c r="A51" s="688" t="s">
        <v>2713</v>
      </c>
      <c r="B51" s="689" t="e">
        <f>C43</f>
        <v>#DIV/0!</v>
      </c>
      <c r="C51" s="690">
        <v>1</v>
      </c>
      <c r="D51" s="1163">
        <v>1</v>
      </c>
      <c r="E51" s="690">
        <f>'数据-汇总表'!E8+'数据-汇总表'!E9</f>
        <v>155771.74000000002</v>
      </c>
      <c r="F51" s="691" t="e">
        <f t="shared" ref="F51:F60" si="15">ROUND(B51*E51/10000,0)</f>
        <v>#DIV/0!</v>
      </c>
      <c r="G51" s="3181"/>
      <c r="H51" s="3170"/>
      <c r="I51" s="942">
        <v>1</v>
      </c>
      <c r="J51" s="942">
        <v>1</v>
      </c>
      <c r="K51" s="1145"/>
      <c r="L51" s="941"/>
      <c r="M51" s="941"/>
      <c r="N51" s="941"/>
      <c r="O51" s="941"/>
    </row>
    <row r="52" spans="1:17" s="692" customFormat="1">
      <c r="A52" s="693" t="s">
        <v>2714</v>
      </c>
      <c r="B52" s="262" t="e">
        <f>ROUND($C$43*C52*D52,0)</f>
        <v>#DIV/0!</v>
      </c>
      <c r="C52" s="200">
        <f t="shared" ref="C52:C60" si="16">IF($C$50="北京市系数",I52,J52)</f>
        <v>0.7</v>
      </c>
      <c r="D52" s="1164">
        <v>0.25</v>
      </c>
      <c r="E52" s="694"/>
      <c r="F52" s="691" t="e">
        <f t="shared" si="15"/>
        <v>#DIV/0!</v>
      </c>
      <c r="G52" s="3232" t="s">
        <v>2715</v>
      </c>
      <c r="H52" s="1104" t="str">
        <f>项目基本情况!B37</f>
        <v>七级</v>
      </c>
      <c r="I52" s="942">
        <f>SUMIF(修正!A45:A56,H52,修正!B45:B56)</f>
        <v>0.7</v>
      </c>
      <c r="J52" s="943"/>
      <c r="K52" s="1144"/>
      <c r="L52" s="941"/>
      <c r="M52" s="941"/>
      <c r="N52" s="941"/>
      <c r="O52" s="941"/>
    </row>
    <row r="53" spans="1:17" s="692" customFormat="1">
      <c r="A53" s="693" t="s">
        <v>2716</v>
      </c>
      <c r="B53" s="262" t="e">
        <f t="shared" ref="B53:B60" si="17">ROUND($C$43*C53*D53,0)</f>
        <v>#DIV/0!</v>
      </c>
      <c r="C53" s="200">
        <f t="shared" si="16"/>
        <v>0.4</v>
      </c>
      <c r="D53" s="1164">
        <v>0.25</v>
      </c>
      <c r="E53" s="694"/>
      <c r="F53" s="691" t="e">
        <f t="shared" si="15"/>
        <v>#DIV/0!</v>
      </c>
      <c r="G53" s="3232"/>
      <c r="H53" s="1104" t="str">
        <f>项目基本情况!B37</f>
        <v>七级</v>
      </c>
      <c r="I53" s="942">
        <f>SUMIF(修正!A45:A56,H53,修正!C45:C56)</f>
        <v>0.4</v>
      </c>
      <c r="J53" s="943"/>
      <c r="K53" s="1145"/>
      <c r="L53" s="941"/>
      <c r="M53" s="941"/>
      <c r="N53" s="941"/>
      <c r="O53" s="941"/>
    </row>
    <row r="54" spans="1:17" s="692" customFormat="1">
      <c r="A54" s="693" t="s">
        <v>2717</v>
      </c>
      <c r="B54" s="262" t="e">
        <f t="shared" si="17"/>
        <v>#DIV/0!</v>
      </c>
      <c r="C54" s="200">
        <f t="shared" si="16"/>
        <v>0.28000000000000003</v>
      </c>
      <c r="D54" s="1164">
        <v>0.25</v>
      </c>
      <c r="E54" s="694"/>
      <c r="F54" s="691" t="e">
        <f t="shared" si="15"/>
        <v>#DIV/0!</v>
      </c>
      <c r="G54" s="3232"/>
      <c r="H54" s="1104" t="str">
        <f>项目基本情况!B37</f>
        <v>七级</v>
      </c>
      <c r="I54" s="942">
        <f>SUMIF(修正!A45:A56,H54,修正!D45:D56)</f>
        <v>0.28000000000000003</v>
      </c>
      <c r="J54" s="943"/>
      <c r="K54" s="1144"/>
      <c r="L54" s="941"/>
      <c r="M54" s="941"/>
      <c r="N54" s="941"/>
      <c r="O54" s="941"/>
    </row>
    <row r="55" spans="1:17" s="692" customFormat="1">
      <c r="A55" s="693" t="s">
        <v>2718</v>
      </c>
      <c r="B55" s="262" t="e">
        <f t="shared" si="17"/>
        <v>#DIV/0!</v>
      </c>
      <c r="C55" s="200">
        <f t="shared" si="16"/>
        <v>0.25</v>
      </c>
      <c r="D55" s="1164">
        <v>0.25</v>
      </c>
      <c r="E55" s="694"/>
      <c r="F55" s="691" t="e">
        <f t="shared" si="15"/>
        <v>#DIV/0!</v>
      </c>
      <c r="G55" s="3232"/>
      <c r="H55" s="1104" t="str">
        <f>项目基本情况!B37</f>
        <v>七级</v>
      </c>
      <c r="I55" s="942">
        <f>SUMIF(修正!A45:A56,H55,修正!E45:E56)</f>
        <v>0.25</v>
      </c>
      <c r="J55" s="943"/>
      <c r="K55" s="1145"/>
      <c r="L55" s="941"/>
      <c r="M55" s="941"/>
      <c r="N55" s="941"/>
      <c r="O55" s="941"/>
    </row>
    <row r="56" spans="1:17" s="692" customFormat="1">
      <c r="A56" s="693" t="s">
        <v>2719</v>
      </c>
      <c r="B56" s="262" t="e">
        <f t="shared" si="17"/>
        <v>#DIV/0!</v>
      </c>
      <c r="C56" s="200">
        <f t="shared" si="16"/>
        <v>0.25</v>
      </c>
      <c r="D56" s="1164">
        <v>0.25</v>
      </c>
      <c r="E56" s="261">
        <f>'数据-汇总表'!E11</f>
        <v>0</v>
      </c>
      <c r="F56" s="691" t="e">
        <f t="shared" si="15"/>
        <v>#DIV/0!</v>
      </c>
      <c r="G56" s="2711" t="s">
        <v>2720</v>
      </c>
      <c r="H56" s="1104" t="str">
        <f>项目基本情况!C37</f>
        <v>七级</v>
      </c>
      <c r="I56" s="942">
        <f>SUMIF(修正!A45:A56,H56,修正!F45:F56)</f>
        <v>0.25</v>
      </c>
      <c r="J56" s="943"/>
      <c r="K56" s="1144"/>
      <c r="L56" s="941"/>
      <c r="M56" s="941"/>
      <c r="N56" s="941"/>
      <c r="O56" s="941"/>
    </row>
    <row r="57" spans="1:17" s="692" customFormat="1">
      <c r="A57" s="693" t="s">
        <v>2721</v>
      </c>
      <c r="B57" s="262" t="e">
        <f t="shared" si="17"/>
        <v>#DIV/0!</v>
      </c>
      <c r="C57" s="200">
        <f t="shared" si="16"/>
        <v>0.25</v>
      </c>
      <c r="D57" s="1164">
        <v>0.25</v>
      </c>
      <c r="E57" s="261">
        <f>'数据-汇总表'!E12</f>
        <v>0</v>
      </c>
      <c r="F57" s="691" t="e">
        <f t="shared" si="15"/>
        <v>#DIV/0!</v>
      </c>
      <c r="G57" s="1109" t="s">
        <v>2722</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2723</v>
      </c>
      <c r="B58" s="262" t="e">
        <f t="shared" si="17"/>
        <v>#DIV/0!</v>
      </c>
      <c r="C58" s="200">
        <f t="shared" si="16"/>
        <v>0.2</v>
      </c>
      <c r="D58" s="1164">
        <v>0.25</v>
      </c>
      <c r="E58" s="261">
        <f>'数据-汇总表'!E13</f>
        <v>69675.600000000006</v>
      </c>
      <c r="F58" s="691" t="e">
        <f t="shared" si="15"/>
        <v>#DIV/0!</v>
      </c>
      <c r="G58" s="1109" t="s">
        <v>2724</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2725</v>
      </c>
      <c r="B59" s="262" t="e">
        <f t="shared" si="17"/>
        <v>#DIV/0!</v>
      </c>
      <c r="C59" s="200">
        <f t="shared" si="16"/>
        <v>0.2</v>
      </c>
      <c r="D59" s="1164">
        <v>0.25</v>
      </c>
      <c r="E59" s="261">
        <f>'数据-汇总表'!E14</f>
        <v>0</v>
      </c>
      <c r="F59" s="691" t="e">
        <f t="shared" si="15"/>
        <v>#DIV/0!</v>
      </c>
      <c r="G59" s="2711" t="s">
        <v>2715</v>
      </c>
      <c r="H59" s="1104" t="str">
        <f>项目基本情况!B37</f>
        <v>七级</v>
      </c>
      <c r="I59" s="942">
        <f>SUMIF(修正!A45:A56,H59,修正!H45:H56)</f>
        <v>0.2</v>
      </c>
      <c r="J59" s="943"/>
      <c r="K59" s="1145"/>
      <c r="L59" s="941"/>
      <c r="M59" s="941"/>
      <c r="N59" s="941"/>
      <c r="O59" s="941"/>
    </row>
    <row r="60" spans="1:17" s="692" customFormat="1" ht="15" thickBot="1">
      <c r="A60" s="693" t="s">
        <v>2726</v>
      </c>
      <c r="B60" s="262" t="e">
        <f t="shared" si="17"/>
        <v>#DIV/0!</v>
      </c>
      <c r="C60" s="200">
        <f t="shared" si="16"/>
        <v>0.2</v>
      </c>
      <c r="D60" s="1164">
        <v>0.25</v>
      </c>
      <c r="E60" s="261">
        <f>'数据-汇总表'!E15</f>
        <v>0</v>
      </c>
      <c r="F60" s="691" t="e">
        <f t="shared" si="15"/>
        <v>#DIV/0!</v>
      </c>
      <c r="G60" s="2712" t="s">
        <v>2720</v>
      </c>
      <c r="H60" s="1114" t="str">
        <f>项目基本情况!C37</f>
        <v>七级</v>
      </c>
      <c r="I60" s="942">
        <f>SUMIF(修正!A45:A56,H60,修正!H45:H56)</f>
        <v>0.2</v>
      </c>
      <c r="J60" s="943"/>
      <c r="K60" s="1144"/>
      <c r="L60" s="941"/>
      <c r="M60" s="941"/>
      <c r="N60" s="941"/>
      <c r="O60" s="941"/>
    </row>
    <row r="61" spans="1:17" s="692" customFormat="1" ht="15" thickBot="1">
      <c r="A61" s="695" t="s">
        <v>2727</v>
      </c>
      <c r="B61" s="696" t="s">
        <v>28</v>
      </c>
      <c r="C61" s="696" t="s">
        <v>29</v>
      </c>
      <c r="D61" s="696" t="s">
        <v>1025</v>
      </c>
      <c r="E61" s="696">
        <f>IF(B41="楼面地价",SUM(E51:E60),'数据-汇总表'!D3)</f>
        <v>54579.4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2622</v>
      </c>
      <c r="B64" s="759"/>
      <c r="C64" s="764"/>
      <c r="D64" s="764"/>
      <c r="E64" s="764"/>
      <c r="F64" s="765"/>
      <c r="G64" s="765"/>
      <c r="H64" s="764"/>
      <c r="I64" s="764"/>
      <c r="J64" s="764"/>
      <c r="K64" s="766"/>
      <c r="L64" s="767"/>
      <c r="M64" s="764"/>
      <c r="N64" s="764"/>
      <c r="O64" s="1159"/>
      <c r="P64" s="503"/>
      <c r="Q64" s="504"/>
    </row>
    <row r="65" spans="1:17" s="508" customFormat="1" ht="15">
      <c r="A65" s="2713" t="s">
        <v>2728</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7"/>
    </row>
    <row r="66" spans="1:17" s="117" customFormat="1" ht="30.75" customHeight="1">
      <c r="A66" s="2718" t="s">
        <v>2748</v>
      </c>
      <c r="B66" s="332" t="str">
        <f>"北京市平均增长率"&amp;TEXT(基准地价修正!P24,"0.00%")</f>
        <v>北京市平均增长率1.42%</v>
      </c>
      <c r="C66" s="603">
        <v>100</v>
      </c>
      <c r="D66" s="595"/>
      <c r="E66" s="595"/>
      <c r="F66" s="595"/>
      <c r="G66" s="595"/>
      <c r="H66" s="595"/>
      <c r="I66" s="595"/>
      <c r="J66" s="595"/>
      <c r="K66" s="595"/>
      <c r="L66" s="595"/>
      <c r="M66" s="1567"/>
      <c r="N66" s="1567"/>
      <c r="O66" s="1568"/>
      <c r="P66" s="504"/>
    </row>
    <row r="67" spans="1:17" s="117" customFormat="1" ht="15.75" thickBot="1">
      <c r="A67" s="515" t="s">
        <v>2533</v>
      </c>
      <c r="B67" s="516"/>
      <c r="C67" s="517"/>
      <c r="D67" s="518"/>
      <c r="E67" s="518"/>
      <c r="F67" s="518"/>
      <c r="G67" s="518"/>
      <c r="H67" s="518"/>
      <c r="I67" s="518"/>
      <c r="J67" s="518"/>
      <c r="K67" s="518"/>
      <c r="L67" s="518"/>
      <c r="M67" s="519"/>
      <c r="N67" s="519"/>
      <c r="O67" s="520"/>
      <c r="P67" s="504"/>
      <c r="Q67" s="504"/>
    </row>
    <row r="68" spans="1:17" s="117" customFormat="1" ht="15">
      <c r="A68" s="521" t="s">
        <v>2498</v>
      </c>
      <c r="B68" s="510"/>
      <c r="C68" s="522" t="s">
        <v>2600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2536</v>
      </c>
      <c r="B70" s="528" t="s">
        <v>2502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2507</v>
      </c>
      <c r="B83" s="528" t="s">
        <v>2653</v>
      </c>
      <c r="C83" s="573" t="s">
        <v>2545</v>
      </c>
      <c r="D83" s="573" t="s">
        <v>2546</v>
      </c>
      <c r="E83" s="573" t="s">
        <v>2547</v>
      </c>
      <c r="F83" s="573" t="s">
        <v>2548</v>
      </c>
      <c r="G83" s="573" t="s">
        <v>2549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2550</v>
      </c>
      <c r="C85" s="578" t="s">
        <v>2545</v>
      </c>
      <c r="D85" s="578" t="s">
        <v>2546</v>
      </c>
      <c r="E85" s="578" t="s">
        <v>2547</v>
      </c>
      <c r="F85" s="578" t="s">
        <v>2548</v>
      </c>
      <c r="G85" s="578" t="s">
        <v>2549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2731</v>
      </c>
      <c r="C87" s="573" t="s">
        <v>2545</v>
      </c>
      <c r="D87" s="573" t="s">
        <v>2546</v>
      </c>
      <c r="E87" s="573" t="s">
        <v>2547</v>
      </c>
      <c r="F87" s="573" t="s">
        <v>2548</v>
      </c>
      <c r="G87" s="573" t="s">
        <v>2549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2732</v>
      </c>
      <c r="C89" s="573" t="s">
        <v>2545</v>
      </c>
      <c r="D89" s="573" t="s">
        <v>2546</v>
      </c>
      <c r="E89" s="573" t="s">
        <v>2547</v>
      </c>
      <c r="F89" s="573" t="s">
        <v>2548</v>
      </c>
      <c r="G89" s="573" t="s">
        <v>2549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2602</v>
      </c>
      <c r="C91" s="573" t="s">
        <v>2545</v>
      </c>
      <c r="D91" s="573" t="s">
        <v>2546</v>
      </c>
      <c r="E91" s="573" t="s">
        <v>2547</v>
      </c>
      <c r="F91" s="573" t="s">
        <v>2548</v>
      </c>
      <c r="G91" s="573" t="s">
        <v>2549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2749</v>
      </c>
      <c r="C93" s="660" t="s">
        <v>2623</v>
      </c>
      <c r="D93" s="660" t="s">
        <v>2624</v>
      </c>
      <c r="E93" s="660" t="s">
        <v>2625</v>
      </c>
      <c r="F93" s="660" t="s">
        <v>2626</v>
      </c>
      <c r="G93" s="660" t="s">
        <v>2627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2733</v>
      </c>
      <c r="D95" s="539" t="s">
        <v>2734</v>
      </c>
      <c r="E95" s="539" t="s">
        <v>2735</v>
      </c>
      <c r="F95" s="539" t="s">
        <v>2736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2639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2511</v>
      </c>
      <c r="B107" s="528" t="s">
        <v>2737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257" t="s">
        <v>183</v>
      </c>
      <c r="B18" s="879" t="s">
        <v>560</v>
      </c>
      <c r="C18" s="880" t="s">
        <v>561</v>
      </c>
      <c r="D18" s="881"/>
      <c r="E18" s="879">
        <v>1</v>
      </c>
      <c r="F18" s="882" t="s">
        <v>562</v>
      </c>
      <c r="G18" s="883"/>
      <c r="H18" s="875"/>
      <c r="I18" s="875"/>
    </row>
    <row r="19" spans="1:9" s="884" customFormat="1" ht="19.5" customHeight="1">
      <c r="A19" s="3257"/>
      <c r="B19" s="3257" t="s">
        <v>563</v>
      </c>
      <c r="C19" s="880" t="s">
        <v>564</v>
      </c>
      <c r="D19" s="881"/>
      <c r="E19" s="879">
        <v>0.9</v>
      </c>
      <c r="F19" s="882" t="s">
        <v>565</v>
      </c>
      <c r="G19" s="883"/>
      <c r="H19" s="875"/>
      <c r="I19" s="875"/>
    </row>
    <row r="20" spans="1:9" s="884" customFormat="1" ht="19.5" customHeight="1">
      <c r="A20" s="3257"/>
      <c r="B20" s="3257"/>
      <c r="C20" s="880" t="s">
        <v>566</v>
      </c>
      <c r="D20" s="881"/>
      <c r="E20" s="879">
        <v>1.1000000000000001</v>
      </c>
      <c r="F20" s="882" t="s">
        <v>567</v>
      </c>
      <c r="G20" s="883"/>
      <c r="H20" s="875"/>
      <c r="I20" s="875"/>
    </row>
    <row r="21" spans="1:9" s="884" customFormat="1" ht="19.5" customHeight="1">
      <c r="A21" s="3257"/>
      <c r="B21" s="3257"/>
      <c r="C21" s="880" t="s">
        <v>568</v>
      </c>
      <c r="D21" s="881"/>
      <c r="E21" s="879">
        <v>0.8</v>
      </c>
      <c r="F21" s="882" t="s">
        <v>569</v>
      </c>
      <c r="G21" s="883"/>
      <c r="H21" s="875"/>
      <c r="I21" s="875"/>
    </row>
    <row r="22" spans="1:9" s="884" customFormat="1" ht="19.5" customHeight="1">
      <c r="A22" s="3257"/>
      <c r="B22" s="3257"/>
      <c r="C22" s="880" t="s">
        <v>570</v>
      </c>
      <c r="D22" s="881"/>
      <c r="E22" s="879">
        <v>0.5</v>
      </c>
      <c r="F22" s="882"/>
      <c r="G22" s="883"/>
      <c r="H22" s="875"/>
      <c r="I22" s="875"/>
    </row>
    <row r="23" spans="1:9" s="884" customFormat="1" ht="19.5" customHeight="1">
      <c r="A23" s="3257" t="s">
        <v>184</v>
      </c>
      <c r="B23" s="879" t="s">
        <v>560</v>
      </c>
      <c r="C23" s="880" t="s">
        <v>571</v>
      </c>
      <c r="D23" s="881"/>
      <c r="E23" s="879">
        <v>1</v>
      </c>
      <c r="F23" s="882" t="s">
        <v>572</v>
      </c>
      <c r="G23" s="883"/>
      <c r="H23" s="875"/>
      <c r="I23" s="875"/>
    </row>
    <row r="24" spans="1:9" s="884" customFormat="1" ht="19.5" customHeight="1">
      <c r="A24" s="3257"/>
      <c r="B24" s="3257" t="s">
        <v>563</v>
      </c>
      <c r="C24" s="880" t="s">
        <v>573</v>
      </c>
      <c r="D24" s="881"/>
      <c r="E24" s="879">
        <v>0.5</v>
      </c>
      <c r="F24" s="882"/>
      <c r="G24" s="883"/>
      <c r="H24" s="875"/>
      <c r="I24" s="875"/>
    </row>
    <row r="25" spans="1:9" s="884" customFormat="1" ht="19.5" customHeight="1">
      <c r="A25" s="3257"/>
      <c r="B25" s="3257"/>
      <c r="C25" s="880" t="s">
        <v>574</v>
      </c>
      <c r="D25" s="881"/>
      <c r="E25" s="879">
        <v>1.1000000000000001</v>
      </c>
      <c r="F25" s="882"/>
      <c r="G25" s="883"/>
      <c r="H25" s="875"/>
      <c r="I25" s="875"/>
    </row>
    <row r="26" spans="1:9" s="884" customFormat="1" ht="19.5" customHeight="1">
      <c r="A26" s="3257"/>
      <c r="B26" s="3257"/>
      <c r="C26" s="880" t="s">
        <v>575</v>
      </c>
      <c r="D26" s="881"/>
      <c r="E26" s="879">
        <v>1.1000000000000001</v>
      </c>
      <c r="F26" s="882"/>
      <c r="G26" s="883"/>
      <c r="H26" s="875"/>
      <c r="I26" s="875"/>
    </row>
    <row r="27" spans="1:9" s="884" customFormat="1" ht="19.5" customHeight="1">
      <c r="A27" s="3257"/>
      <c r="B27" s="3257"/>
      <c r="C27" s="880" t="s">
        <v>576</v>
      </c>
      <c r="D27" s="881"/>
      <c r="E27" s="879">
        <v>0.9</v>
      </c>
      <c r="F27" s="882" t="s">
        <v>577</v>
      </c>
      <c r="G27" s="883"/>
      <c r="H27" s="875"/>
      <c r="I27" s="875"/>
    </row>
    <row r="28" spans="1:9" s="884" customFormat="1" ht="19.5" customHeight="1">
      <c r="A28" s="3257"/>
      <c r="B28" s="3257"/>
      <c r="C28" s="880" t="s">
        <v>578</v>
      </c>
      <c r="D28" s="881"/>
      <c r="E28" s="879">
        <v>0.9</v>
      </c>
      <c r="F28" s="882" t="s">
        <v>579</v>
      </c>
      <c r="G28" s="883"/>
      <c r="H28" s="875"/>
      <c r="I28" s="875"/>
    </row>
    <row r="29" spans="1:9" s="884" customFormat="1" ht="19.5" customHeight="1">
      <c r="A29" s="3257"/>
      <c r="B29" s="3257"/>
      <c r="C29" s="880" t="s">
        <v>580</v>
      </c>
      <c r="D29" s="881"/>
      <c r="E29" s="879">
        <v>0.9</v>
      </c>
      <c r="F29" s="882" t="s">
        <v>581</v>
      </c>
      <c r="G29" s="883"/>
      <c r="H29" s="875"/>
      <c r="I29" s="875"/>
    </row>
    <row r="30" spans="1:9" s="884" customFormat="1" ht="19.5" customHeight="1">
      <c r="A30" s="3257"/>
      <c r="B30" s="3257"/>
      <c r="C30" s="880" t="s">
        <v>582</v>
      </c>
      <c r="D30" s="881"/>
      <c r="E30" s="879">
        <v>0.9</v>
      </c>
      <c r="F30" s="882" t="s">
        <v>583</v>
      </c>
      <c r="G30" s="883"/>
      <c r="H30" s="875"/>
      <c r="I30" s="875"/>
    </row>
    <row r="31" spans="1:9" s="884" customFormat="1" ht="19.5" customHeight="1">
      <c r="A31" s="3257"/>
      <c r="B31" s="3257"/>
      <c r="C31" s="880" t="s">
        <v>584</v>
      </c>
      <c r="D31" s="881"/>
      <c r="E31" s="879">
        <v>0.8</v>
      </c>
      <c r="F31" s="882" t="s">
        <v>585</v>
      </c>
      <c r="G31" s="883"/>
      <c r="H31" s="875"/>
      <c r="I31" s="875"/>
    </row>
    <row r="32" spans="1:9" s="884" customFormat="1" ht="19.5" customHeight="1">
      <c r="A32" s="3257"/>
      <c r="B32" s="3257"/>
      <c r="C32" s="880" t="s">
        <v>586</v>
      </c>
      <c r="D32" s="881"/>
      <c r="E32" s="879">
        <v>0.8</v>
      </c>
      <c r="F32" s="882" t="s">
        <v>587</v>
      </c>
      <c r="G32" s="883"/>
      <c r="H32" s="875"/>
      <c r="I32" s="875"/>
    </row>
    <row r="33" spans="1:9" s="884" customFormat="1" ht="19.5" customHeight="1">
      <c r="A33" s="3257" t="s">
        <v>185</v>
      </c>
      <c r="B33" s="879" t="s">
        <v>560</v>
      </c>
      <c r="C33" s="880" t="s">
        <v>588</v>
      </c>
      <c r="D33" s="881"/>
      <c r="E33" s="879">
        <v>1</v>
      </c>
      <c r="F33" s="882" t="s">
        <v>589</v>
      </c>
      <c r="G33" s="883"/>
      <c r="H33" s="875"/>
      <c r="I33" s="875"/>
    </row>
    <row r="34" spans="1:9" s="884" customFormat="1" ht="19.5" customHeight="1">
      <c r="A34" s="3257"/>
      <c r="B34" s="879" t="s">
        <v>563</v>
      </c>
      <c r="C34" s="880" t="s">
        <v>590</v>
      </c>
      <c r="D34" s="881"/>
      <c r="E34" s="879">
        <v>1.5</v>
      </c>
      <c r="F34" s="882" t="s">
        <v>591</v>
      </c>
      <c r="G34" s="883"/>
      <c r="H34" s="875"/>
      <c r="I34" s="875"/>
    </row>
    <row r="35" spans="1:9" s="884" customFormat="1" ht="19.5" customHeight="1">
      <c r="A35" s="3257" t="s">
        <v>186</v>
      </c>
      <c r="B35" s="879" t="s">
        <v>560</v>
      </c>
      <c r="C35" s="880" t="s">
        <v>592</v>
      </c>
      <c r="D35" s="881"/>
      <c r="E35" s="879">
        <v>1</v>
      </c>
      <c r="F35" s="882" t="s">
        <v>593</v>
      </c>
      <c r="G35" s="883"/>
      <c r="H35" s="875"/>
      <c r="I35" s="875"/>
    </row>
    <row r="36" spans="1:9" s="884" customFormat="1" ht="19.5" customHeight="1">
      <c r="A36" s="3257"/>
      <c r="B36" s="3257" t="s">
        <v>563</v>
      </c>
      <c r="C36" s="880" t="s">
        <v>594</v>
      </c>
      <c r="D36" s="881"/>
      <c r="E36" s="879">
        <v>1</v>
      </c>
      <c r="F36" s="882" t="s">
        <v>595</v>
      </c>
      <c r="G36" s="883"/>
      <c r="H36" s="875"/>
      <c r="I36" s="875"/>
    </row>
    <row r="37" spans="1:9" s="884" customFormat="1" ht="19.5" customHeight="1">
      <c r="A37" s="3257"/>
      <c r="B37" s="3257"/>
      <c r="C37" s="880" t="s">
        <v>596</v>
      </c>
      <c r="D37" s="881"/>
      <c r="E37" s="879">
        <v>1.5</v>
      </c>
      <c r="F37" s="882" t="s">
        <v>597</v>
      </c>
      <c r="G37" s="883"/>
      <c r="H37" s="875"/>
      <c r="I37" s="875"/>
    </row>
    <row r="38" spans="1:9" s="884" customFormat="1" ht="19.5" customHeight="1">
      <c r="A38" s="3257"/>
      <c r="B38" s="3257"/>
      <c r="C38" s="880" t="s">
        <v>598</v>
      </c>
      <c r="D38" s="881"/>
      <c r="E38" s="879">
        <v>1</v>
      </c>
      <c r="F38" s="882" t="s">
        <v>599</v>
      </c>
      <c r="G38" s="883"/>
      <c r="H38" s="875"/>
      <c r="I38" s="875"/>
    </row>
    <row r="39" spans="1:9" s="884" customFormat="1" ht="19.5" customHeight="1">
      <c r="A39" s="3257"/>
      <c r="B39" s="3257"/>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57" t="s">
        <v>614</v>
      </c>
      <c r="C61" s="815" t="s">
        <v>615</v>
      </c>
      <c r="D61" s="815" t="s">
        <v>616</v>
      </c>
      <c r="E61" s="892">
        <v>0.5</v>
      </c>
      <c r="F61" s="879">
        <v>80</v>
      </c>
    </row>
    <row r="62" spans="1:8" s="875" customFormat="1" ht="24">
      <c r="A62" s="879">
        <v>2</v>
      </c>
      <c r="B62" s="3257"/>
      <c r="C62" s="815" t="s">
        <v>617</v>
      </c>
      <c r="D62" s="815" t="s">
        <v>618</v>
      </c>
      <c r="E62" s="892">
        <v>0.5</v>
      </c>
      <c r="F62" s="879">
        <v>80</v>
      </c>
    </row>
    <row r="63" spans="1:8" s="875" customFormat="1" ht="36">
      <c r="A63" s="879">
        <v>3</v>
      </c>
      <c r="B63" s="3257"/>
      <c r="C63" s="815" t="s">
        <v>619</v>
      </c>
      <c r="D63" s="815" t="s">
        <v>620</v>
      </c>
      <c r="E63" s="892">
        <v>0.5</v>
      </c>
      <c r="F63" s="879">
        <v>80</v>
      </c>
    </row>
    <row r="64" spans="1:8" s="875" customFormat="1" ht="36">
      <c r="A64" s="879">
        <v>4</v>
      </c>
      <c r="B64" s="3257"/>
      <c r="C64" s="815" t="s">
        <v>621</v>
      </c>
      <c r="D64" s="815" t="s">
        <v>622</v>
      </c>
      <c r="E64" s="892">
        <v>0.4</v>
      </c>
      <c r="F64" s="879">
        <v>60</v>
      </c>
    </row>
    <row r="65" spans="1:6" s="875" customFormat="1" ht="36">
      <c r="A65" s="879">
        <v>5</v>
      </c>
      <c r="B65" s="3257"/>
      <c r="C65" s="815" t="s">
        <v>623</v>
      </c>
      <c r="D65" s="815" t="s">
        <v>624</v>
      </c>
      <c r="E65" s="892">
        <v>0.2</v>
      </c>
      <c r="F65" s="879">
        <v>30</v>
      </c>
    </row>
    <row r="66" spans="1:6" s="875" customFormat="1" ht="36">
      <c r="A66" s="879">
        <v>6</v>
      </c>
      <c r="B66" s="3257"/>
      <c r="C66" s="815" t="s">
        <v>625</v>
      </c>
      <c r="D66" s="815" t="s">
        <v>626</v>
      </c>
      <c r="E66" s="892">
        <v>0.3</v>
      </c>
      <c r="F66" s="879">
        <v>50</v>
      </c>
    </row>
    <row r="67" spans="1:6" s="875" customFormat="1" ht="36">
      <c r="A67" s="879">
        <v>7</v>
      </c>
      <c r="B67" s="3257"/>
      <c r="C67" s="815" t="s">
        <v>627</v>
      </c>
      <c r="D67" s="815" t="s">
        <v>628</v>
      </c>
      <c r="E67" s="892">
        <v>0.2</v>
      </c>
      <c r="F67" s="879">
        <v>30</v>
      </c>
    </row>
    <row r="68" spans="1:6" s="875" customFormat="1" ht="36">
      <c r="A68" s="879">
        <v>8</v>
      </c>
      <c r="B68" s="3257"/>
      <c r="C68" s="815" t="s">
        <v>629</v>
      </c>
      <c r="D68" s="815" t="s">
        <v>630</v>
      </c>
      <c r="E68" s="892">
        <v>0.2</v>
      </c>
      <c r="F68" s="879">
        <v>30</v>
      </c>
    </row>
    <row r="69" spans="1:6" s="875" customFormat="1" ht="36">
      <c r="A69" s="879">
        <v>9</v>
      </c>
      <c r="B69" s="3257"/>
      <c r="C69" s="815" t="s">
        <v>631</v>
      </c>
      <c r="D69" s="815" t="s">
        <v>632</v>
      </c>
      <c r="E69" s="892">
        <v>0.2</v>
      </c>
      <c r="F69" s="879">
        <v>30</v>
      </c>
    </row>
    <row r="70" spans="1:6" s="875" customFormat="1" ht="48">
      <c r="A70" s="879">
        <v>10</v>
      </c>
      <c r="B70" s="3257"/>
      <c r="C70" s="815" t="s">
        <v>633</v>
      </c>
      <c r="D70" s="815" t="s">
        <v>634</v>
      </c>
      <c r="E70" s="892">
        <v>0.2</v>
      </c>
      <c r="F70" s="879">
        <v>30</v>
      </c>
    </row>
    <row r="71" spans="1:6" s="875" customFormat="1" ht="48">
      <c r="A71" s="879">
        <v>11</v>
      </c>
      <c r="B71" s="3257"/>
      <c r="C71" s="815" t="s">
        <v>635</v>
      </c>
      <c r="D71" s="815" t="s">
        <v>636</v>
      </c>
      <c r="E71" s="892">
        <v>0.2</v>
      </c>
      <c r="F71" s="879">
        <v>30</v>
      </c>
    </row>
    <row r="72" spans="1:6" s="875" customFormat="1" ht="36">
      <c r="A72" s="879">
        <v>12</v>
      </c>
      <c r="B72" s="3257"/>
      <c r="C72" s="815" t="s">
        <v>637</v>
      </c>
      <c r="D72" s="815" t="s">
        <v>638</v>
      </c>
      <c r="E72" s="892">
        <v>0.5</v>
      </c>
      <c r="F72" s="879">
        <v>80</v>
      </c>
    </row>
    <row r="73" spans="1:6" s="875" customFormat="1" ht="24">
      <c r="A73" s="879">
        <v>13</v>
      </c>
      <c r="B73" s="3257"/>
      <c r="C73" s="815" t="s">
        <v>639</v>
      </c>
      <c r="D73" s="815" t="s">
        <v>640</v>
      </c>
      <c r="E73" s="892">
        <v>0.4</v>
      </c>
      <c r="F73" s="879">
        <v>60</v>
      </c>
    </row>
    <row r="74" spans="1:6" s="875" customFormat="1" ht="24">
      <c r="A74" s="879">
        <v>14</v>
      </c>
      <c r="B74" s="3257"/>
      <c r="C74" s="815" t="s">
        <v>641</v>
      </c>
      <c r="D74" s="815" t="s">
        <v>642</v>
      </c>
      <c r="E74" s="892">
        <v>0.2</v>
      </c>
      <c r="F74" s="879">
        <v>30</v>
      </c>
    </row>
    <row r="75" spans="1:6" s="875" customFormat="1" ht="24">
      <c r="A75" s="879">
        <v>15</v>
      </c>
      <c r="B75" s="3257"/>
      <c r="C75" s="815" t="s">
        <v>643</v>
      </c>
      <c r="D75" s="815" t="s">
        <v>644</v>
      </c>
      <c r="E75" s="892">
        <v>0.2</v>
      </c>
      <c r="F75" s="879">
        <v>30</v>
      </c>
    </row>
    <row r="76" spans="1:6" s="875" customFormat="1" ht="24">
      <c r="A76" s="879">
        <v>16</v>
      </c>
      <c r="B76" s="3257" t="s">
        <v>645</v>
      </c>
      <c r="C76" s="815" t="s">
        <v>646</v>
      </c>
      <c r="D76" s="815" t="s">
        <v>647</v>
      </c>
      <c r="E76" s="892">
        <v>0.5</v>
      </c>
      <c r="F76" s="879">
        <v>80</v>
      </c>
    </row>
    <row r="77" spans="1:6" s="875" customFormat="1" ht="24">
      <c r="A77" s="879">
        <v>17</v>
      </c>
      <c r="B77" s="3257"/>
      <c r="C77" s="815" t="s">
        <v>648</v>
      </c>
      <c r="D77" s="815" t="s">
        <v>649</v>
      </c>
      <c r="E77" s="892">
        <v>0.5</v>
      </c>
      <c r="F77" s="879">
        <v>80</v>
      </c>
    </row>
    <row r="78" spans="1:6" s="875" customFormat="1" ht="24">
      <c r="A78" s="879">
        <v>18</v>
      </c>
      <c r="B78" s="3257"/>
      <c r="C78" s="815" t="s">
        <v>650</v>
      </c>
      <c r="D78" s="815" t="s">
        <v>651</v>
      </c>
      <c r="E78" s="892">
        <v>0.2</v>
      </c>
      <c r="F78" s="879">
        <v>30</v>
      </c>
    </row>
    <row r="79" spans="1:6" s="875" customFormat="1" ht="24">
      <c r="A79" s="879">
        <v>19</v>
      </c>
      <c r="B79" s="3257"/>
      <c r="C79" s="815" t="s">
        <v>652</v>
      </c>
      <c r="D79" s="815" t="s">
        <v>653</v>
      </c>
      <c r="E79" s="892">
        <v>0.5</v>
      </c>
      <c r="F79" s="879">
        <v>80</v>
      </c>
    </row>
    <row r="80" spans="1:6" s="875" customFormat="1" ht="36">
      <c r="A80" s="879">
        <v>20</v>
      </c>
      <c r="B80" s="3257"/>
      <c r="C80" s="815" t="s">
        <v>654</v>
      </c>
      <c r="D80" s="815" t="s">
        <v>655</v>
      </c>
      <c r="E80" s="892">
        <v>0.2</v>
      </c>
      <c r="F80" s="879">
        <v>30</v>
      </c>
    </row>
    <row r="81" spans="1:6" s="875" customFormat="1" ht="36">
      <c r="A81" s="879">
        <v>21</v>
      </c>
      <c r="B81" s="3257"/>
      <c r="C81" s="815" t="s">
        <v>656</v>
      </c>
      <c r="D81" s="815" t="s">
        <v>657</v>
      </c>
      <c r="E81" s="892">
        <v>0.2</v>
      </c>
      <c r="F81" s="879">
        <v>30</v>
      </c>
    </row>
    <row r="82" spans="1:6" s="875" customFormat="1" ht="48">
      <c r="A82" s="879">
        <v>22</v>
      </c>
      <c r="B82" s="3257"/>
      <c r="C82" s="815" t="s">
        <v>658</v>
      </c>
      <c r="D82" s="815" t="s">
        <v>659</v>
      </c>
      <c r="E82" s="892">
        <v>0.2</v>
      </c>
      <c r="F82" s="879">
        <v>30</v>
      </c>
    </row>
    <row r="83" spans="1:6" s="875" customFormat="1" ht="48">
      <c r="A83" s="879">
        <v>23</v>
      </c>
      <c r="B83" s="3257"/>
      <c r="C83" s="815" t="s">
        <v>660</v>
      </c>
      <c r="D83" s="815" t="s">
        <v>661</v>
      </c>
      <c r="E83" s="892">
        <v>0.2</v>
      </c>
      <c r="F83" s="879">
        <v>30</v>
      </c>
    </row>
    <row r="84" spans="1:6" s="875" customFormat="1" ht="36">
      <c r="A84" s="879">
        <v>24</v>
      </c>
      <c r="B84" s="3257"/>
      <c r="C84" s="815" t="s">
        <v>662</v>
      </c>
      <c r="D84" s="815" t="s">
        <v>663</v>
      </c>
      <c r="E84" s="892">
        <v>0.2</v>
      </c>
      <c r="F84" s="879">
        <v>30</v>
      </c>
    </row>
    <row r="85" spans="1:6" s="875" customFormat="1" ht="36">
      <c r="A85" s="879">
        <v>25</v>
      </c>
      <c r="B85" s="3257"/>
      <c r="C85" s="815" t="s">
        <v>664</v>
      </c>
      <c r="D85" s="815" t="s">
        <v>665</v>
      </c>
      <c r="E85" s="892">
        <v>0.5</v>
      </c>
      <c r="F85" s="879">
        <v>80</v>
      </c>
    </row>
    <row r="86" spans="1:6" s="875" customFormat="1" ht="36">
      <c r="A86" s="879">
        <v>26</v>
      </c>
      <c r="B86" s="3257"/>
      <c r="C86" s="815" t="s">
        <v>666</v>
      </c>
      <c r="D86" s="815" t="s">
        <v>667</v>
      </c>
      <c r="E86" s="892">
        <v>0.2</v>
      </c>
      <c r="F86" s="879">
        <v>30</v>
      </c>
    </row>
    <row r="87" spans="1:6" s="875" customFormat="1" ht="36">
      <c r="A87" s="879">
        <v>27</v>
      </c>
      <c r="B87" s="3257"/>
      <c r="C87" s="815" t="s">
        <v>668</v>
      </c>
      <c r="D87" s="815" t="s">
        <v>669</v>
      </c>
      <c r="E87" s="892">
        <v>0.2</v>
      </c>
      <c r="F87" s="879">
        <v>30</v>
      </c>
    </row>
    <row r="88" spans="1:6" s="875" customFormat="1" ht="36">
      <c r="A88" s="879">
        <v>28</v>
      </c>
      <c r="B88" s="3257"/>
      <c r="C88" s="815" t="s">
        <v>670</v>
      </c>
      <c r="D88" s="815" t="s">
        <v>671</v>
      </c>
      <c r="E88" s="892">
        <v>0.2</v>
      </c>
      <c r="F88" s="879">
        <v>30</v>
      </c>
    </row>
    <row r="89" spans="1:6" s="875" customFormat="1" ht="24">
      <c r="A89" s="879">
        <v>29</v>
      </c>
      <c r="B89" s="3257"/>
      <c r="C89" s="815" t="s">
        <v>672</v>
      </c>
      <c r="D89" s="815" t="s">
        <v>673</v>
      </c>
      <c r="E89" s="892">
        <v>0.2</v>
      </c>
      <c r="F89" s="879">
        <v>30</v>
      </c>
    </row>
    <row r="90" spans="1:6" s="875" customFormat="1" ht="24">
      <c r="A90" s="879">
        <v>30</v>
      </c>
      <c r="B90" s="3257"/>
      <c r="C90" s="815" t="s">
        <v>674</v>
      </c>
      <c r="D90" s="815" t="s">
        <v>675</v>
      </c>
      <c r="E90" s="892">
        <v>0.2</v>
      </c>
      <c r="F90" s="879">
        <v>30</v>
      </c>
    </row>
    <row r="91" spans="1:6" s="875" customFormat="1" ht="36">
      <c r="A91" s="879">
        <v>31</v>
      </c>
      <c r="B91" s="3257"/>
      <c r="C91" s="815" t="s">
        <v>676</v>
      </c>
      <c r="D91" s="815" t="s">
        <v>677</v>
      </c>
      <c r="E91" s="892">
        <v>0.2</v>
      </c>
      <c r="F91" s="879">
        <v>30</v>
      </c>
    </row>
    <row r="92" spans="1:6" s="875" customFormat="1" ht="24">
      <c r="A92" s="879">
        <v>32</v>
      </c>
      <c r="B92" s="3257" t="s">
        <v>678</v>
      </c>
      <c r="C92" s="879" t="s">
        <v>679</v>
      </c>
      <c r="D92" s="815" t="s">
        <v>680</v>
      </c>
      <c r="E92" s="892">
        <v>0.2</v>
      </c>
      <c r="F92" s="879">
        <v>30</v>
      </c>
    </row>
    <row r="93" spans="1:6" s="875" customFormat="1" ht="36">
      <c r="A93" s="879">
        <v>33</v>
      </c>
      <c r="B93" s="3257"/>
      <c r="C93" s="879" t="s">
        <v>681</v>
      </c>
      <c r="D93" s="815" t="s">
        <v>682</v>
      </c>
      <c r="E93" s="892">
        <v>0.2</v>
      </c>
      <c r="F93" s="879">
        <v>30</v>
      </c>
    </row>
    <row r="94" spans="1:6" s="875" customFormat="1" ht="48">
      <c r="A94" s="879">
        <v>34</v>
      </c>
      <c r="B94" s="3257"/>
      <c r="C94" s="879" t="s">
        <v>683</v>
      </c>
      <c r="D94" s="815" t="s">
        <v>684</v>
      </c>
      <c r="E94" s="892">
        <v>0.2</v>
      </c>
      <c r="F94" s="879">
        <v>30</v>
      </c>
    </row>
    <row r="95" spans="1:6" s="875" customFormat="1" ht="36">
      <c r="A95" s="879">
        <v>35</v>
      </c>
      <c r="B95" s="3257"/>
      <c r="C95" s="879" t="s">
        <v>685</v>
      </c>
      <c r="D95" s="815" t="s">
        <v>686</v>
      </c>
      <c r="E95" s="892">
        <v>0.2</v>
      </c>
      <c r="F95" s="879">
        <v>30</v>
      </c>
    </row>
    <row r="96" spans="1:6" s="875" customFormat="1" ht="48">
      <c r="A96" s="879">
        <v>36</v>
      </c>
      <c r="B96" s="3257"/>
      <c r="C96" s="815" t="s">
        <v>687</v>
      </c>
      <c r="D96" s="815" t="s">
        <v>688</v>
      </c>
      <c r="E96" s="892">
        <v>0.2</v>
      </c>
      <c r="F96" s="879">
        <v>30</v>
      </c>
    </row>
    <row r="97" spans="1:6" s="875" customFormat="1" ht="36">
      <c r="A97" s="879">
        <v>37</v>
      </c>
      <c r="B97" s="3257"/>
      <c r="C97" s="879" t="s">
        <v>689</v>
      </c>
      <c r="D97" s="815" t="s">
        <v>690</v>
      </c>
      <c r="E97" s="892">
        <v>0.2</v>
      </c>
      <c r="F97" s="879">
        <v>30</v>
      </c>
    </row>
    <row r="98" spans="1:6" s="875" customFormat="1" ht="36">
      <c r="A98" s="879">
        <v>38</v>
      </c>
      <c r="B98" s="3257"/>
      <c r="C98" s="879" t="s">
        <v>691</v>
      </c>
      <c r="D98" s="815" t="s">
        <v>692</v>
      </c>
      <c r="E98" s="892">
        <v>0.2</v>
      </c>
      <c r="F98" s="879">
        <v>30</v>
      </c>
    </row>
    <row r="99" spans="1:6" s="875" customFormat="1" ht="36">
      <c r="A99" s="879">
        <v>39</v>
      </c>
      <c r="B99" s="3257" t="s">
        <v>693</v>
      </c>
      <c r="C99" s="879" t="s">
        <v>694</v>
      </c>
      <c r="D99" s="815" t="s">
        <v>695</v>
      </c>
      <c r="E99" s="892">
        <v>0.3</v>
      </c>
      <c r="F99" s="879">
        <v>50</v>
      </c>
    </row>
    <row r="100" spans="1:6" s="875" customFormat="1" ht="24">
      <c r="A100" s="879">
        <v>40</v>
      </c>
      <c r="B100" s="3257"/>
      <c r="C100" s="879" t="s">
        <v>696</v>
      </c>
      <c r="D100" s="815" t="s">
        <v>697</v>
      </c>
      <c r="E100" s="892">
        <v>0.2</v>
      </c>
      <c r="F100" s="879">
        <v>30</v>
      </c>
    </row>
    <row r="101" spans="1:6" s="875" customFormat="1" ht="36">
      <c r="A101" s="879">
        <v>41</v>
      </c>
      <c r="B101" s="3257"/>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57" t="s">
        <v>708</v>
      </c>
      <c r="C105" s="879" t="s">
        <v>709</v>
      </c>
      <c r="D105" s="815" t="s">
        <v>710</v>
      </c>
      <c r="E105" s="892">
        <v>0.2</v>
      </c>
      <c r="F105" s="879">
        <v>30</v>
      </c>
    </row>
    <row r="106" spans="1:6" s="875" customFormat="1" ht="36">
      <c r="A106" s="879">
        <v>46</v>
      </c>
      <c r="B106" s="3257"/>
      <c r="C106" s="879" t="s">
        <v>711</v>
      </c>
      <c r="D106" s="815" t="s">
        <v>712</v>
      </c>
      <c r="E106" s="892">
        <v>0.2</v>
      </c>
      <c r="F106" s="879">
        <v>30</v>
      </c>
    </row>
    <row r="107" spans="1:6" s="875" customFormat="1" ht="36">
      <c r="A107" s="879">
        <v>47</v>
      </c>
      <c r="B107" s="3257" t="s">
        <v>713</v>
      </c>
      <c r="C107" s="879" t="s">
        <v>714</v>
      </c>
      <c r="D107" s="815" t="s">
        <v>715</v>
      </c>
      <c r="E107" s="892">
        <v>0.3</v>
      </c>
      <c r="F107" s="879">
        <v>50</v>
      </c>
    </row>
    <row r="108" spans="1:6" s="875" customFormat="1" ht="36">
      <c r="A108" s="879">
        <v>48</v>
      </c>
      <c r="B108" s="3257"/>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57" t="s">
        <v>724</v>
      </c>
      <c r="C111" s="879" t="s">
        <v>725</v>
      </c>
      <c r="D111" s="815" t="s">
        <v>726</v>
      </c>
      <c r="E111" s="892">
        <v>0.2</v>
      </c>
      <c r="F111" s="879">
        <v>30</v>
      </c>
    </row>
    <row r="112" spans="1:6" s="875" customFormat="1" ht="24">
      <c r="A112" s="879">
        <v>52</v>
      </c>
      <c r="B112" s="3257"/>
      <c r="C112" s="879" t="s">
        <v>727</v>
      </c>
      <c r="D112" s="815" t="s">
        <v>728</v>
      </c>
      <c r="E112" s="892">
        <v>0.2</v>
      </c>
      <c r="F112" s="879">
        <v>30</v>
      </c>
    </row>
    <row r="113" spans="1:6" s="875" customFormat="1" ht="24">
      <c r="A113" s="879">
        <v>53</v>
      </c>
      <c r="B113" s="3257"/>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57" t="s">
        <v>737</v>
      </c>
      <c r="C116" s="879" t="s">
        <v>738</v>
      </c>
      <c r="D116" s="815" t="s">
        <v>739</v>
      </c>
      <c r="E116" s="892">
        <v>0.2</v>
      </c>
      <c r="F116" s="879">
        <v>30</v>
      </c>
    </row>
    <row r="117" spans="1:6" ht="36">
      <c r="A117" s="879">
        <v>57</v>
      </c>
      <c r="B117" s="3257"/>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0.89929999999999999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0"/>
      <c r="B4" s="2957" t="s">
        <v>1622</v>
      </c>
      <c r="C4" s="2957"/>
      <c r="D4" s="2957"/>
      <c r="E4" s="1960"/>
    </row>
    <row r="5" spans="1:5" ht="16.5" thickTop="1">
      <c r="A5" s="1958"/>
      <c r="B5" s="2955" t="s">
        <v>1614</v>
      </c>
      <c r="C5" s="1961" t="s">
        <v>1615</v>
      </c>
      <c r="D5" s="1040">
        <f ca="1">结果表!H101</f>
        <v>227999</v>
      </c>
      <c r="E5" s="1958"/>
    </row>
    <row r="6" spans="1:5" ht="15.75">
      <c r="A6" s="1958"/>
      <c r="B6" s="2955"/>
      <c r="C6" s="1961" t="s">
        <v>1616</v>
      </c>
      <c r="D6" s="1040" t="str">
        <f ca="1">NUMBERSTRING(INT(D5*10000),2)&amp;"元整"</f>
        <v>贰拾贰亿柒仟玖佰玖拾玖万元整</v>
      </c>
      <c r="E6" s="1958"/>
    </row>
    <row r="7" spans="1:5" ht="15.75">
      <c r="A7" s="1958"/>
      <c r="B7" s="2960"/>
      <c r="C7" s="1962" t="s">
        <v>1617</v>
      </c>
      <c r="D7" s="1041">
        <f ca="1">结果表!H102</f>
        <v>8364</v>
      </c>
      <c r="E7" s="1958"/>
    </row>
    <row r="8" spans="1:5" ht="15.75">
      <c r="A8" s="1958"/>
      <c r="B8" s="2961" t="str">
        <f>结果表!E103</f>
        <v>2.估价师知悉的法定优先受偿款</v>
      </c>
      <c r="C8" s="1963" t="s">
        <v>1618</v>
      </c>
      <c r="D8" s="1041">
        <f>结果表!H103</f>
        <v>0</v>
      </c>
      <c r="E8" s="1958"/>
    </row>
    <row r="9" spans="1:5" ht="15.75">
      <c r="A9" s="1958"/>
      <c r="B9" s="2963"/>
      <c r="C9" s="1961" t="s">
        <v>1616</v>
      </c>
      <c r="D9" s="1040" t="str">
        <f>NUMBERSTRING(INT(D8*10000),2)&amp;"元整"</f>
        <v>零元整</v>
      </c>
      <c r="E9" s="1958"/>
    </row>
    <row r="10" spans="1:5" ht="15">
      <c r="A10" s="1958"/>
      <c r="B10" s="1964" t="s">
        <v>1621</v>
      </c>
      <c r="C10" s="1965" t="s">
        <v>1619</v>
      </c>
      <c r="D10" s="1042">
        <f>结果表!H104</f>
        <v>0</v>
      </c>
      <c r="E10" s="1958"/>
    </row>
    <row r="11" spans="1:5" ht="15">
      <c r="A11" s="1958"/>
      <c r="B11" s="1964" t="s">
        <v>1623</v>
      </c>
      <c r="C11" s="1965" t="s">
        <v>1624</v>
      </c>
      <c r="D11" s="1042">
        <f>结果表!H105</f>
        <v>0</v>
      </c>
      <c r="E11" s="1958"/>
    </row>
    <row r="12" spans="1:5" ht="15">
      <c r="A12" s="1958"/>
      <c r="B12" s="1964" t="s">
        <v>1625</v>
      </c>
      <c r="C12" s="1965" t="s">
        <v>1624</v>
      </c>
      <c r="D12" s="1042">
        <f>结果表!H106</f>
        <v>0</v>
      </c>
      <c r="E12" s="1958"/>
    </row>
    <row r="13" spans="1:5" ht="15.75">
      <c r="A13" s="1958"/>
      <c r="B13" s="2954" t="str">
        <f>结果表!E107</f>
        <v>3.房地产抵押价值</v>
      </c>
      <c r="C13" s="1966" t="s">
        <v>1615</v>
      </c>
      <c r="D13" s="1043">
        <f ca="1">结果表!H107</f>
        <v>227999</v>
      </c>
      <c r="E13" s="1958"/>
    </row>
    <row r="14" spans="1:5" ht="15.75">
      <c r="A14" s="1958"/>
      <c r="B14" s="2955"/>
      <c r="C14" s="1961" t="s">
        <v>1616</v>
      </c>
      <c r="D14" s="1040" t="str">
        <f ca="1">NUMBERSTRING(INT(D13*10000),2)&amp;"元整"</f>
        <v>贰拾贰亿柒仟玖佰玖拾玖万元整</v>
      </c>
      <c r="E14" s="1958"/>
    </row>
    <row r="15" spans="1:5" ht="15">
      <c r="A15" s="1958"/>
      <c r="B15" s="2960"/>
      <c r="C15" s="1962" t="s">
        <v>1626</v>
      </c>
      <c r="D15" s="1052">
        <f ca="1">结果表!H108</f>
        <v>8364</v>
      </c>
      <c r="E15" s="1958"/>
    </row>
    <row r="16" spans="1:5" ht="15">
      <c r="A16" s="1958"/>
      <c r="B16" s="2961" t="str">
        <f>结果表!E109</f>
        <v>4.抵押担保权已注销时的房地产抵押价值</v>
      </c>
      <c r="C16" s="1966" t="s">
        <v>1627</v>
      </c>
      <c r="D16" s="1967">
        <f ca="1">结果表!H109</f>
        <v>227999</v>
      </c>
      <c r="E16" s="1958"/>
    </row>
    <row r="17" spans="1:5" ht="15.75">
      <c r="A17" s="1958"/>
      <c r="B17" s="2962"/>
      <c r="C17" s="1961" t="s">
        <v>1628</v>
      </c>
      <c r="D17" s="1040" t="str">
        <f ca="1">NUMBERSTRING(INT(D16*10000),2)&amp;"元整"</f>
        <v>贰拾贰亿柒仟玖佰玖拾玖万元整</v>
      </c>
      <c r="E17" s="1958"/>
    </row>
    <row r="18" spans="1:5" ht="15">
      <c r="A18" s="1958"/>
      <c r="B18" s="2963"/>
      <c r="C18" s="1962" t="s">
        <v>1617</v>
      </c>
      <c r="D18" s="1052">
        <f ca="1">结果表!H110</f>
        <v>8364</v>
      </c>
      <c r="E18" s="1958"/>
    </row>
    <row r="19" spans="1:5" ht="15.75">
      <c r="A19" s="1958"/>
      <c r="B19" s="2954" t="str">
        <f>结果表!E111</f>
        <v>——</v>
      </c>
      <c r="C19" s="1966" t="s">
        <v>1615</v>
      </c>
      <c r="D19" s="1041" t="str">
        <f>结果表!H111</f>
        <v>——</v>
      </c>
      <c r="E19" s="1958"/>
    </row>
    <row r="20" spans="1:5" ht="15.75">
      <c r="A20" s="1958"/>
      <c r="B20" s="2955"/>
      <c r="C20" s="1961" t="s">
        <v>1628</v>
      </c>
      <c r="D20" s="1040" t="e">
        <f>NUMBERSTRING(INT(D19*10000),2)&amp;"元整"</f>
        <v>#VALUE!</v>
      </c>
      <c r="E20" s="1958"/>
    </row>
    <row r="21" spans="1:5" ht="15.75" thickBot="1">
      <c r="A21" s="1958"/>
      <c r="B21" s="2956"/>
      <c r="C21" s="1968" t="s">
        <v>1626</v>
      </c>
      <c r="D21" s="1053"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2949</v>
      </c>
    </row>
    <row r="2" spans="1:5" ht="15.75">
      <c r="A2" s="2912" t="s">
        <v>2941</v>
      </c>
      <c r="B2" s="2913">
        <f ca="1">SUMIF(B6:B13,"&lt;&gt;#ref!",B6:B13)</f>
        <v>0</v>
      </c>
      <c r="C2" s="2912" t="s">
        <v>2942</v>
      </c>
      <c r="D2" s="2912" t="s">
        <v>2943</v>
      </c>
      <c r="E2" s="2913">
        <f ca="1">SUMIF(E6:E13,"&lt;&gt;#ref!",E6:E13)</f>
        <v>0</v>
      </c>
    </row>
    <row r="3" spans="1:5" ht="15.75">
      <c r="A3" s="2912" t="s">
        <v>2944</v>
      </c>
      <c r="B3" s="2913" t="e">
        <f ca="1">ROUND(B2*10000/E2,0)</f>
        <v>#DIV/0!</v>
      </c>
      <c r="C3" s="2912" t="s">
        <v>2950</v>
      </c>
      <c r="D3" s="2914"/>
      <c r="E3" s="2914"/>
    </row>
    <row r="4" spans="1:5" ht="15.75">
      <c r="A4" s="2915"/>
      <c r="B4" s="2914"/>
      <c r="C4" s="2914"/>
      <c r="D4" s="2914"/>
      <c r="E4" s="2914"/>
    </row>
    <row r="5" spans="1:5" ht="28.5">
      <c r="A5" s="2916" t="s">
        <v>2945</v>
      </c>
      <c r="B5" s="2912" t="s">
        <v>2946</v>
      </c>
      <c r="C5" s="2913"/>
      <c r="D5" s="2914"/>
      <c r="E5" s="2912" t="s">
        <v>2947</v>
      </c>
    </row>
    <row r="6" spans="1:5" ht="15.75">
      <c r="A6" s="2917" t="s">
        <v>2948</v>
      </c>
      <c r="B6" s="2913">
        <f ca="1">SUMIF(INDIRECT("'"&amp;A6&amp;"'"&amp;"!A:A"),"总价",INDIRECT("'"&amp;A6&amp;"'"&amp;"!B:B"))</f>
        <v>0</v>
      </c>
      <c r="C6" s="2912" t="s">
        <v>2942</v>
      </c>
      <c r="D6" s="2914"/>
      <c r="E6" s="2577">
        <f ca="1">SUMIF(INDIRECT("'"&amp;A6&amp;"'"&amp;"!C:C"),"建筑面积",INDIRECT("'"&amp;A6&amp;"'"&amp;"!D:D"))</f>
        <v>0</v>
      </c>
    </row>
    <row r="7" spans="1:5" ht="15.75">
      <c r="A7" s="2917"/>
      <c r="B7" s="2913" t="e">
        <f ca="1">SUMIF(INDIRECT("'"&amp;A7&amp;"'"&amp;"!A:A"),"总价",INDIRECT("'"&amp;A7&amp;"'"&amp;"!B:B"))</f>
        <v>#REF!</v>
      </c>
      <c r="C7" s="2912" t="s">
        <v>2942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2942</v>
      </c>
      <c r="D8" s="2914"/>
      <c r="E8" s="2577" t="e">
        <f t="shared" ca="1" si="0"/>
        <v>#REF!</v>
      </c>
    </row>
    <row r="9" spans="1:5" ht="15.75">
      <c r="A9" s="2917"/>
      <c r="B9" s="2913" t="e">
        <f t="shared" ca="1" si="1"/>
        <v>#REF!</v>
      </c>
      <c r="C9" s="2912" t="s">
        <v>2942</v>
      </c>
      <c r="D9" s="2914"/>
      <c r="E9" s="2577" t="e">
        <f t="shared" ca="1" si="0"/>
        <v>#REF!</v>
      </c>
    </row>
    <row r="10" spans="1:5" ht="15.75">
      <c r="A10" s="2917"/>
      <c r="B10" s="2913" t="e">
        <f t="shared" ca="1" si="1"/>
        <v>#REF!</v>
      </c>
      <c r="C10" s="2912" t="s">
        <v>2942</v>
      </c>
      <c r="D10" s="2914"/>
      <c r="E10" s="2577" t="e">
        <f t="shared" ca="1" si="0"/>
        <v>#REF!</v>
      </c>
    </row>
    <row r="11" spans="1:5" ht="15.75">
      <c r="A11" s="2917"/>
      <c r="B11" s="2913" t="e">
        <f t="shared" ca="1" si="1"/>
        <v>#REF!</v>
      </c>
      <c r="C11" s="2912" t="s">
        <v>2942</v>
      </c>
      <c r="D11" s="2914"/>
      <c r="E11" s="2577" t="e">
        <f t="shared" ca="1" si="0"/>
        <v>#REF!</v>
      </c>
    </row>
    <row r="12" spans="1:5" ht="15.75">
      <c r="A12" s="2917"/>
      <c r="B12" s="2913" t="e">
        <f t="shared" ca="1" si="1"/>
        <v>#REF!</v>
      </c>
      <c r="C12" s="2912" t="s">
        <v>2942</v>
      </c>
      <c r="D12" s="2914"/>
      <c r="E12" s="2577" t="e">
        <f t="shared" ca="1" si="0"/>
        <v>#REF!</v>
      </c>
    </row>
    <row r="13" spans="1:5" ht="15.75">
      <c r="A13" s="2917"/>
      <c r="B13" s="2913" t="e">
        <f t="shared" ca="1" si="1"/>
        <v>#REF!</v>
      </c>
      <c r="C13" s="2912" t="s">
        <v>2942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3" t="s">
        <v>1142</v>
      </c>
      <c r="C1" s="3263"/>
      <c r="D1" s="3263"/>
      <c r="E1" s="3263"/>
      <c r="F1" s="3263"/>
      <c r="G1" s="3262" t="s">
        <v>1143</v>
      </c>
      <c r="H1" s="3262"/>
      <c r="I1" s="3262"/>
      <c r="J1" s="3262"/>
      <c r="K1" s="3262"/>
      <c r="L1" s="3262"/>
      <c r="N1" s="3262" t="s">
        <v>1144</v>
      </c>
      <c r="O1" s="3262"/>
      <c r="P1" s="3262"/>
      <c r="Q1" s="3262"/>
      <c r="R1" s="1446"/>
      <c r="S1" s="3262" t="s">
        <v>1145</v>
      </c>
      <c r="T1" s="3262"/>
      <c r="U1" s="3262"/>
      <c r="V1" s="3262"/>
      <c r="X1" s="3261" t="s">
        <v>1146</v>
      </c>
      <c r="Y1" s="3262"/>
      <c r="Z1" s="3262"/>
      <c r="AA1" s="3262"/>
      <c r="AB1" s="3262"/>
      <c r="AD1" s="3261" t="s">
        <v>1147</v>
      </c>
      <c r="AE1" s="3262"/>
      <c r="AF1" s="3262"/>
      <c r="AG1" s="3262"/>
      <c r="AH1" s="3262"/>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8" customFormat="1" ht="14.25">
      <c r="A3" s="2937" t="s">
        <v>2984</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3" customFormat="1" ht="14.25">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2997</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41">
        <v>2019</v>
      </c>
      <c r="H5" s="1729">
        <v>1</v>
      </c>
      <c r="I5" s="2924">
        <v>0</v>
      </c>
      <c r="J5" s="2924">
        <v>0</v>
      </c>
      <c r="K5" s="2924">
        <v>0</v>
      </c>
      <c r="L5" s="2924">
        <v>0</v>
      </c>
      <c r="N5" s="1467">
        <f>I5/100</f>
        <v>0</v>
      </c>
      <c r="O5" s="1467">
        <f t="shared" ref="O5" si="7">J5/100</f>
        <v>0</v>
      </c>
      <c r="P5" s="1467">
        <f t="shared" ref="P5" si="8">K5/100</f>
        <v>0</v>
      </c>
      <c r="Q5" s="1467">
        <f t="shared" ref="Q5" si="9">L5/100</f>
        <v>0</v>
      </c>
      <c r="R5" s="1731"/>
      <c r="S5" s="1732"/>
      <c r="T5" s="1731"/>
      <c r="U5" s="1731"/>
      <c r="V5" s="1731"/>
      <c r="W5" s="2927" t="s">
        <v>2985</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2998</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259">
        <v>2018</v>
      </c>
      <c r="H6" s="1464">
        <v>4</v>
      </c>
      <c r="I6" s="2951">
        <v>0.96</v>
      </c>
      <c r="J6" s="2951">
        <v>1.03</v>
      </c>
      <c r="K6" s="2951">
        <v>0.92</v>
      </c>
      <c r="L6" s="2952">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2991</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259"/>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2990</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259"/>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2983</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268"/>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2980</v>
      </c>
      <c r="B10" s="1469">
        <v>439</v>
      </c>
      <c r="C10" s="1469">
        <v>327</v>
      </c>
      <c r="D10" s="1469">
        <f>C10</f>
        <v>327</v>
      </c>
      <c r="E10" s="1469">
        <v>627</v>
      </c>
      <c r="F10" s="1470">
        <v>283</v>
      </c>
      <c r="G10" s="3264">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2981</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259"/>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5"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259"/>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268"/>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264">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259"/>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259"/>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260"/>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258">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259"/>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259"/>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260"/>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258">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259"/>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259"/>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260"/>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5" thickBot="1">
      <c r="A26" s="1461" t="s">
        <v>1155</v>
      </c>
      <c r="B26" s="1469">
        <v>299</v>
      </c>
      <c r="C26" s="1469">
        <v>252</v>
      </c>
      <c r="D26" s="1469">
        <f t="shared" si="74"/>
        <v>252</v>
      </c>
      <c r="E26" s="1469">
        <v>409</v>
      </c>
      <c r="F26" s="1470">
        <v>227</v>
      </c>
      <c r="G26" s="3265">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266"/>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266"/>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267"/>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1159</v>
      </c>
      <c r="B30" s="1511">
        <v>278</v>
      </c>
      <c r="C30" s="1511">
        <v>234</v>
      </c>
      <c r="D30" s="1511">
        <f t="shared" si="74"/>
        <v>234</v>
      </c>
      <c r="E30" s="1511">
        <v>379</v>
      </c>
      <c r="F30" s="1512">
        <v>220</v>
      </c>
      <c r="G30" s="3258">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259"/>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259"/>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1162</v>
      </c>
      <c r="B33" s="1477">
        <f>B32/(1+N32)</f>
        <v>275.19025476197027</v>
      </c>
      <c r="C33" s="1513">
        <v>232</v>
      </c>
      <c r="D33" s="1513">
        <f t="shared" si="74"/>
        <v>232</v>
      </c>
      <c r="E33" s="1477">
        <f t="shared" si="85"/>
        <v>375.65990977608692</v>
      </c>
      <c r="F33" s="1477">
        <f t="shared" si="85"/>
        <v>214.12518283971252</v>
      </c>
      <c r="G33" s="3260"/>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1163</v>
      </c>
      <c r="B34" s="1469">
        <v>275</v>
      </c>
      <c r="C34" s="1469">
        <v>232</v>
      </c>
      <c r="D34" s="1469">
        <f t="shared" si="74"/>
        <v>232</v>
      </c>
      <c r="E34" s="1469">
        <v>376</v>
      </c>
      <c r="F34" s="1470">
        <v>213</v>
      </c>
      <c r="G34" s="3258">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259">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259">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260">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1167</v>
      </c>
      <c r="B38" s="1469">
        <v>269</v>
      </c>
      <c r="C38" s="1469">
        <v>221</v>
      </c>
      <c r="D38" s="1469">
        <f t="shared" si="74"/>
        <v>221</v>
      </c>
      <c r="E38" s="1469">
        <v>373</v>
      </c>
      <c r="F38" s="1470">
        <v>196</v>
      </c>
      <c r="G38" s="3258">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259">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259">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260">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1171</v>
      </c>
      <c r="B42" s="1469">
        <v>220</v>
      </c>
      <c r="C42" s="1469">
        <v>187</v>
      </c>
      <c r="D42" s="1469">
        <f t="shared" si="74"/>
        <v>187</v>
      </c>
      <c r="E42" s="1469">
        <v>301</v>
      </c>
      <c r="F42" s="1470">
        <v>168</v>
      </c>
      <c r="G42" s="3258">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259">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259">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260">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1175</v>
      </c>
      <c r="B46" s="1511">
        <v>214</v>
      </c>
      <c r="C46" s="1511">
        <v>188</v>
      </c>
      <c r="D46" s="1511">
        <f t="shared" si="74"/>
        <v>188</v>
      </c>
      <c r="E46" s="1511">
        <v>289</v>
      </c>
      <c r="F46" s="1512">
        <v>166</v>
      </c>
      <c r="G46" s="3258">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259">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259">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260">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1179</v>
      </c>
      <c r="B50" s="1469">
        <v>188</v>
      </c>
      <c r="C50" s="1469">
        <v>165</v>
      </c>
      <c r="D50" s="1469">
        <f t="shared" si="74"/>
        <v>165</v>
      </c>
      <c r="E50" s="1469">
        <v>254</v>
      </c>
      <c r="F50" s="1470">
        <v>148</v>
      </c>
      <c r="G50" s="3258">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259">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259">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260">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1183</v>
      </c>
      <c r="B54" s="1490">
        <v>159</v>
      </c>
      <c r="C54" s="1490">
        <v>141</v>
      </c>
      <c r="D54" s="1490">
        <f t="shared" si="74"/>
        <v>141</v>
      </c>
      <c r="E54" s="1490">
        <v>195</v>
      </c>
      <c r="F54" s="1491">
        <v>122</v>
      </c>
      <c r="G54" s="3258">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259">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259">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260">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1187</v>
      </c>
      <c r="B58" s="1490">
        <v>138</v>
      </c>
      <c r="C58" s="1490">
        <v>131</v>
      </c>
      <c r="D58" s="1490">
        <f t="shared" si="74"/>
        <v>131</v>
      </c>
      <c r="E58" s="1490">
        <v>155</v>
      </c>
      <c r="F58" s="1491">
        <v>114</v>
      </c>
      <c r="G58" s="3258">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259">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259">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260">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1191</v>
      </c>
      <c r="B62" s="1511">
        <v>121</v>
      </c>
      <c r="C62" s="1511">
        <v>122</v>
      </c>
      <c r="D62" s="1511">
        <f t="shared" si="74"/>
        <v>122</v>
      </c>
      <c r="E62" s="1511">
        <v>124</v>
      </c>
      <c r="F62" s="1512">
        <v>107</v>
      </c>
      <c r="G62" s="3258">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259">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259">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260">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1195</v>
      </c>
      <c r="B66" s="1532">
        <v>111</v>
      </c>
      <c r="C66" s="1532">
        <v>114</v>
      </c>
      <c r="D66" s="1532">
        <f t="shared" si="74"/>
        <v>114</v>
      </c>
      <c r="E66" s="1532">
        <v>108</v>
      </c>
      <c r="F66" s="1533">
        <v>104</v>
      </c>
      <c r="G66" s="3258">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259">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259">
        <v>2003</v>
      </c>
      <c r="H68" s="1465">
        <v>2</v>
      </c>
      <c r="I68" s="1534"/>
      <c r="J68" s="1534"/>
      <c r="K68" s="1534"/>
      <c r="L68" s="1534"/>
      <c r="X68" s="1526"/>
      <c r="Y68" s="1526"/>
      <c r="Z68" s="1526"/>
    </row>
    <row r="69" spans="1:26" ht="13.5" thickBot="1">
      <c r="A69" s="1461" t="s">
        <v>1198</v>
      </c>
      <c r="B69" s="1536">
        <f t="shared" si="110"/>
        <v>107.25</v>
      </c>
      <c r="C69" s="1536">
        <f t="shared" si="110"/>
        <v>108.75</v>
      </c>
      <c r="D69" s="1536">
        <f t="shared" si="74"/>
        <v>108.75</v>
      </c>
      <c r="E69" s="1536">
        <f t="shared" si="111"/>
        <v>105.75</v>
      </c>
      <c r="F69" s="1536">
        <f t="shared" si="111"/>
        <v>102.5</v>
      </c>
      <c r="G69" s="3260">
        <v>2003</v>
      </c>
      <c r="H69" s="1537">
        <v>1</v>
      </c>
      <c r="I69" s="1534"/>
      <c r="J69" s="1534"/>
      <c r="K69" s="1534"/>
      <c r="L69" s="1534"/>
      <c r="S69" s="1472"/>
      <c r="T69" s="1473"/>
      <c r="U69" s="1473"/>
      <c r="X69" s="1526"/>
      <c r="Y69" s="1526"/>
      <c r="Z69" s="1526"/>
    </row>
    <row r="70" spans="1:26" ht="13.5" thickBot="1">
      <c r="A70" s="1461" t="s">
        <v>1199</v>
      </c>
      <c r="B70" s="1538">
        <v>106</v>
      </c>
      <c r="C70" s="1538">
        <v>107</v>
      </c>
      <c r="D70" s="1538">
        <f t="shared" si="74"/>
        <v>107</v>
      </c>
      <c r="E70" s="1538">
        <v>105</v>
      </c>
      <c r="F70" s="1539">
        <v>102</v>
      </c>
      <c r="G70" s="3258">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259">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259">
        <v>2002</v>
      </c>
      <c r="H72" s="1465">
        <v>2</v>
      </c>
      <c r="I72" s="1534"/>
      <c r="J72" s="1534"/>
      <c r="K72" s="1534"/>
      <c r="L72" s="1534"/>
      <c r="X72" s="1526"/>
      <c r="Y72" s="1526"/>
      <c r="Z72" s="1526"/>
    </row>
    <row r="73" spans="1:26" s="1498" customFormat="1" ht="13.5" thickBot="1">
      <c r="A73" s="1494" t="s">
        <v>1202</v>
      </c>
      <c r="B73" s="1540">
        <f t="shared" si="112"/>
        <v>103</v>
      </c>
      <c r="C73" s="1540">
        <f t="shared" si="112"/>
        <v>104</v>
      </c>
      <c r="D73" s="1540">
        <f t="shared" si="74"/>
        <v>104</v>
      </c>
      <c r="E73" s="1540">
        <f t="shared" si="113"/>
        <v>103.5</v>
      </c>
      <c r="F73" s="1540">
        <f t="shared" si="113"/>
        <v>100.5</v>
      </c>
      <c r="G73" s="3260">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5"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2951</v>
      </c>
      <c r="C1" s="3270" t="s">
        <v>2952</v>
      </c>
      <c r="D1" s="3271"/>
      <c r="E1" s="3271"/>
      <c r="F1" s="3271"/>
      <c r="G1" s="3271"/>
      <c r="H1" s="3271"/>
      <c r="I1" s="3271"/>
      <c r="J1" s="3271"/>
      <c r="K1" s="3271"/>
      <c r="L1" s="3271"/>
      <c r="M1" s="3271"/>
      <c r="N1" s="3271"/>
      <c r="O1" s="3271"/>
      <c r="P1" s="3271"/>
      <c r="Q1" s="3271"/>
      <c r="R1" s="3271"/>
      <c r="S1" s="3272"/>
      <c r="T1" s="1204" t="s">
        <v>2953</v>
      </c>
    </row>
    <row r="2" spans="1:45" s="707" customFormat="1">
      <c r="A2" s="1205"/>
      <c r="B2" s="703" t="s">
        <v>2954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2957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2958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2959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2961</v>
      </c>
      <c r="B17" s="2919" t="s">
        <v>2962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0" t="s">
        <v>2963</v>
      </c>
      <c r="E19" s="1791"/>
      <c r="F19" s="1791"/>
      <c r="G19" s="1791"/>
      <c r="H19" s="1280"/>
      <c r="I19" s="168"/>
      <c r="J19" s="168"/>
      <c r="K19" s="168"/>
      <c r="L19" s="168"/>
      <c r="M19" s="168"/>
      <c r="N19" s="168"/>
      <c r="O19" s="168"/>
      <c r="P19" s="168"/>
      <c r="Q19" s="168"/>
      <c r="R19" s="788"/>
      <c r="S19" s="138"/>
    </row>
    <row r="20" spans="1:45" ht="16.5" thickBot="1">
      <c r="A20" s="715" t="s">
        <v>2964</v>
      </c>
      <c r="B20" s="338" t="e">
        <f ca="1">IF(D20="——",S22,S22-F20)</f>
        <v>#REF!</v>
      </c>
      <c r="C20" s="168"/>
      <c r="D20" s="2921" t="s">
        <v>2965</v>
      </c>
      <c r="E20" s="1792"/>
      <c r="F20" s="1204" t="e">
        <f ca="1">SUMIF(INDIRECT("'"&amp;H20&amp;"'"&amp;"!A:A"),"承租人权益价值",INDIRECT("'"&amp;H20&amp;"'"&amp;"!c:c"))</f>
        <v>#REF!</v>
      </c>
      <c r="G20" s="1204" t="s">
        <v>2966</v>
      </c>
      <c r="H20" s="2922"/>
      <c r="I20" s="168"/>
      <c r="J20" s="168"/>
      <c r="K20" s="168"/>
      <c r="L20" s="168"/>
      <c r="M20" s="168"/>
      <c r="N20" s="168"/>
      <c r="O20" s="168"/>
      <c r="P20" s="168"/>
      <c r="Q20" s="168"/>
      <c r="R20" s="788"/>
      <c r="S20" s="138"/>
    </row>
    <row r="21" spans="1:45" ht="15.75">
      <c r="A21" s="715" t="s">
        <v>2967</v>
      </c>
      <c r="B21" s="338">
        <f>R22</f>
        <v>10000</v>
      </c>
      <c r="C21" s="168"/>
      <c r="D21" s="168"/>
      <c r="E21" s="168"/>
      <c r="F21" s="168"/>
      <c r="G21" s="168"/>
      <c r="H21" s="168"/>
      <c r="I21" s="168"/>
      <c r="J21" s="168"/>
      <c r="K21" s="168"/>
      <c r="L21" s="168"/>
      <c r="M21" s="168"/>
      <c r="N21" s="168"/>
      <c r="O21" s="168"/>
      <c r="P21" s="168"/>
      <c r="Q21" s="168"/>
      <c r="R21" s="788"/>
      <c r="S21" s="138"/>
    </row>
    <row r="22" spans="1:45">
      <c r="A22" s="361" t="s">
        <v>2968</v>
      </c>
      <c r="B22" s="24">
        <f>SUM(B24:B10000)</f>
        <v>100</v>
      </c>
      <c r="C22" s="3132" t="s">
        <v>33</v>
      </c>
      <c r="D22" s="3133"/>
      <c r="E22" s="3133"/>
      <c r="F22" s="3133"/>
      <c r="G22" s="3133"/>
      <c r="H22" s="3133"/>
      <c r="I22" s="3133"/>
      <c r="J22" s="3133"/>
      <c r="K22" s="3133"/>
      <c r="L22" s="3133"/>
      <c r="M22" s="3133"/>
      <c r="N22" s="3133"/>
      <c r="O22" s="3133"/>
      <c r="P22" s="3133"/>
      <c r="Q22" s="3269"/>
      <c r="R22" s="716">
        <f>ROUND(S22*10000/B22,0)</f>
        <v>10000</v>
      </c>
      <c r="S22" s="24">
        <f>SUM(S24:S10000)</f>
        <v>100</v>
      </c>
    </row>
    <row r="23" spans="1:45" s="12" customFormat="1" ht="24">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7" t="s">
        <v>2972</v>
      </c>
      <c r="S23" s="11" t="s">
        <v>2973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74871</v>
      </c>
      <c r="C2" s="2" t="s">
        <v>133</v>
      </c>
      <c r="D2" s="243"/>
      <c r="E2" s="243"/>
      <c r="F2" s="243"/>
      <c r="G2" s="243"/>
    </row>
    <row r="3" spans="1:7" s="244" customFormat="1" ht="18" customHeight="1" thickBot="1">
      <c r="A3" s="247" t="s">
        <v>85</v>
      </c>
      <c r="B3" s="248">
        <f ca="1">ROUND(B2*10000/'数据-汇总表'!E3,0)</f>
        <v>2747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5452</v>
      </c>
      <c r="D10" s="1032">
        <f>'数据-汇总表'!E6</f>
        <v>272582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5452</v>
      </c>
      <c r="D19" s="1036">
        <f>'数据-汇总表'!E3</f>
        <v>272582</v>
      </c>
      <c r="E19" s="255">
        <f>'数据-取费表'!B31</f>
        <v>200</v>
      </c>
      <c r="F19" s="275"/>
      <c r="G19" s="1" t="s">
        <v>1070</v>
      </c>
    </row>
    <row r="20" spans="1:7" s="258" customFormat="1" ht="13.5" customHeight="1">
      <c r="A20" s="948" t="s">
        <v>1053</v>
      </c>
      <c r="B20" s="254" t="s">
        <v>104</v>
      </c>
      <c r="C20" s="276">
        <f>ROUND((C5+C19)*F20,0)</f>
        <v>521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1897</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1486</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393</v>
      </c>
      <c r="D24" s="282"/>
      <c r="E24" s="282"/>
      <c r="F24" s="283"/>
      <c r="G24" s="284" t="s">
        <v>109</v>
      </c>
    </row>
    <row r="25" spans="1:7" s="258" customFormat="1" ht="24">
      <c r="A25" s="951" t="s">
        <v>792</v>
      </c>
      <c r="B25" s="259" t="s">
        <v>1054</v>
      </c>
      <c r="C25" s="1355">
        <f ca="1">ROUND(IF('数据-取费表'!B22&lt;=1,C20*F22*'数据-取费表'!B23/2,C20*(POWER((1+F22),'数据-取费表'!B23/2)-1)),0)</f>
        <v>18</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4.75">
      <c r="A27" s="948" t="s">
        <v>786</v>
      </c>
      <c r="B27" s="288" t="s">
        <v>112</v>
      </c>
      <c r="C27" s="289">
        <f>C28</f>
        <v>1994</v>
      </c>
      <c r="D27" s="279">
        <f>C29</f>
        <v>1.5E-3</v>
      </c>
      <c r="E27" s="280" t="s">
        <v>126</v>
      </c>
      <c r="F27" s="290">
        <f>'数据-取费表'!Q16</f>
        <v>0.15</v>
      </c>
      <c r="G27" s="291" t="s">
        <v>1065</v>
      </c>
    </row>
    <row r="28" spans="1:7" s="258" customFormat="1" ht="13.5" customHeight="1">
      <c r="A28" s="951" t="s">
        <v>793</v>
      </c>
      <c r="B28" s="292" t="s">
        <v>1058</v>
      </c>
      <c r="C28" s="293">
        <f>ROUND((C5+C19+C20)*F27*'数据-取费表'!B21/'数据-取费表'!B20,0)</f>
        <v>1994</v>
      </c>
      <c r="D28" s="279"/>
      <c r="E28" s="280"/>
      <c r="F28" s="290"/>
      <c r="G28" s="291"/>
    </row>
    <row r="29" spans="1:7" s="258" customFormat="1" ht="13.5" customHeight="1">
      <c r="A29" s="951" t="s">
        <v>791</v>
      </c>
      <c r="B29" s="292" t="s">
        <v>1059</v>
      </c>
      <c r="C29" s="282">
        <f>ROUND(C21*F27*'数据-取费表'!B21/'数据-取费表'!B20,4)</f>
        <v>1.5E-3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32964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31989</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28122</v>
      </c>
      <c r="D34" s="261"/>
      <c r="E34" s="264"/>
      <c r="F34" s="301">
        <f>IF('数据-取费表'!B24=0,1,'数据-取费表'!N16)</f>
        <v>0.374</v>
      </c>
      <c r="G34" s="263" t="s">
        <v>116</v>
      </c>
    </row>
    <row r="35" spans="1:7" ht="13.5" customHeight="1">
      <c r="A35" s="951" t="s">
        <v>795</v>
      </c>
      <c r="B35" s="259" t="s">
        <v>60</v>
      </c>
      <c r="C35" s="264">
        <f>ROUND(C34*F35,0)</f>
        <v>1406</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2039</v>
      </c>
      <c r="D37" s="261">
        <f>'数据-汇总表'!E3</f>
        <v>272582</v>
      </c>
      <c r="E37" s="293">
        <f>'数据-取费表'!B35</f>
        <v>200</v>
      </c>
      <c r="F37" s="303"/>
      <c r="G37" s="305" t="s">
        <v>119</v>
      </c>
    </row>
    <row r="38" spans="1:7" ht="13.5" customHeight="1">
      <c r="A38" s="951" t="s">
        <v>798</v>
      </c>
      <c r="B38" s="259" t="s">
        <v>63</v>
      </c>
      <c r="C38" s="264">
        <f>ROUND(C34*F38,0)</f>
        <v>422</v>
      </c>
      <c r="D38" s="264"/>
      <c r="E38" s="264"/>
      <c r="F38" s="303">
        <f>'数据-取费表'!B36</f>
        <v>1.4999999999999999E-2</v>
      </c>
      <c r="G38" s="263" t="s">
        <v>117</v>
      </c>
    </row>
    <row r="39" spans="1:7" s="258" customFormat="1" ht="13.5" customHeight="1">
      <c r="A39" s="948" t="s">
        <v>782</v>
      </c>
      <c r="B39" s="254" t="s">
        <v>104</v>
      </c>
      <c r="C39" s="276">
        <f>ROUND(C33*F20,0)</f>
        <v>640</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1156</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1133</v>
      </c>
      <c r="D42" s="282"/>
      <c r="E42" s="282"/>
      <c r="F42" s="283"/>
      <c r="G42" s="3137" t="s">
        <v>121</v>
      </c>
    </row>
    <row r="43" spans="1:7" ht="13.5" customHeight="1">
      <c r="A43" s="951" t="s">
        <v>791</v>
      </c>
      <c r="B43" s="259" t="s">
        <v>1060</v>
      </c>
      <c r="C43" s="282">
        <f ca="1">ROUND(IF('数据-取费表'!B22&lt;=1,C39*F22*'数据-取费表'!B21/2,C39*(POWER((1+F22),'数据-取费表'!B21/2)-1)),0)</f>
        <v>23</v>
      </c>
      <c r="D43" s="282"/>
      <c r="E43" s="282"/>
      <c r="F43" s="283"/>
      <c r="G43" s="3138"/>
    </row>
    <row r="44" spans="1:7" ht="13.5" customHeight="1">
      <c r="A44" s="951" t="s">
        <v>792</v>
      </c>
      <c r="B44" s="259" t="s">
        <v>1062</v>
      </c>
      <c r="C44" s="282">
        <f ca="1">ROUND(IF('数据-取费表'!B22&lt;=1,C40*F22*'数据-取费表'!B21/2,C40*(POWER((1+F22),'数据-取费表'!B21/2)-1)),4)</f>
        <v>6.9999999999999999E-4</v>
      </c>
      <c r="D44" s="282"/>
      <c r="E44" s="282"/>
      <c r="F44" s="283"/>
      <c r="G44" s="3139"/>
    </row>
    <row r="45" spans="1:7" s="258" customFormat="1" ht="13.5" customHeight="1">
      <c r="A45" s="948" t="s">
        <v>785</v>
      </c>
      <c r="B45" s="288" t="s">
        <v>112</v>
      </c>
      <c r="C45" s="289">
        <f>C46</f>
        <v>4894</v>
      </c>
      <c r="D45" s="279">
        <f>C47</f>
        <v>3.0000000000000001E-3</v>
      </c>
      <c r="E45" s="280" t="s">
        <v>129</v>
      </c>
      <c r="F45" s="290"/>
      <c r="G45" s="291" t="s">
        <v>1068</v>
      </c>
    </row>
    <row r="46" spans="1:7" s="258" customFormat="1" ht="13.5" customHeight="1">
      <c r="A46" s="951" t="s">
        <v>793</v>
      </c>
      <c r="B46" s="292" t="s">
        <v>1061</v>
      </c>
      <c r="C46" s="293">
        <f>ROUND((C33+C39)*F27,0)</f>
        <v>4894</v>
      </c>
      <c r="D46" s="307"/>
      <c r="E46" s="280"/>
      <c r="F46" s="290"/>
      <c r="G46" s="291"/>
    </row>
    <row r="47" spans="1:7" s="258" customFormat="1" ht="13.5" customHeight="1">
      <c r="A47" s="951" t="s">
        <v>791</v>
      </c>
      <c r="B47" s="292" t="s">
        <v>1063</v>
      </c>
      <c r="C47" s="282">
        <f>ROUND(C40*F27,4)</f>
        <v>3.0000000000000001E-3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41907</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41907</v>
      </c>
      <c r="D51" s="276"/>
      <c r="E51" s="276"/>
      <c r="F51" s="308"/>
      <c r="G51" s="278" t="s">
        <v>64</v>
      </c>
    </row>
    <row r="52" spans="1:7" s="252" customFormat="1" ht="16.5" thickBot="1">
      <c r="A52" s="309" t="s">
        <v>65</v>
      </c>
      <c r="B52" s="310"/>
      <c r="C52" s="311">
        <f ca="1">C31+C51</f>
        <v>74871</v>
      </c>
      <c r="D52" s="310"/>
      <c r="E52" s="310"/>
      <c r="F52" s="310"/>
      <c r="G52" s="312"/>
    </row>
    <row r="55" spans="1:7" ht="15">
      <c r="B55" s="314" t="s">
        <v>66</v>
      </c>
      <c r="C55" s="315"/>
    </row>
    <row r="56" spans="1:7">
      <c r="B56" s="317" t="s">
        <v>67</v>
      </c>
      <c r="C56" s="318">
        <f ca="1">ROUND(C51/C52,3)</f>
        <v>0.56000000000000005</v>
      </c>
    </row>
    <row r="57" spans="1:7">
      <c r="B57" s="317" t="s">
        <v>68</v>
      </c>
      <c r="C57" s="319">
        <f ca="1">1-C56</f>
        <v>0.43999999999999995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273" t="s">
        <v>156</v>
      </c>
      <c r="B1" s="3273"/>
      <c r="C1" s="3273"/>
      <c r="D1" s="3273"/>
      <c r="E1" s="3273"/>
      <c r="F1" s="327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74" t="s">
        <v>169</v>
      </c>
      <c r="B2" s="3274"/>
      <c r="C2" s="3274"/>
      <c r="D2" s="3274"/>
      <c r="E2" s="3274"/>
      <c r="F2" s="327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7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7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73" t="s">
        <v>867</v>
      </c>
      <c r="B1" s="327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37" t="s">
        <v>874</v>
      </c>
      <c r="B5" s="838" t="s">
        <v>875</v>
      </c>
      <c r="C5" s="1062">
        <v>8.8999999999999996E-2</v>
      </c>
      <c r="D5" s="1062">
        <v>7.3999999999999996E-2</v>
      </c>
      <c r="E5" s="1062">
        <v>7.4999999999999997E-2</v>
      </c>
      <c r="F5" s="1063">
        <v>0.1</v>
      </c>
    </row>
    <row r="6" spans="1:6" ht="14.25" thickBot="1">
      <c r="A6" s="837" t="s">
        <v>212</v>
      </c>
      <c r="B6" s="831" t="s">
        <v>876</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877</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878</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879</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880</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881</v>
      </c>
      <c r="C72" s="1077"/>
      <c r="D72" s="1077"/>
      <c r="E72" s="1077"/>
      <c r="F72" s="1065">
        <v>0.05</v>
      </c>
    </row>
    <row r="73" spans="1:6" ht="14.25" thickBot="1">
      <c r="A73" s="837" t="s">
        <v>137</v>
      </c>
      <c r="B73" s="831" t="s">
        <v>882</v>
      </c>
      <c r="C73" s="1077"/>
      <c r="D73" s="1077"/>
      <c r="E73" s="1077"/>
      <c r="F73" s="1065">
        <v>0.05</v>
      </c>
    </row>
    <row r="74" spans="1:6" ht="14.25" thickBot="1">
      <c r="A74" s="837" t="s">
        <v>137</v>
      </c>
      <c r="B74" s="831" t="s">
        <v>883</v>
      </c>
      <c r="C74" s="1077"/>
      <c r="D74" s="1077"/>
      <c r="E74" s="1077"/>
      <c r="F74" s="1065">
        <v>0.05</v>
      </c>
    </row>
    <row r="75" spans="1:6" ht="14.25" thickBot="1">
      <c r="A75" s="847" t="s">
        <v>137</v>
      </c>
      <c r="B75" s="843" t="s">
        <v>884</v>
      </c>
      <c r="C75" s="1074"/>
      <c r="D75" s="1074"/>
      <c r="E75" s="1074"/>
      <c r="F75" s="1067">
        <v>0.05</v>
      </c>
    </row>
    <row r="76" spans="1:6" ht="14.25" thickBot="1">
      <c r="A76" s="837" t="s">
        <v>523</v>
      </c>
      <c r="B76" s="838" t="s">
        <v>885</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886</v>
      </c>
      <c r="C102" s="1077"/>
      <c r="D102" s="1077"/>
      <c r="E102" s="1077"/>
      <c r="F102" s="1065">
        <v>0.05</v>
      </c>
    </row>
    <row r="103" spans="1:6" ht="24.75" thickBot="1">
      <c r="A103" s="837" t="s">
        <v>523</v>
      </c>
      <c r="B103" s="831" t="s">
        <v>887</v>
      </c>
      <c r="C103" s="1077"/>
      <c r="D103" s="1077"/>
      <c r="E103" s="1077"/>
      <c r="F103" s="1065">
        <v>0.05</v>
      </c>
    </row>
    <row r="104" spans="1:6" ht="14.25" thickBot="1">
      <c r="A104" s="837" t="s">
        <v>523</v>
      </c>
      <c r="B104" s="831" t="s">
        <v>888</v>
      </c>
      <c r="C104" s="1077"/>
      <c r="D104" s="1077"/>
      <c r="E104" s="1077"/>
      <c r="F104" s="1065">
        <v>0.05</v>
      </c>
    </row>
    <row r="105" spans="1:6" ht="14.25" thickBot="1">
      <c r="A105" s="837" t="s">
        <v>523</v>
      </c>
      <c r="B105" s="831" t="s">
        <v>889</v>
      </c>
      <c r="C105" s="1077"/>
      <c r="D105" s="1077"/>
      <c r="E105" s="1077"/>
      <c r="F105" s="1065">
        <v>0.05</v>
      </c>
    </row>
    <row r="106" spans="1:6" ht="14.25" thickBot="1">
      <c r="A106" s="837" t="s">
        <v>523</v>
      </c>
      <c r="B106" s="831" t="s">
        <v>890</v>
      </c>
      <c r="C106" s="1077"/>
      <c r="D106" s="1077"/>
      <c r="E106" s="1077"/>
      <c r="F106" s="1065">
        <v>0.05</v>
      </c>
    </row>
    <row r="107" spans="1:6" ht="24.75" thickBot="1">
      <c r="A107" s="837" t="s">
        <v>523</v>
      </c>
      <c r="B107" s="831" t="s">
        <v>891</v>
      </c>
      <c r="C107" s="1077"/>
      <c r="D107" s="1077"/>
      <c r="E107" s="1077"/>
      <c r="F107" s="1065">
        <v>0.05</v>
      </c>
    </row>
    <row r="108" spans="1:6" ht="24.75" thickBot="1">
      <c r="A108" s="837" t="s">
        <v>523</v>
      </c>
      <c r="B108" s="831" t="s">
        <v>892</v>
      </c>
      <c r="C108" s="1077"/>
      <c r="D108" s="1077"/>
      <c r="E108" s="1077"/>
      <c r="F108" s="1065">
        <v>0.05</v>
      </c>
    </row>
    <row r="109" spans="1:6" ht="24.75" thickBot="1">
      <c r="A109" s="847" t="s">
        <v>523</v>
      </c>
      <c r="B109" s="843" t="s">
        <v>893</v>
      </c>
      <c r="C109" s="1074"/>
      <c r="D109" s="1074"/>
      <c r="E109" s="1074"/>
      <c r="F109" s="1067">
        <v>0.05</v>
      </c>
    </row>
    <row r="110" spans="1:6" ht="14.25" thickBot="1">
      <c r="A110" s="837" t="s">
        <v>56</v>
      </c>
      <c r="B110" s="838" t="s">
        <v>894</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895</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896</v>
      </c>
      <c r="C138" s="1064">
        <v>0.105</v>
      </c>
      <c r="D138" s="1064">
        <v>0.125</v>
      </c>
      <c r="E138" s="1064">
        <v>0.112</v>
      </c>
      <c r="F138" s="1076"/>
    </row>
    <row r="139" spans="1:6" ht="14.25" thickBot="1">
      <c r="A139" s="837" t="s">
        <v>56</v>
      </c>
      <c r="B139" s="831" t="s">
        <v>897</v>
      </c>
      <c r="C139" s="1064">
        <v>0.127</v>
      </c>
      <c r="D139" s="1064">
        <v>0.127</v>
      </c>
      <c r="E139" s="1064">
        <v>0.122</v>
      </c>
      <c r="F139" s="1065">
        <v>0.13</v>
      </c>
    </row>
    <row r="140" spans="1:6" ht="14.25" thickBot="1">
      <c r="A140" s="837" t="s">
        <v>56</v>
      </c>
      <c r="B140" s="831" t="s">
        <v>898</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899</v>
      </c>
      <c r="C144" s="1069">
        <v>0.126</v>
      </c>
      <c r="D144" s="1069">
        <v>0.126</v>
      </c>
      <c r="E144" s="1069">
        <v>0.121</v>
      </c>
      <c r="F144" s="1076"/>
    </row>
    <row r="145" spans="1:6" ht="14.25" thickBot="1">
      <c r="A145" s="847" t="s">
        <v>56</v>
      </c>
      <c r="B145" s="1070" t="s">
        <v>900</v>
      </c>
      <c r="C145" s="1078"/>
      <c r="D145" s="1078"/>
      <c r="E145" s="1078"/>
      <c r="F145" s="1071">
        <v>0.05</v>
      </c>
    </row>
    <row r="146" spans="1:6" ht="24.75" thickBot="1">
      <c r="A146" s="1072" t="s">
        <v>56</v>
      </c>
      <c r="B146" s="841" t="s">
        <v>901</v>
      </c>
      <c r="C146" s="1077"/>
      <c r="D146" s="1077"/>
      <c r="E146" s="1077"/>
      <c r="F146" s="1073">
        <v>0.05</v>
      </c>
    </row>
    <row r="147" spans="1:6" ht="24.75" thickBot="1">
      <c r="A147" s="837" t="s">
        <v>56</v>
      </c>
      <c r="B147" s="831" t="s">
        <v>902</v>
      </c>
      <c r="C147" s="1077"/>
      <c r="D147" s="1077"/>
      <c r="E147" s="1077"/>
      <c r="F147" s="1065">
        <v>0.05</v>
      </c>
    </row>
    <row r="148" spans="1:6" ht="24.75" thickBot="1">
      <c r="A148" s="837" t="s">
        <v>56</v>
      </c>
      <c r="B148" s="831" t="s">
        <v>903</v>
      </c>
      <c r="C148" s="1077"/>
      <c r="D148" s="1077"/>
      <c r="E148" s="1077"/>
      <c r="F148" s="1065">
        <v>0.05</v>
      </c>
    </row>
    <row r="149" spans="1:6" ht="24.75" thickBot="1">
      <c r="A149" s="837" t="s">
        <v>56</v>
      </c>
      <c r="B149" s="831" t="s">
        <v>904</v>
      </c>
      <c r="C149" s="1077"/>
      <c r="D149" s="1077"/>
      <c r="E149" s="1077"/>
      <c r="F149" s="1065">
        <v>0.05</v>
      </c>
    </row>
    <row r="150" spans="1:6" ht="24.75" thickBot="1">
      <c r="A150" s="837" t="s">
        <v>56</v>
      </c>
      <c r="B150" s="831" t="s">
        <v>905</v>
      </c>
      <c r="C150" s="1077"/>
      <c r="D150" s="1077"/>
      <c r="E150" s="1077"/>
      <c r="F150" s="1065">
        <v>0.05</v>
      </c>
    </row>
    <row r="151" spans="1:6" ht="24.75" thickBot="1">
      <c r="A151" s="837" t="s">
        <v>56</v>
      </c>
      <c r="B151" s="831" t="s">
        <v>906</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907</v>
      </c>
      <c r="C153" s="1077"/>
      <c r="D153" s="1077"/>
      <c r="E153" s="1077"/>
      <c r="F153" s="1065">
        <v>0.05</v>
      </c>
    </row>
    <row r="154" spans="1:6" ht="14.25" thickBot="1">
      <c r="A154" s="837" t="s">
        <v>56</v>
      </c>
      <c r="B154" s="831" t="s">
        <v>908</v>
      </c>
      <c r="C154" s="1077"/>
      <c r="D154" s="1077"/>
      <c r="E154" s="1077"/>
      <c r="F154" s="1065">
        <v>0.05</v>
      </c>
    </row>
    <row r="155" spans="1:6" ht="24.75" thickBot="1">
      <c r="A155" s="837" t="s">
        <v>56</v>
      </c>
      <c r="B155" s="831" t="s">
        <v>909</v>
      </c>
      <c r="C155" s="1077"/>
      <c r="D155" s="1077"/>
      <c r="E155" s="1077"/>
      <c r="F155" s="1065">
        <v>0.05</v>
      </c>
    </row>
    <row r="156" spans="1:6" ht="24.75" thickBot="1">
      <c r="A156" s="837" t="s">
        <v>56</v>
      </c>
      <c r="B156" s="831" t="s">
        <v>910</v>
      </c>
      <c r="C156" s="1077"/>
      <c r="D156" s="1077"/>
      <c r="E156" s="1077"/>
      <c r="F156" s="1065">
        <v>0.05</v>
      </c>
    </row>
    <row r="157" spans="1:6" ht="14.25" thickBot="1">
      <c r="A157" s="847" t="s">
        <v>56</v>
      </c>
      <c r="B157" s="843" t="s">
        <v>911</v>
      </c>
      <c r="C157" s="1074"/>
      <c r="D157" s="1074"/>
      <c r="E157" s="1074"/>
      <c r="F157" s="1067">
        <v>0.05</v>
      </c>
    </row>
    <row r="158" spans="1:6" ht="14.25" thickBot="1">
      <c r="A158" s="837" t="s">
        <v>526</v>
      </c>
      <c r="B158" s="838" t="s">
        <v>912</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913</v>
      </c>
      <c r="C171" s="1064">
        <v>0.127</v>
      </c>
      <c r="D171" s="1064">
        <v>0.126</v>
      </c>
      <c r="E171" s="1064">
        <v>0.126</v>
      </c>
      <c r="F171" s="1065">
        <v>0.11799999999999999</v>
      </c>
    </row>
    <row r="172" spans="1:6" ht="14.25" thickBot="1">
      <c r="A172" s="837" t="s">
        <v>526</v>
      </c>
      <c r="B172" s="831" t="s">
        <v>914</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915</v>
      </c>
      <c r="C174" s="1064">
        <v>0.13</v>
      </c>
      <c r="D174" s="1064">
        <v>0.13</v>
      </c>
      <c r="E174" s="1064">
        <v>0.13</v>
      </c>
      <c r="F174" s="1065">
        <v>0.13</v>
      </c>
    </row>
    <row r="175" spans="1:6" ht="14.25" thickBot="1">
      <c r="A175" s="837" t="s">
        <v>526</v>
      </c>
      <c r="B175" s="831" t="s">
        <v>916</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917</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918</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919</v>
      </c>
      <c r="C185" s="1064">
        <v>0.127</v>
      </c>
      <c r="D185" s="1064">
        <v>0.127</v>
      </c>
      <c r="E185" s="1064">
        <v>0.128</v>
      </c>
      <c r="F185" s="1065">
        <v>0.13</v>
      </c>
    </row>
    <row r="186" spans="1:6" ht="24.75" thickBot="1">
      <c r="A186" s="837" t="s">
        <v>526</v>
      </c>
      <c r="B186" s="831" t="s">
        <v>920</v>
      </c>
      <c r="C186" s="1077"/>
      <c r="D186" s="1077"/>
      <c r="E186" s="1077"/>
      <c r="F186" s="1065">
        <v>0.05</v>
      </c>
    </row>
    <row r="187" spans="1:6" ht="14.25" thickBot="1">
      <c r="A187" s="837" t="s">
        <v>526</v>
      </c>
      <c r="B187" s="831" t="s">
        <v>921</v>
      </c>
      <c r="C187" s="1077"/>
      <c r="D187" s="1077"/>
      <c r="E187" s="1077"/>
      <c r="F187" s="1065">
        <v>0.05</v>
      </c>
    </row>
    <row r="188" spans="1:6" ht="14.25" thickBot="1">
      <c r="A188" s="837" t="s">
        <v>526</v>
      </c>
      <c r="B188" s="831" t="s">
        <v>922</v>
      </c>
      <c r="C188" s="1077"/>
      <c r="D188" s="1077"/>
      <c r="E188" s="1077"/>
      <c r="F188" s="1065">
        <v>0.05</v>
      </c>
    </row>
    <row r="189" spans="1:6" ht="24.75" thickBot="1">
      <c r="A189" s="837" t="s">
        <v>526</v>
      </c>
      <c r="B189" s="831" t="s">
        <v>923</v>
      </c>
      <c r="C189" s="1077"/>
      <c r="D189" s="1077"/>
      <c r="E189" s="1077"/>
      <c r="F189" s="1065">
        <v>0.05</v>
      </c>
    </row>
    <row r="190" spans="1:6" ht="24.75" thickBot="1">
      <c r="A190" s="837" t="s">
        <v>526</v>
      </c>
      <c r="B190" s="831" t="s">
        <v>924</v>
      </c>
      <c r="C190" s="1077"/>
      <c r="D190" s="1077"/>
      <c r="E190" s="1077"/>
      <c r="F190" s="1065">
        <v>0.05</v>
      </c>
    </row>
    <row r="191" spans="1:6" ht="24.75" thickBot="1">
      <c r="A191" s="837" t="s">
        <v>526</v>
      </c>
      <c r="B191" s="831" t="s">
        <v>925</v>
      </c>
      <c r="C191" s="1077"/>
      <c r="D191" s="1077"/>
      <c r="E191" s="1077"/>
      <c r="F191" s="1065">
        <v>0.05</v>
      </c>
    </row>
    <row r="192" spans="1:6" ht="24.75" thickBot="1">
      <c r="A192" s="837" t="s">
        <v>526</v>
      </c>
      <c r="B192" s="831" t="s">
        <v>926</v>
      </c>
      <c r="C192" s="1077"/>
      <c r="D192" s="1077"/>
      <c r="E192" s="1077"/>
      <c r="F192" s="1065">
        <v>0.05</v>
      </c>
    </row>
    <row r="193" spans="1:6" ht="24.75" thickBot="1">
      <c r="A193" s="837" t="s">
        <v>526</v>
      </c>
      <c r="B193" s="831" t="s">
        <v>927</v>
      </c>
      <c r="C193" s="1077"/>
      <c r="D193" s="1077"/>
      <c r="E193" s="1077"/>
      <c r="F193" s="1065">
        <v>0.05</v>
      </c>
    </row>
    <row r="194" spans="1:6" ht="24.75" thickBot="1">
      <c r="A194" s="837" t="s">
        <v>526</v>
      </c>
      <c r="B194" s="831" t="s">
        <v>928</v>
      </c>
      <c r="C194" s="1077"/>
      <c r="D194" s="1077"/>
      <c r="E194" s="1077"/>
      <c r="F194" s="1065">
        <v>0.05</v>
      </c>
    </row>
    <row r="195" spans="1:6" ht="14.25" thickBot="1">
      <c r="A195" s="837" t="s">
        <v>526</v>
      </c>
      <c r="B195" s="831" t="s">
        <v>929</v>
      </c>
      <c r="C195" s="1077"/>
      <c r="D195" s="1077"/>
      <c r="E195" s="1077"/>
      <c r="F195" s="1065">
        <v>0.05</v>
      </c>
    </row>
    <row r="196" spans="1:6" ht="24.75" thickBot="1">
      <c r="A196" s="837" t="s">
        <v>526</v>
      </c>
      <c r="B196" s="831" t="s">
        <v>930</v>
      </c>
      <c r="C196" s="1077"/>
      <c r="D196" s="1077"/>
      <c r="E196" s="1077"/>
      <c r="F196" s="1065">
        <v>0.05</v>
      </c>
    </row>
    <row r="197" spans="1:6" ht="24.75" thickBot="1">
      <c r="A197" s="837" t="s">
        <v>526</v>
      </c>
      <c r="B197" s="831" t="s">
        <v>931</v>
      </c>
      <c r="C197" s="1077"/>
      <c r="D197" s="1077"/>
      <c r="E197" s="1077"/>
      <c r="F197" s="1065">
        <v>0.05</v>
      </c>
    </row>
    <row r="198" spans="1:6" ht="24.75" thickBot="1">
      <c r="A198" s="837" t="s">
        <v>526</v>
      </c>
      <c r="B198" s="831" t="s">
        <v>932</v>
      </c>
      <c r="C198" s="1077"/>
      <c r="D198" s="1077"/>
      <c r="E198" s="1077"/>
      <c r="F198" s="1065">
        <v>0.05</v>
      </c>
    </row>
    <row r="199" spans="1:6" ht="24.75" thickBot="1">
      <c r="A199" s="837" t="s">
        <v>526</v>
      </c>
      <c r="B199" s="831" t="s">
        <v>933</v>
      </c>
      <c r="C199" s="1077"/>
      <c r="D199" s="1077"/>
      <c r="E199" s="1077"/>
      <c r="F199" s="1065">
        <v>0.05</v>
      </c>
    </row>
    <row r="200" spans="1:6" ht="24.75" thickBot="1">
      <c r="A200" s="837" t="s">
        <v>526</v>
      </c>
      <c r="B200" s="831" t="s">
        <v>934</v>
      </c>
      <c r="C200" s="1077"/>
      <c r="D200" s="1077"/>
      <c r="E200" s="1077"/>
      <c r="F200" s="1065">
        <v>0.05</v>
      </c>
    </row>
    <row r="201" spans="1:6" ht="24.75" thickBot="1">
      <c r="A201" s="837" t="s">
        <v>526</v>
      </c>
      <c r="B201" s="831" t="s">
        <v>935</v>
      </c>
      <c r="C201" s="1077"/>
      <c r="D201" s="1077"/>
      <c r="E201" s="1077"/>
      <c r="F201" s="1065">
        <v>0.05</v>
      </c>
    </row>
    <row r="202" spans="1:6" ht="24.75" thickBot="1">
      <c r="A202" s="837" t="s">
        <v>526</v>
      </c>
      <c r="B202" s="831" t="s">
        <v>936</v>
      </c>
      <c r="C202" s="1077"/>
      <c r="D202" s="1077"/>
      <c r="E202" s="1077"/>
      <c r="F202" s="1065">
        <v>0.05</v>
      </c>
    </row>
    <row r="203" spans="1:6" ht="24.75" thickBot="1">
      <c r="A203" s="837" t="s">
        <v>526</v>
      </c>
      <c r="B203" s="831" t="s">
        <v>937</v>
      </c>
      <c r="C203" s="1077"/>
      <c r="D203" s="1077"/>
      <c r="E203" s="1077"/>
      <c r="F203" s="1065">
        <v>0.05</v>
      </c>
    </row>
    <row r="204" spans="1:6" ht="14.25" thickBot="1">
      <c r="A204" s="837" t="s">
        <v>526</v>
      </c>
      <c r="B204" s="831" t="s">
        <v>938</v>
      </c>
      <c r="C204" s="1077"/>
      <c r="D204" s="1077"/>
      <c r="E204" s="1077"/>
      <c r="F204" s="1065">
        <v>0.05</v>
      </c>
    </row>
    <row r="205" spans="1:6" ht="14.25" thickBot="1">
      <c r="A205" s="847" t="s">
        <v>526</v>
      </c>
      <c r="B205" s="843" t="s">
        <v>939</v>
      </c>
      <c r="C205" s="1074"/>
      <c r="D205" s="1074"/>
      <c r="E205" s="1074"/>
      <c r="F205" s="1067">
        <v>0.05</v>
      </c>
    </row>
    <row r="206" spans="1:6" ht="14.25" thickBot="1">
      <c r="A206" s="837" t="s">
        <v>528</v>
      </c>
      <c r="B206" s="838" t="s">
        <v>940</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941</v>
      </c>
      <c r="C210" s="1064">
        <v>0.15</v>
      </c>
      <c r="D210" s="1064">
        <v>0.15</v>
      </c>
      <c r="E210" s="1064">
        <v>0.15</v>
      </c>
      <c r="F210" s="1065">
        <v>0.13800000000000001</v>
      </c>
    </row>
    <row r="211" spans="1:6" ht="14.25" thickBot="1">
      <c r="A211" s="837" t="s">
        <v>528</v>
      </c>
      <c r="B211" s="831" t="s">
        <v>942</v>
      </c>
      <c r="C211" s="1064">
        <v>0.13700000000000001</v>
      </c>
      <c r="D211" s="1064">
        <v>0.13500000000000001</v>
      </c>
      <c r="E211" s="1064">
        <v>0.13600000000000001</v>
      </c>
      <c r="F211" s="1065">
        <v>0.1</v>
      </c>
    </row>
    <row r="212" spans="1:6" ht="14.25" thickBot="1">
      <c r="A212" s="837" t="s">
        <v>528</v>
      </c>
      <c r="B212" s="831" t="s">
        <v>943</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944</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945</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946</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947</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948</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949</v>
      </c>
      <c r="C231" s="1064">
        <v>0.128</v>
      </c>
      <c r="D231" s="1064">
        <v>0.125</v>
      </c>
      <c r="E231" s="1064">
        <v>0.13200000000000001</v>
      </c>
      <c r="F231" s="1076"/>
    </row>
    <row r="232" spans="1:6" ht="14.25" thickBot="1">
      <c r="A232" s="837" t="s">
        <v>528</v>
      </c>
      <c r="B232" s="831" t="s">
        <v>950</v>
      </c>
      <c r="C232" s="1064">
        <v>0.14499999999999999</v>
      </c>
      <c r="D232" s="1064">
        <v>0.14399999999999999</v>
      </c>
      <c r="E232" s="1064">
        <v>0.14599999999999999</v>
      </c>
      <c r="F232" s="1065">
        <v>0.13800000000000001</v>
      </c>
    </row>
    <row r="233" spans="1:6" ht="14.25" thickBot="1">
      <c r="A233" s="837" t="s">
        <v>528</v>
      </c>
      <c r="B233" s="831" t="s">
        <v>951</v>
      </c>
      <c r="C233" s="1064">
        <v>0.14499999999999999</v>
      </c>
      <c r="D233" s="1064">
        <v>0.14299999999999999</v>
      </c>
      <c r="E233" s="1064">
        <v>0.14199999999999999</v>
      </c>
      <c r="F233" s="1076"/>
    </row>
    <row r="234" spans="1:6" ht="14.25" thickBot="1">
      <c r="A234" s="837" t="s">
        <v>528</v>
      </c>
      <c r="B234" s="831" t="s">
        <v>952</v>
      </c>
      <c r="C234" s="1064">
        <v>0.14000000000000001</v>
      </c>
      <c r="D234" s="1064">
        <v>0.14000000000000001</v>
      </c>
      <c r="E234" s="1064">
        <v>0.14399999999999999</v>
      </c>
      <c r="F234" s="1076"/>
    </row>
    <row r="235" spans="1:6" ht="14.25" thickBot="1">
      <c r="A235" s="837" t="s">
        <v>528</v>
      </c>
      <c r="B235" s="831" t="s">
        <v>953</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954</v>
      </c>
      <c r="C237" s="1077"/>
      <c r="D237" s="1077"/>
      <c r="E237" s="1077"/>
      <c r="F237" s="1065">
        <v>0.05</v>
      </c>
    </row>
    <row r="238" spans="1:6" ht="24.75" thickBot="1">
      <c r="A238" s="837" t="s">
        <v>528</v>
      </c>
      <c r="B238" s="831" t="s">
        <v>955</v>
      </c>
      <c r="C238" s="1077"/>
      <c r="D238" s="1077"/>
      <c r="E238" s="1077"/>
      <c r="F238" s="1065">
        <v>0.05</v>
      </c>
    </row>
    <row r="239" spans="1:6" ht="24.75" thickBot="1">
      <c r="A239" s="837" t="s">
        <v>528</v>
      </c>
      <c r="B239" s="831" t="s">
        <v>956</v>
      </c>
      <c r="C239" s="1077"/>
      <c r="D239" s="1077"/>
      <c r="E239" s="1077"/>
      <c r="F239" s="1065">
        <v>0.05</v>
      </c>
    </row>
    <row r="240" spans="1:6" ht="24.75" thickBot="1">
      <c r="A240" s="837" t="s">
        <v>528</v>
      </c>
      <c r="B240" s="831" t="s">
        <v>957</v>
      </c>
      <c r="C240" s="1077"/>
      <c r="D240" s="1077"/>
      <c r="E240" s="1077"/>
      <c r="F240" s="1065">
        <v>0.05</v>
      </c>
    </row>
    <row r="241" spans="1:6" ht="24.75" thickBot="1">
      <c r="A241" s="837" t="s">
        <v>528</v>
      </c>
      <c r="B241" s="831" t="s">
        <v>958</v>
      </c>
      <c r="C241" s="1077"/>
      <c r="D241" s="1077"/>
      <c r="E241" s="1077"/>
      <c r="F241" s="1065">
        <v>0.05</v>
      </c>
    </row>
    <row r="242" spans="1:6" ht="24.75" thickBot="1">
      <c r="A242" s="837" t="s">
        <v>528</v>
      </c>
      <c r="B242" s="831" t="s">
        <v>959</v>
      </c>
      <c r="C242" s="1077"/>
      <c r="D242" s="1077"/>
      <c r="E242" s="1077"/>
      <c r="F242" s="1065">
        <v>0.05</v>
      </c>
    </row>
    <row r="243" spans="1:6" ht="24.75" thickBot="1">
      <c r="A243" s="837" t="s">
        <v>528</v>
      </c>
      <c r="B243" s="831" t="s">
        <v>960</v>
      </c>
      <c r="C243" s="1077"/>
      <c r="D243" s="1077"/>
      <c r="E243" s="1077"/>
      <c r="F243" s="1065">
        <v>0.05</v>
      </c>
    </row>
    <row r="244" spans="1:6" ht="24.75" thickBot="1">
      <c r="A244" s="847" t="s">
        <v>528</v>
      </c>
      <c r="B244" s="843" t="s">
        <v>961</v>
      </c>
      <c r="C244" s="1074"/>
      <c r="D244" s="1074"/>
      <c r="E244" s="1074"/>
      <c r="F244" s="1067">
        <v>0.05</v>
      </c>
    </row>
    <row r="245" spans="1:6" ht="14.25" thickBot="1">
      <c r="A245" s="837" t="s">
        <v>530</v>
      </c>
      <c r="B245" s="838" t="s">
        <v>962</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963</v>
      </c>
      <c r="C247" s="1064">
        <v>0.15</v>
      </c>
      <c r="D247" s="1064">
        <v>0.15</v>
      </c>
      <c r="E247" s="1064">
        <v>0.15</v>
      </c>
      <c r="F247" s="1065">
        <v>0.15</v>
      </c>
    </row>
    <row r="248" spans="1:6" ht="14.25" thickBot="1">
      <c r="A248" s="837" t="s">
        <v>530</v>
      </c>
      <c r="B248" s="831" t="s">
        <v>964</v>
      </c>
      <c r="C248" s="1064">
        <v>0.15</v>
      </c>
      <c r="D248" s="1064">
        <v>0.15</v>
      </c>
      <c r="E248" s="1064">
        <v>0.15</v>
      </c>
      <c r="F248" s="1065">
        <v>0.14000000000000001</v>
      </c>
    </row>
    <row r="249" spans="1:6" ht="14.25" thickBot="1">
      <c r="A249" s="837" t="s">
        <v>530</v>
      </c>
      <c r="B249" s="831" t="s">
        <v>965</v>
      </c>
      <c r="C249" s="1064">
        <v>0.15</v>
      </c>
      <c r="D249" s="1064">
        <v>0.14899999999999999</v>
      </c>
      <c r="E249" s="1064">
        <v>0.15</v>
      </c>
      <c r="F249" s="1065">
        <v>0.1</v>
      </c>
    </row>
    <row r="250" spans="1:6" ht="14.25" thickBot="1">
      <c r="A250" s="837" t="s">
        <v>530</v>
      </c>
      <c r="B250" s="831" t="s">
        <v>966</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967</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968</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969</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970</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971</v>
      </c>
      <c r="C273" s="1064">
        <v>0.14199999999999999</v>
      </c>
      <c r="D273" s="1064">
        <v>0.14299999999999999</v>
      </c>
      <c r="E273" s="1064">
        <v>0.15</v>
      </c>
      <c r="F273" s="1065">
        <v>0.1</v>
      </c>
    </row>
    <row r="274" spans="1:6" ht="14.25" thickBot="1">
      <c r="A274" s="837" t="s">
        <v>530</v>
      </c>
      <c r="B274" s="831" t="s">
        <v>972</v>
      </c>
      <c r="C274" s="1064">
        <v>0.14799999999999999</v>
      </c>
      <c r="D274" s="1064">
        <v>0.14799999999999999</v>
      </c>
      <c r="E274" s="1064">
        <v>0.15</v>
      </c>
      <c r="F274" s="1065">
        <v>6.7000000000000004E-2</v>
      </c>
    </row>
    <row r="275" spans="1:6" ht="14.25" thickBot="1">
      <c r="A275" s="837" t="s">
        <v>530</v>
      </c>
      <c r="B275" s="831" t="s">
        <v>973</v>
      </c>
      <c r="C275" s="1064">
        <v>0.15</v>
      </c>
      <c r="D275" s="1064">
        <v>0.15</v>
      </c>
      <c r="E275" s="1064">
        <v>0.15</v>
      </c>
      <c r="F275" s="1065">
        <v>0.15</v>
      </c>
    </row>
    <row r="276" spans="1:6" ht="14.25" thickBot="1">
      <c r="A276" s="837" t="s">
        <v>530</v>
      </c>
      <c r="B276" s="831" t="s">
        <v>974</v>
      </c>
      <c r="C276" s="1064">
        <v>0.14499999999999999</v>
      </c>
      <c r="D276" s="1064">
        <v>0.14299999999999999</v>
      </c>
      <c r="E276" s="1064">
        <v>0.15</v>
      </c>
      <c r="F276" s="1065">
        <v>5.8999999999999997E-2</v>
      </c>
    </row>
    <row r="277" spans="1:6" ht="14.25" thickBot="1">
      <c r="A277" s="837" t="s">
        <v>530</v>
      </c>
      <c r="B277" s="831" t="s">
        <v>975</v>
      </c>
      <c r="C277" s="1064">
        <v>0.15</v>
      </c>
      <c r="D277" s="1064">
        <v>0.15</v>
      </c>
      <c r="E277" s="1064">
        <v>0.15</v>
      </c>
      <c r="F277" s="1065">
        <v>0.121</v>
      </c>
    </row>
    <row r="278" spans="1:6" ht="14.25" thickBot="1">
      <c r="A278" s="837" t="s">
        <v>530</v>
      </c>
      <c r="B278" s="831" t="s">
        <v>976</v>
      </c>
      <c r="C278" s="1064">
        <v>0.15</v>
      </c>
      <c r="D278" s="1064">
        <v>0.15</v>
      </c>
      <c r="E278" s="1064">
        <v>0.15</v>
      </c>
      <c r="F278" s="1065">
        <v>0.13800000000000001</v>
      </c>
    </row>
    <row r="279" spans="1:6" ht="24.75" thickBot="1">
      <c r="A279" s="837" t="s">
        <v>530</v>
      </c>
      <c r="B279" s="831" t="s">
        <v>977</v>
      </c>
      <c r="C279" s="1077"/>
      <c r="D279" s="1077"/>
      <c r="E279" s="1077"/>
      <c r="F279" s="1065">
        <v>0.05</v>
      </c>
    </row>
    <row r="280" spans="1:6" ht="24.75" thickBot="1">
      <c r="A280" s="837" t="s">
        <v>530</v>
      </c>
      <c r="B280" s="831" t="s">
        <v>978</v>
      </c>
      <c r="C280" s="1077"/>
      <c r="D280" s="1077"/>
      <c r="E280" s="1077"/>
      <c r="F280" s="1065">
        <v>0.05</v>
      </c>
    </row>
    <row r="281" spans="1:6" ht="24.75" thickBot="1">
      <c r="A281" s="837" t="s">
        <v>530</v>
      </c>
      <c r="B281" s="831" t="s">
        <v>979</v>
      </c>
      <c r="C281" s="1077"/>
      <c r="D281" s="1077"/>
      <c r="E281" s="1077"/>
      <c r="F281" s="1065">
        <v>0.05</v>
      </c>
    </row>
    <row r="282" spans="1:6" ht="24.75" thickBot="1">
      <c r="A282" s="837" t="s">
        <v>530</v>
      </c>
      <c r="B282" s="831" t="s">
        <v>980</v>
      </c>
      <c r="C282" s="1077"/>
      <c r="D282" s="1077"/>
      <c r="E282" s="1077"/>
      <c r="F282" s="1065">
        <v>0.05</v>
      </c>
    </row>
    <row r="283" spans="1:6" ht="24.75" thickBot="1">
      <c r="A283" s="837" t="s">
        <v>530</v>
      </c>
      <c r="B283" s="831" t="s">
        <v>981</v>
      </c>
      <c r="C283" s="1077"/>
      <c r="D283" s="1077"/>
      <c r="E283" s="1077"/>
      <c r="F283" s="1065">
        <v>0.05</v>
      </c>
    </row>
    <row r="284" spans="1:6" ht="24.75" thickBot="1">
      <c r="A284" s="837" t="s">
        <v>530</v>
      </c>
      <c r="B284" s="831" t="s">
        <v>982</v>
      </c>
      <c r="C284" s="1077"/>
      <c r="D284" s="1077"/>
      <c r="E284" s="1077"/>
      <c r="F284" s="1065">
        <v>0.05</v>
      </c>
    </row>
    <row r="285" spans="1:6" ht="24.75" thickBot="1">
      <c r="A285" s="837" t="s">
        <v>530</v>
      </c>
      <c r="B285" s="831" t="s">
        <v>983</v>
      </c>
      <c r="C285" s="1077"/>
      <c r="D285" s="1077"/>
      <c r="E285" s="1077"/>
      <c r="F285" s="1065">
        <v>0.05</v>
      </c>
    </row>
    <row r="286" spans="1:6" ht="24.75" thickBot="1">
      <c r="A286" s="837" t="s">
        <v>530</v>
      </c>
      <c r="B286" s="831" t="s">
        <v>984</v>
      </c>
      <c r="C286" s="1077"/>
      <c r="D286" s="1077"/>
      <c r="E286" s="1077"/>
      <c r="F286" s="1065">
        <v>0.05</v>
      </c>
    </row>
    <row r="287" spans="1:6" ht="24.75" thickBot="1">
      <c r="A287" s="837" t="s">
        <v>530</v>
      </c>
      <c r="B287" s="831" t="s">
        <v>985</v>
      </c>
      <c r="C287" s="1077"/>
      <c r="D287" s="1077"/>
      <c r="E287" s="1077"/>
      <c r="F287" s="1065">
        <v>0.05</v>
      </c>
    </row>
    <row r="288" spans="1:6" ht="24.75" thickBot="1">
      <c r="A288" s="837" t="s">
        <v>530</v>
      </c>
      <c r="B288" s="831" t="s">
        <v>986</v>
      </c>
      <c r="C288" s="1077"/>
      <c r="D288" s="1077"/>
      <c r="E288" s="1077"/>
      <c r="F288" s="1065">
        <v>0.05</v>
      </c>
    </row>
    <row r="289" spans="1:6" ht="24.75" thickBot="1">
      <c r="A289" s="847" t="s">
        <v>530</v>
      </c>
      <c r="B289" s="843" t="s">
        <v>987</v>
      </c>
      <c r="C289" s="1074"/>
      <c r="D289" s="1074"/>
      <c r="E289" s="1074"/>
      <c r="F289" s="1067">
        <v>0.05</v>
      </c>
    </row>
    <row r="290" spans="1:6" ht="14.25" thickBot="1">
      <c r="A290" s="837" t="s">
        <v>534</v>
      </c>
      <c r="B290" s="838" t="s">
        <v>988</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989</v>
      </c>
      <c r="C292" s="1064">
        <v>0.15</v>
      </c>
      <c r="D292" s="1064">
        <v>0.15</v>
      </c>
      <c r="E292" s="1064">
        <v>0.15</v>
      </c>
      <c r="F292" s="1065">
        <v>0.14699999999999999</v>
      </c>
    </row>
    <row r="293" spans="1:6" ht="14.25" thickBot="1">
      <c r="A293" s="837" t="s">
        <v>534</v>
      </c>
      <c r="B293" s="831" t="s">
        <v>990</v>
      </c>
      <c r="C293" s="1077"/>
      <c r="D293" s="1077"/>
      <c r="E293" s="1077"/>
      <c r="F293" s="1065">
        <v>0.1</v>
      </c>
    </row>
    <row r="294" spans="1:6" ht="14.25" thickBot="1">
      <c r="A294" s="837" t="s">
        <v>534</v>
      </c>
      <c r="B294" s="831" t="s">
        <v>991</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992</v>
      </c>
      <c r="C296" s="1064">
        <v>0.15</v>
      </c>
      <c r="D296" s="1064">
        <v>0.15</v>
      </c>
      <c r="E296" s="1064">
        <v>0.15</v>
      </c>
      <c r="F296" s="1065">
        <v>0.15</v>
      </c>
    </row>
    <row r="297" spans="1:6" ht="14.25" thickBot="1">
      <c r="A297" s="837" t="s">
        <v>534</v>
      </c>
      <c r="B297" s="831" t="s">
        <v>993</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994</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995</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996</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997</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998</v>
      </c>
      <c r="C310" s="1064">
        <v>0.15</v>
      </c>
      <c r="D310" s="1064">
        <v>0.15</v>
      </c>
      <c r="E310" s="1064">
        <v>0.15</v>
      </c>
      <c r="F310" s="1065">
        <v>0.13700000000000001</v>
      </c>
    </row>
    <row r="311" spans="1:6" ht="14.25" thickBot="1">
      <c r="A311" s="837" t="s">
        <v>534</v>
      </c>
      <c r="B311" s="831" t="s">
        <v>999</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1000</v>
      </c>
      <c r="C313" s="1064">
        <v>0.15</v>
      </c>
      <c r="D313" s="1064">
        <v>0.15</v>
      </c>
      <c r="E313" s="1064">
        <v>0.15</v>
      </c>
      <c r="F313" s="1065">
        <v>0.15</v>
      </c>
    </row>
    <row r="314" spans="1:6" ht="24.75" thickBot="1">
      <c r="A314" s="837" t="s">
        <v>534</v>
      </c>
      <c r="B314" s="831" t="s">
        <v>1001</v>
      </c>
      <c r="C314" s="1077"/>
      <c r="D314" s="1077"/>
      <c r="E314" s="1077"/>
      <c r="F314" s="1065">
        <v>0.05</v>
      </c>
    </row>
    <row r="315" spans="1:6" ht="24.75" thickBot="1">
      <c r="A315" s="837" t="s">
        <v>534</v>
      </c>
      <c r="B315" s="831" t="s">
        <v>1002</v>
      </c>
      <c r="C315" s="1077"/>
      <c r="D315" s="1077"/>
      <c r="E315" s="1077"/>
      <c r="F315" s="1065">
        <v>0.05</v>
      </c>
    </row>
    <row r="316" spans="1:6" ht="24.75" thickBot="1">
      <c r="A316" s="847" t="s">
        <v>534</v>
      </c>
      <c r="B316" s="843" t="s">
        <v>1003</v>
      </c>
      <c r="C316" s="1074"/>
      <c r="D316" s="1074"/>
      <c r="E316" s="1074"/>
      <c r="F316" s="1067">
        <v>0.05</v>
      </c>
    </row>
    <row r="317" spans="1:6" ht="14.25" thickBot="1">
      <c r="A317" s="837" t="s">
        <v>1004</v>
      </c>
      <c r="B317" s="838" t="s">
        <v>1005</v>
      </c>
      <c r="C317" s="1062">
        <v>0.15</v>
      </c>
      <c r="D317" s="1062">
        <v>0.15</v>
      </c>
      <c r="E317" s="1062">
        <v>0.15</v>
      </c>
      <c r="F317" s="1063">
        <v>0.15</v>
      </c>
    </row>
    <row r="318" spans="1:6" ht="14.25" thickBot="1">
      <c r="A318" s="837" t="s">
        <v>1004</v>
      </c>
      <c r="B318" s="831" t="s">
        <v>1006</v>
      </c>
      <c r="C318" s="1064">
        <v>0.107</v>
      </c>
      <c r="D318" s="1064">
        <v>0.11</v>
      </c>
      <c r="E318" s="1064">
        <v>0.112</v>
      </c>
      <c r="F318" s="1076"/>
    </row>
    <row r="319" spans="1:6" ht="14.25" thickBot="1">
      <c r="A319" s="837" t="s">
        <v>1004</v>
      </c>
      <c r="B319" s="831" t="s">
        <v>1007</v>
      </c>
      <c r="C319" s="1064">
        <v>0.15</v>
      </c>
      <c r="D319" s="1064">
        <v>0.15</v>
      </c>
      <c r="E319" s="1064">
        <v>0.15</v>
      </c>
      <c r="F319" s="1065">
        <v>0.15</v>
      </c>
    </row>
    <row r="320" spans="1:6" ht="14.25" thickBot="1">
      <c r="A320" s="837" t="s">
        <v>1004</v>
      </c>
      <c r="B320" s="831" t="s">
        <v>223</v>
      </c>
      <c r="C320" s="1064">
        <v>0.15</v>
      </c>
      <c r="D320" s="1064">
        <v>0.15</v>
      </c>
      <c r="E320" s="1064">
        <v>0.15</v>
      </c>
      <c r="F320" s="1076"/>
    </row>
    <row r="321" spans="1:6" ht="14.25" thickBot="1">
      <c r="A321" s="837" t="s">
        <v>1004</v>
      </c>
      <c r="B321" s="831" t="s">
        <v>1008</v>
      </c>
      <c r="C321" s="1064">
        <v>0.15</v>
      </c>
      <c r="D321" s="1064">
        <v>0.15</v>
      </c>
      <c r="E321" s="1064">
        <v>0.15</v>
      </c>
      <c r="F321" s="1076"/>
    </row>
    <row r="322" spans="1:6" ht="14.25" thickBot="1">
      <c r="A322" s="837" t="s">
        <v>1004</v>
      </c>
      <c r="B322" s="831" t="s">
        <v>1009</v>
      </c>
      <c r="C322" s="1064">
        <v>0.15</v>
      </c>
      <c r="D322" s="1064">
        <v>0.15</v>
      </c>
      <c r="E322" s="1064">
        <v>0.15</v>
      </c>
      <c r="F322" s="1065">
        <v>0.15</v>
      </c>
    </row>
    <row r="323" spans="1:6" ht="14.25" thickBot="1">
      <c r="A323" s="837" t="s">
        <v>1004</v>
      </c>
      <c r="B323" s="831" t="s">
        <v>1010</v>
      </c>
      <c r="C323" s="1064">
        <v>0.15</v>
      </c>
      <c r="D323" s="1064">
        <v>0.15</v>
      </c>
      <c r="E323" s="1064">
        <v>0.15</v>
      </c>
      <c r="F323" s="1076"/>
    </row>
    <row r="324" spans="1:6" ht="14.25" thickBot="1">
      <c r="A324" s="837" t="s">
        <v>1004</v>
      </c>
      <c r="B324" s="831" t="s">
        <v>1011</v>
      </c>
      <c r="C324" s="1064">
        <v>0.15</v>
      </c>
      <c r="D324" s="1064">
        <v>0.15</v>
      </c>
      <c r="E324" s="1064">
        <v>0.15</v>
      </c>
      <c r="F324" s="1076"/>
    </row>
    <row r="325" spans="1:6" ht="14.25" thickBot="1">
      <c r="A325" s="837" t="s">
        <v>1004</v>
      </c>
      <c r="B325" s="831" t="s">
        <v>1012</v>
      </c>
      <c r="C325" s="1064">
        <v>0.15</v>
      </c>
      <c r="D325" s="1064">
        <v>0.15</v>
      </c>
      <c r="E325" s="1064">
        <v>0.15</v>
      </c>
      <c r="F325" s="1065">
        <v>0.14699999999999999</v>
      </c>
    </row>
    <row r="326" spans="1:6" ht="14.25" thickBot="1">
      <c r="A326" s="837" t="s">
        <v>1004</v>
      </c>
      <c r="B326" s="831" t="s">
        <v>290</v>
      </c>
      <c r="C326" s="1064">
        <v>0.15</v>
      </c>
      <c r="D326" s="1064">
        <v>0.15</v>
      </c>
      <c r="E326" s="1064">
        <v>0.15</v>
      </c>
      <c r="F326" s="1076"/>
    </row>
    <row r="327" spans="1:6" ht="14.25" thickBot="1">
      <c r="A327" s="837" t="s">
        <v>1004</v>
      </c>
      <c r="B327" s="831" t="s">
        <v>1013</v>
      </c>
      <c r="C327" s="1064">
        <v>0.15</v>
      </c>
      <c r="D327" s="1064">
        <v>0.15</v>
      </c>
      <c r="E327" s="1064">
        <v>0.15</v>
      </c>
      <c r="F327" s="1065">
        <v>0.15</v>
      </c>
    </row>
    <row r="328" spans="1:6" ht="14.25" thickBot="1">
      <c r="A328" s="837" t="s">
        <v>1004</v>
      </c>
      <c r="B328" s="831" t="s">
        <v>310</v>
      </c>
      <c r="C328" s="1064">
        <v>0.15</v>
      </c>
      <c r="D328" s="1064">
        <v>0.15</v>
      </c>
      <c r="E328" s="1064">
        <v>0.15</v>
      </c>
      <c r="F328" s="1065">
        <v>0.14099999999999999</v>
      </c>
    </row>
    <row r="329" spans="1:6" ht="14.25" thickBot="1">
      <c r="A329" s="837" t="s">
        <v>1004</v>
      </c>
      <c r="B329" s="831" t="s">
        <v>320</v>
      </c>
      <c r="C329" s="1064">
        <v>0.15</v>
      </c>
      <c r="D329" s="1064">
        <v>0.15</v>
      </c>
      <c r="E329" s="1064">
        <v>0.15</v>
      </c>
      <c r="F329" s="1065">
        <v>0.15</v>
      </c>
    </row>
    <row r="330" spans="1:6" ht="14.25" thickBot="1">
      <c r="A330" s="837" t="s">
        <v>1004</v>
      </c>
      <c r="B330" s="831" t="s">
        <v>331</v>
      </c>
      <c r="C330" s="1064">
        <v>0.15</v>
      </c>
      <c r="D330" s="1064">
        <v>0.15</v>
      </c>
      <c r="E330" s="1064">
        <v>0.15</v>
      </c>
      <c r="F330" s="1076"/>
    </row>
    <row r="331" spans="1:6" ht="14.25" thickBot="1">
      <c r="A331" s="837" t="s">
        <v>1004</v>
      </c>
      <c r="B331" s="831" t="s">
        <v>1014</v>
      </c>
      <c r="C331" s="1064">
        <v>0.15</v>
      </c>
      <c r="D331" s="1064">
        <v>0.15</v>
      </c>
      <c r="E331" s="1064">
        <v>0.15</v>
      </c>
      <c r="F331" s="1065">
        <v>0.15</v>
      </c>
    </row>
    <row r="332" spans="1:6" ht="14.25" thickBot="1">
      <c r="A332" s="837" t="s">
        <v>1004</v>
      </c>
      <c r="B332" s="831" t="s">
        <v>352</v>
      </c>
      <c r="C332" s="1064">
        <v>0.15</v>
      </c>
      <c r="D332" s="1064">
        <v>0.15</v>
      </c>
      <c r="E332" s="1064">
        <v>0.15</v>
      </c>
      <c r="F332" s="1065">
        <v>0.15</v>
      </c>
    </row>
    <row r="333" spans="1:6" ht="14.25" thickBot="1">
      <c r="A333" s="837" t="s">
        <v>1004</v>
      </c>
      <c r="B333" s="831" t="s">
        <v>1015</v>
      </c>
      <c r="C333" s="1064">
        <v>0.15</v>
      </c>
      <c r="D333" s="1064">
        <v>0.15</v>
      </c>
      <c r="E333" s="1064">
        <v>0.15</v>
      </c>
      <c r="F333" s="1065">
        <v>0.14099999999999999</v>
      </c>
    </row>
    <row r="334" spans="1:6" ht="14.25" thickBot="1">
      <c r="A334" s="837" t="s">
        <v>1004</v>
      </c>
      <c r="B334" s="831" t="s">
        <v>372</v>
      </c>
      <c r="C334" s="1064">
        <v>0.15</v>
      </c>
      <c r="D334" s="1064">
        <v>0.15</v>
      </c>
      <c r="E334" s="1064">
        <v>0.15</v>
      </c>
      <c r="F334" s="1065">
        <v>0.15</v>
      </c>
    </row>
    <row r="335" spans="1:6" ht="14.25" thickBot="1">
      <c r="A335" s="837" t="s">
        <v>1004</v>
      </c>
      <c r="B335" s="831" t="s">
        <v>382</v>
      </c>
      <c r="C335" s="1064">
        <v>0.15</v>
      </c>
      <c r="D335" s="1064">
        <v>0.15</v>
      </c>
      <c r="E335" s="1064">
        <v>0.15</v>
      </c>
      <c r="F335" s="1076"/>
    </row>
    <row r="336" spans="1:6" ht="14.25" thickBot="1">
      <c r="A336" s="837" t="s">
        <v>1004</v>
      </c>
      <c r="B336" s="831" t="s">
        <v>1016</v>
      </c>
      <c r="C336" s="1064">
        <v>0.15</v>
      </c>
      <c r="D336" s="1064">
        <v>0.15</v>
      </c>
      <c r="E336" s="1064">
        <v>0.15</v>
      </c>
      <c r="F336" s="1065">
        <v>0.11799999999999999</v>
      </c>
    </row>
    <row r="337" spans="1:6" ht="14.25" thickBot="1">
      <c r="A337" s="847" t="s">
        <v>1004</v>
      </c>
      <c r="B337" s="843" t="s">
        <v>400</v>
      </c>
      <c r="C337" s="1074"/>
      <c r="D337" s="1074"/>
      <c r="E337" s="1074"/>
      <c r="F337" s="1067">
        <v>0.14299999999999999</v>
      </c>
    </row>
    <row r="338" spans="1:6" ht="14.25" thickBot="1">
      <c r="A338" s="837" t="s">
        <v>1017</v>
      </c>
      <c r="B338" s="838" t="s">
        <v>1018</v>
      </c>
      <c r="C338" s="1062">
        <v>0.15</v>
      </c>
      <c r="D338" s="1062">
        <v>0.15</v>
      </c>
      <c r="E338" s="1062">
        <v>0.15</v>
      </c>
      <c r="F338" s="1079"/>
    </row>
    <row r="339" spans="1:6" ht="14.25" thickBot="1">
      <c r="A339" s="837" t="s">
        <v>1017</v>
      </c>
      <c r="B339" s="831" t="s">
        <v>1019</v>
      </c>
      <c r="C339" s="1064">
        <v>0.15</v>
      </c>
      <c r="D339" s="1064">
        <v>0.15</v>
      </c>
      <c r="E339" s="1064">
        <v>0.15</v>
      </c>
      <c r="F339" s="1076"/>
    </row>
    <row r="340" spans="1:6" ht="14.25" thickBot="1">
      <c r="A340" s="837" t="s">
        <v>1017</v>
      </c>
      <c r="B340" s="831" t="s">
        <v>1020</v>
      </c>
      <c r="C340" s="1064">
        <v>0.15</v>
      </c>
      <c r="D340" s="1064">
        <v>0.15</v>
      </c>
      <c r="E340" s="1064">
        <v>0.15</v>
      </c>
      <c r="F340" s="1076"/>
    </row>
    <row r="341" spans="1:6" ht="14.25" thickBot="1">
      <c r="A341" s="837" t="s">
        <v>1017</v>
      </c>
      <c r="B341" s="831" t="s">
        <v>1021</v>
      </c>
      <c r="C341" s="1064">
        <v>0.15</v>
      </c>
      <c r="D341" s="1064">
        <v>0.15</v>
      </c>
      <c r="E341" s="1064">
        <v>0.15</v>
      </c>
      <c r="F341" s="1065">
        <v>0.15</v>
      </c>
    </row>
    <row r="342" spans="1:6" ht="14.25" thickBot="1">
      <c r="A342" s="837" t="s">
        <v>1017</v>
      </c>
      <c r="B342" s="831" t="s">
        <v>1022</v>
      </c>
      <c r="C342" s="1064">
        <v>0.15</v>
      </c>
      <c r="D342" s="1064">
        <v>0.15</v>
      </c>
      <c r="E342" s="1064">
        <v>0.15</v>
      </c>
      <c r="F342" s="1065">
        <v>0.15</v>
      </c>
    </row>
    <row r="343" spans="1:6" ht="14.25" thickBot="1">
      <c r="A343" s="837" t="s">
        <v>1017</v>
      </c>
      <c r="B343" s="831" t="s">
        <v>1023</v>
      </c>
      <c r="C343" s="1064">
        <v>0.15</v>
      </c>
      <c r="D343" s="1064">
        <v>0.15</v>
      </c>
      <c r="E343" s="1064">
        <v>0.15</v>
      </c>
      <c r="F343" s="1065">
        <v>0.15</v>
      </c>
    </row>
    <row r="344" spans="1:6" ht="14.2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43537</v>
      </c>
      <c r="D1" s="1699" t="s">
        <v>1293</v>
      </c>
      <c r="E1" s="1694">
        <f>'数据-取费表'!B22</f>
        <v>3</v>
      </c>
      <c r="F1" s="1699" t="s">
        <v>1294</v>
      </c>
      <c r="G1" s="1695">
        <f ca="1">INDIRECT("d"&amp;$K$1)/100</f>
        <v>4.7500000000000001E-2</v>
      </c>
      <c r="H1" s="1699" t="s">
        <v>1324</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8"/>
  <sheetViews>
    <sheetView workbookViewId="0">
      <selection activeCell="H21" sqref="H21"/>
    </sheetView>
  </sheetViews>
  <sheetFormatPr defaultRowHeight="13.5"/>
  <cols>
    <col min="2" max="2" width="63.875" customWidth="1"/>
    <col min="4" max="4" width="15.875" customWidth="1"/>
    <col min="6" max="6" width="15.25" customWidth="1"/>
    <col min="8" max="8" width="14" customWidth="1"/>
    <col min="9" max="9" width="18.625" customWidth="1"/>
  </cols>
  <sheetData>
    <row r="3" spans="1:9">
      <c r="B3" s="1634" t="s">
        <v>3080</v>
      </c>
      <c r="C3" s="1634" t="s">
        <v>3081</v>
      </c>
      <c r="D3" s="1634" t="s">
        <v>3082</v>
      </c>
      <c r="E3" s="1634" t="s">
        <v>3083</v>
      </c>
      <c r="F3" s="1634" t="s">
        <v>3084</v>
      </c>
      <c r="G3" s="1634" t="s">
        <v>3085</v>
      </c>
      <c r="H3" s="1634" t="s">
        <v>3086</v>
      </c>
      <c r="I3" s="1634" t="s">
        <v>3087</v>
      </c>
    </row>
    <row r="4" spans="1:9" s="3282" customFormat="1">
      <c r="A4" s="3285" t="s">
        <v>3119</v>
      </c>
      <c r="B4" s="3286" t="s">
        <v>3088</v>
      </c>
      <c r="C4" s="3286" t="s">
        <v>3010</v>
      </c>
      <c r="D4" s="3286" t="s">
        <v>3089</v>
      </c>
      <c r="E4" s="3286" t="s">
        <v>3090</v>
      </c>
      <c r="F4" s="3286">
        <v>33071.620000000003</v>
      </c>
      <c r="G4" s="3286">
        <v>3.7</v>
      </c>
      <c r="H4" s="3286" t="s">
        <v>3091</v>
      </c>
      <c r="I4" s="3286">
        <v>14948.05</v>
      </c>
    </row>
    <row r="5" spans="1:9" s="3282" customFormat="1">
      <c r="A5" s="3285" t="s">
        <v>3120</v>
      </c>
      <c r="B5" s="3286" t="s">
        <v>3092</v>
      </c>
      <c r="C5" s="3286" t="s">
        <v>3010</v>
      </c>
      <c r="D5" s="3286" t="s">
        <v>3089</v>
      </c>
      <c r="E5" s="3286" t="s">
        <v>3090</v>
      </c>
      <c r="F5" s="3286">
        <v>66237.2</v>
      </c>
      <c r="G5" s="3286">
        <v>3.99</v>
      </c>
      <c r="H5" s="3286" t="s">
        <v>3093</v>
      </c>
      <c r="I5" s="3286">
        <v>14580.09</v>
      </c>
    </row>
    <row r="6" spans="1:9">
      <c r="B6" s="1634" t="s">
        <v>3094</v>
      </c>
      <c r="C6" s="1634" t="s">
        <v>3010</v>
      </c>
      <c r="D6" s="1634" t="s">
        <v>3089</v>
      </c>
      <c r="E6" s="1634" t="s">
        <v>3090</v>
      </c>
      <c r="F6" s="1634">
        <v>18303.330000000002</v>
      </c>
      <c r="G6" s="1634">
        <v>3.2</v>
      </c>
      <c r="H6" s="1634" t="s">
        <v>3095</v>
      </c>
      <c r="I6" s="1634">
        <v>22024.54</v>
      </c>
    </row>
    <row r="7" spans="1:9" s="3282" customFormat="1">
      <c r="A7" s="3285" t="s">
        <v>3121</v>
      </c>
      <c r="B7" s="3286" t="s">
        <v>3096</v>
      </c>
      <c r="C7" s="3286" t="s">
        <v>3010</v>
      </c>
      <c r="D7" s="3286" t="s">
        <v>3089</v>
      </c>
      <c r="E7" s="3286" t="s">
        <v>3090</v>
      </c>
      <c r="F7" s="3286">
        <v>29183.54</v>
      </c>
      <c r="G7" s="3286">
        <v>2.5</v>
      </c>
      <c r="H7" s="3286" t="s">
        <v>3097</v>
      </c>
      <c r="I7" s="3286">
        <v>14528.7</v>
      </c>
    </row>
    <row r="8" spans="1:9">
      <c r="B8" s="1634" t="s">
        <v>3098</v>
      </c>
      <c r="C8" s="1634" t="s">
        <v>3010</v>
      </c>
      <c r="D8" s="1634" t="s">
        <v>3089</v>
      </c>
      <c r="E8" s="1634" t="s">
        <v>3090</v>
      </c>
      <c r="F8" s="1634">
        <v>23639.39</v>
      </c>
      <c r="G8" s="1634">
        <v>3.2</v>
      </c>
      <c r="H8" s="1634" t="s">
        <v>3099</v>
      </c>
      <c r="I8" s="1634">
        <v>13618.7</v>
      </c>
    </row>
    <row r="9" spans="1:9">
      <c r="B9" s="1634" t="s">
        <v>3100</v>
      </c>
      <c r="C9" s="1634" t="s">
        <v>3010</v>
      </c>
      <c r="D9" s="1634" t="s">
        <v>3089</v>
      </c>
      <c r="E9" s="1634" t="s">
        <v>3090</v>
      </c>
      <c r="F9" s="1634">
        <v>33619.79</v>
      </c>
      <c r="G9" s="1634">
        <v>4</v>
      </c>
      <c r="H9" s="1634" t="s">
        <v>3101</v>
      </c>
      <c r="I9" s="1634">
        <v>24836.59</v>
      </c>
    </row>
    <row r="10" spans="1:9">
      <c r="B10" s="1634" t="s">
        <v>3102</v>
      </c>
      <c r="C10" s="1634" t="s">
        <v>3010</v>
      </c>
      <c r="D10" s="1634" t="s">
        <v>3089</v>
      </c>
      <c r="E10" s="1634" t="s">
        <v>3090</v>
      </c>
      <c r="F10" s="1634">
        <v>71916.58</v>
      </c>
      <c r="G10" s="1634">
        <v>1.5</v>
      </c>
      <c r="H10" s="1634" t="s">
        <v>3103</v>
      </c>
      <c r="I10" s="1634">
        <v>16778.68</v>
      </c>
    </row>
    <row r="11" spans="1:9">
      <c r="B11" s="1634" t="s">
        <v>3104</v>
      </c>
      <c r="C11" s="1634" t="s">
        <v>3010</v>
      </c>
      <c r="D11" s="1634" t="s">
        <v>3089</v>
      </c>
      <c r="E11" s="1634" t="s">
        <v>3090</v>
      </c>
      <c r="F11" s="1634">
        <v>47919.26</v>
      </c>
      <c r="G11" s="1634">
        <v>3</v>
      </c>
      <c r="H11" s="1634" t="s">
        <v>3105</v>
      </c>
      <c r="I11" s="1634">
        <v>9042.9599999999991</v>
      </c>
    </row>
    <row r="12" spans="1:9">
      <c r="B12" s="1634" t="s">
        <v>3106</v>
      </c>
      <c r="C12" s="1634" t="s">
        <v>3010</v>
      </c>
      <c r="D12" s="1634" t="s">
        <v>3089</v>
      </c>
      <c r="E12" s="1634" t="s">
        <v>3090</v>
      </c>
      <c r="F12" s="1634">
        <v>61900.3</v>
      </c>
      <c r="G12" s="1634">
        <v>1.8</v>
      </c>
      <c r="H12" s="1634" t="s">
        <v>3107</v>
      </c>
      <c r="I12" s="1634">
        <v>17680.68</v>
      </c>
    </row>
    <row r="13" spans="1:9">
      <c r="B13" s="1634" t="s">
        <v>3108</v>
      </c>
      <c r="C13" s="1634" t="s">
        <v>3010</v>
      </c>
      <c r="D13" s="1634" t="s">
        <v>3089</v>
      </c>
      <c r="E13" s="1634" t="s">
        <v>3090</v>
      </c>
      <c r="F13" s="1634">
        <v>66594.820000000007</v>
      </c>
      <c r="G13" s="1634">
        <v>1.8</v>
      </c>
      <c r="H13" s="1634" t="s">
        <v>3107</v>
      </c>
      <c r="I13" s="1634">
        <v>16350.9</v>
      </c>
    </row>
    <row r="14" spans="1:9">
      <c r="B14" s="1634" t="s">
        <v>3109</v>
      </c>
      <c r="C14" s="1634" t="s">
        <v>3010</v>
      </c>
      <c r="D14" s="1634" t="s">
        <v>3089</v>
      </c>
      <c r="E14" s="1634" t="s">
        <v>3090</v>
      </c>
      <c r="F14" s="1634">
        <v>24464</v>
      </c>
      <c r="G14" s="1634">
        <v>2</v>
      </c>
      <c r="H14" s="1634" t="s">
        <v>3110</v>
      </c>
      <c r="I14" s="1634">
        <v>9565.07</v>
      </c>
    </row>
    <row r="15" spans="1:9">
      <c r="B15" s="1634" t="s">
        <v>3111</v>
      </c>
      <c r="C15" s="1634" t="s">
        <v>3010</v>
      </c>
      <c r="D15" s="1634" t="s">
        <v>3089</v>
      </c>
      <c r="E15" s="1634" t="s">
        <v>3090</v>
      </c>
      <c r="F15" s="1634">
        <v>38024.39</v>
      </c>
      <c r="G15" s="1634">
        <v>2.8</v>
      </c>
      <c r="H15" s="1634" t="s">
        <v>3112</v>
      </c>
      <c r="I15" s="1634">
        <v>9110.7099999999991</v>
      </c>
    </row>
    <row r="16" spans="1:9">
      <c r="B16" s="1634" t="s">
        <v>3113</v>
      </c>
      <c r="C16" s="1634" t="s">
        <v>3010</v>
      </c>
      <c r="D16" s="1634" t="s">
        <v>3089</v>
      </c>
      <c r="E16" s="1634" t="s">
        <v>3090</v>
      </c>
      <c r="F16" s="1634">
        <v>13920.77</v>
      </c>
      <c r="G16" s="1634">
        <v>1.2</v>
      </c>
      <c r="H16" s="1634" t="s">
        <v>3114</v>
      </c>
      <c r="I16" s="1634">
        <v>7303.19</v>
      </c>
    </row>
    <row r="17" spans="2:9">
      <c r="B17" s="1634" t="s">
        <v>3115</v>
      </c>
      <c r="C17" s="1634" t="s">
        <v>3010</v>
      </c>
      <c r="D17" s="1634" t="s">
        <v>3089</v>
      </c>
      <c r="E17" s="1634" t="s">
        <v>3090</v>
      </c>
      <c r="F17" s="1634">
        <v>6189.23</v>
      </c>
      <c r="G17" s="1634">
        <v>1</v>
      </c>
      <c r="H17" s="1634" t="s">
        <v>3116</v>
      </c>
      <c r="I17" s="1634">
        <v>20843.43</v>
      </c>
    </row>
    <row r="18" spans="2:9">
      <c r="B18" s="1634" t="s">
        <v>3117</v>
      </c>
      <c r="C18" s="1634" t="s">
        <v>3010</v>
      </c>
      <c r="D18" s="1634" t="s">
        <v>3089</v>
      </c>
      <c r="E18" s="1634" t="s">
        <v>3090</v>
      </c>
      <c r="F18" s="1634">
        <v>40417.42</v>
      </c>
      <c r="G18" s="1634">
        <v>3</v>
      </c>
      <c r="H18" s="1634" t="s">
        <v>3118</v>
      </c>
      <c r="I18" s="1634">
        <v>15752.31</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9" sqref="L9"/>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1633</v>
      </c>
      <c r="B2" s="2974" t="s">
        <v>1634</v>
      </c>
      <c r="C2" s="2974" t="s">
        <v>1635</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68"/>
      <c r="B3" s="2968"/>
      <c r="C3" s="2968"/>
      <c r="D3" s="1044" t="s">
        <v>1630</v>
      </c>
      <c r="E3" s="1044" t="s">
        <v>1636</v>
      </c>
      <c r="F3" s="1044" t="s">
        <v>1630</v>
      </c>
      <c r="G3" s="1044" t="s">
        <v>1631</v>
      </c>
      <c r="H3" s="1044" t="s">
        <v>1630</v>
      </c>
      <c r="I3" s="1044" t="s">
        <v>1631</v>
      </c>
    </row>
    <row r="4" spans="1:9" ht="30">
      <c r="A4" s="1972" t="str">
        <f>项目基本情况!S2</f>
        <v>北京市北京经济技术开发区东区A18街区出让国有建设用地使用权及在建建筑物房地产</v>
      </c>
      <c r="B4" s="1044">
        <f>项目基本情况!C17</f>
        <v>272582</v>
      </c>
      <c r="C4" s="1044">
        <f>项目基本情况!C18</f>
        <v>54579.4</v>
      </c>
      <c r="D4" s="1044" t="e">
        <f ca="1">结果表!D118</f>
        <v>#REF!</v>
      </c>
      <c r="E4" s="1044" t="e">
        <f ca="1">结果表!E118</f>
        <v>#REF!</v>
      </c>
      <c r="F4" s="1044" t="e">
        <f ca="1">结果表!F118</f>
        <v>#REF!</v>
      </c>
      <c r="G4" s="1044" t="e">
        <f ca="1">结果表!G118</f>
        <v>#REF!</v>
      </c>
      <c r="H4" s="1044">
        <f ca="1">结果表!H118</f>
        <v>227999</v>
      </c>
      <c r="I4" s="1044">
        <f ca="1">结果表!I118</f>
        <v>8364</v>
      </c>
    </row>
    <row r="5" spans="1:9" ht="30" customHeight="1">
      <c r="A5" s="2968" t="s">
        <v>1632</v>
      </c>
      <c r="B5" s="2968"/>
      <c r="C5" s="2968"/>
      <c r="D5" s="2969" t="e">
        <f ca="1">结果表!D119</f>
        <v>#REF!</v>
      </c>
      <c r="E5" s="2969"/>
      <c r="F5" s="2969" t="e">
        <f ca="1">结果表!F119</f>
        <v>#REF!</v>
      </c>
      <c r="G5" s="2969"/>
      <c r="H5" s="2969" t="str">
        <f ca="1">结果表!H119</f>
        <v>贰拾贰亿柒仟玖佰玖拾玖万元整</v>
      </c>
      <c r="I5" s="2969"/>
    </row>
    <row r="6" spans="1:9" ht="15.75">
      <c r="A6" s="2967" t="str">
        <f>结果表!A120</f>
        <v>估价师知悉的法定优先受偿款</v>
      </c>
      <c r="B6" s="2967"/>
      <c r="C6" s="2967"/>
      <c r="D6" s="2967">
        <f>结果表!D120</f>
        <v>0</v>
      </c>
      <c r="E6" s="2967"/>
      <c r="F6" s="2967"/>
      <c r="G6" s="2967"/>
      <c r="H6" s="2967"/>
      <c r="I6" s="2967"/>
    </row>
    <row r="7" spans="1:9" ht="15">
      <c r="A7" s="2968" t="s">
        <v>1632</v>
      </c>
      <c r="B7" s="2968"/>
      <c r="C7" s="2968"/>
      <c r="D7" s="2970" t="str">
        <f>结果表!D121</f>
        <v>零元整</v>
      </c>
      <c r="E7" s="2971"/>
      <c r="F7" s="2971"/>
      <c r="G7" s="2971"/>
      <c r="H7" s="2971"/>
      <c r="I7" s="2972"/>
    </row>
    <row r="8" spans="1:9" ht="15.75">
      <c r="A8" s="2967" t="str">
        <f>结果表!A122</f>
        <v>房地产抵押价值</v>
      </c>
      <c r="B8" s="2967"/>
      <c r="C8" s="2967"/>
      <c r="D8" s="2967">
        <f ca="1">结果表!D122</f>
        <v>227999</v>
      </c>
      <c r="E8" s="2967"/>
      <c r="F8" s="2967"/>
      <c r="G8" s="2967"/>
      <c r="H8" s="2967"/>
      <c r="I8" s="2967"/>
    </row>
    <row r="9" spans="1:9" ht="15">
      <c r="A9" s="2968" t="s">
        <v>1632</v>
      </c>
      <c r="B9" s="2968"/>
      <c r="C9" s="2968"/>
      <c r="D9" s="2969" t="str">
        <f ca="1">结果表!D123</f>
        <v>贰拾贰亿柒仟玖佰玖拾玖万元整</v>
      </c>
      <c r="E9" s="2969"/>
      <c r="F9" s="2969"/>
      <c r="G9" s="2969"/>
      <c r="H9" s="2969"/>
      <c r="I9" s="2969"/>
    </row>
    <row r="10" spans="1:9" ht="15.75">
      <c r="A10" s="2967" t="str">
        <f>结果表!A124</f>
        <v>抵押担保权已注销时的房地产抵押价值</v>
      </c>
      <c r="B10" s="2967"/>
      <c r="C10" s="2967"/>
      <c r="D10" s="2967">
        <f ca="1">结果表!D124</f>
        <v>227999</v>
      </c>
      <c r="E10" s="2967"/>
      <c r="F10" s="2967"/>
      <c r="G10" s="2967"/>
      <c r="H10" s="2967"/>
      <c r="I10" s="2967"/>
    </row>
    <row r="11" spans="1:9" ht="15">
      <c r="A11" s="2968" t="s">
        <v>1632</v>
      </c>
      <c r="B11" s="2968"/>
      <c r="C11" s="2968"/>
      <c r="D11" s="2969" t="str">
        <f ca="1">结果表!D125</f>
        <v>贰拾贰亿柒仟玖佰玖拾玖万元整</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1632</v>
      </c>
      <c r="B13" s="2964"/>
      <c r="C13" s="2964"/>
      <c r="D13" s="2965" t="e">
        <f>结果表!D127</f>
        <v>#VALUE!</v>
      </c>
      <c r="E13" s="2965"/>
      <c r="F13" s="2965"/>
      <c r="G13" s="2965"/>
      <c r="H13" s="2965"/>
      <c r="I13" s="2965"/>
    </row>
    <row r="14" spans="1:9" ht="15" thickTop="1">
      <c r="A14" s="2966" t="s">
        <v>1637</v>
      </c>
      <c r="B14" s="2966"/>
      <c r="C14" s="2966"/>
      <c r="D14" s="2966"/>
      <c r="E14" s="2966"/>
      <c r="F14" s="2966"/>
      <c r="G14" s="2966"/>
      <c r="H14" s="2966"/>
      <c r="I14" s="2966"/>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D34" sqref="D3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4" sqref="I14"/>
    </sheetView>
  </sheetViews>
  <sheetFormatPr defaultRowHeight="13.5"/>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4" sqref="Q34"/>
    </sheetView>
  </sheetViews>
  <sheetFormatPr defaultRowHeight="13.5"/>
  <sheetData/>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AD26"/>
  <sheetViews>
    <sheetView workbookViewId="0">
      <selection activeCell="H22" sqref="H22"/>
    </sheetView>
  </sheetViews>
  <sheetFormatPr defaultRowHeight="13.5"/>
  <cols>
    <col min="5" max="5" width="21.125" customWidth="1"/>
    <col min="6" max="6" width="14.375" customWidth="1"/>
    <col min="7" max="7" width="15.875" customWidth="1"/>
    <col min="8" max="9" width="15.5" customWidth="1"/>
  </cols>
  <sheetData>
    <row r="2" spans="5:30">
      <c r="I2" t="s">
        <v>40</v>
      </c>
      <c r="J2" t="s">
        <v>3018</v>
      </c>
      <c r="L2" t="s">
        <v>3018</v>
      </c>
      <c r="N2" t="s">
        <v>3018</v>
      </c>
      <c r="P2" t="s">
        <v>3019</v>
      </c>
      <c r="R2" t="s">
        <v>40</v>
      </c>
      <c r="S2" t="s">
        <v>3018</v>
      </c>
      <c r="U2" t="s">
        <v>3019</v>
      </c>
      <c r="W2" t="s">
        <v>3018</v>
      </c>
      <c r="Y2" t="s">
        <v>3019</v>
      </c>
      <c r="AA2" t="s">
        <v>3018</v>
      </c>
      <c r="AC2" t="s">
        <v>3019</v>
      </c>
    </row>
    <row r="3" spans="5:30">
      <c r="J3" t="s">
        <v>27</v>
      </c>
      <c r="L3" t="s">
        <v>1369</v>
      </c>
      <c r="N3" t="s">
        <v>1369</v>
      </c>
      <c r="P3" t="s">
        <v>3020</v>
      </c>
      <c r="S3" t="s">
        <v>3069</v>
      </c>
      <c r="U3" t="s">
        <v>3069</v>
      </c>
      <c r="W3" t="s">
        <v>3070</v>
      </c>
      <c r="Y3" t="s">
        <v>3070</v>
      </c>
      <c r="AA3" t="s">
        <v>3071</v>
      </c>
      <c r="AC3" t="s">
        <v>3071</v>
      </c>
    </row>
    <row r="4" spans="5:30">
      <c r="J4" t="s">
        <v>2999</v>
      </c>
      <c r="L4" t="s">
        <v>3001</v>
      </c>
      <c r="N4" t="s">
        <v>3003</v>
      </c>
      <c r="P4" t="s">
        <v>3021</v>
      </c>
      <c r="S4" t="s">
        <v>3072</v>
      </c>
      <c r="U4" t="s">
        <v>3072</v>
      </c>
      <c r="W4" t="s">
        <v>3073</v>
      </c>
      <c r="Y4" t="s">
        <v>3073</v>
      </c>
    </row>
    <row r="5" spans="5:30">
      <c r="H5" s="3280"/>
      <c r="J5" t="s">
        <v>3074</v>
      </c>
      <c r="K5" t="s">
        <v>3075</v>
      </c>
      <c r="L5" t="s">
        <v>3074</v>
      </c>
      <c r="M5" t="s">
        <v>3075</v>
      </c>
      <c r="N5" t="s">
        <v>3074</v>
      </c>
      <c r="O5" t="s">
        <v>3075</v>
      </c>
      <c r="P5" t="s">
        <v>3074</v>
      </c>
      <c r="Q5" t="s">
        <v>3075</v>
      </c>
      <c r="S5" t="s">
        <v>3074</v>
      </c>
      <c r="T5" t="s">
        <v>3075</v>
      </c>
      <c r="U5" t="s">
        <v>3074</v>
      </c>
      <c r="V5" t="s">
        <v>3075</v>
      </c>
      <c r="W5" t="s">
        <v>3074</v>
      </c>
      <c r="X5" t="s">
        <v>3075</v>
      </c>
      <c r="Y5" t="s">
        <v>3074</v>
      </c>
      <c r="Z5" t="s">
        <v>3075</v>
      </c>
      <c r="AA5" t="s">
        <v>3074</v>
      </c>
      <c r="AB5" t="s">
        <v>3075</v>
      </c>
      <c r="AC5" t="s">
        <v>3074</v>
      </c>
      <c r="AD5" t="s">
        <v>3075</v>
      </c>
    </row>
    <row r="6" spans="5:30" s="3282" customFormat="1">
      <c r="E6" s="3282" t="s">
        <v>3055</v>
      </c>
      <c r="F6" s="3282" t="s">
        <v>3023</v>
      </c>
      <c r="G6" s="3282">
        <v>3770.94</v>
      </c>
      <c r="H6" s="3282">
        <v>18832.939999999999</v>
      </c>
      <c r="I6" s="3282">
        <v>18832.939999999999</v>
      </c>
      <c r="N6" s="3282">
        <v>18832.939999999999</v>
      </c>
      <c r="R6" s="3282">
        <v>0</v>
      </c>
    </row>
    <row r="7" spans="5:30" s="3282" customFormat="1">
      <c r="E7" s="3282" t="s">
        <v>3056</v>
      </c>
      <c r="F7" s="3282" t="s">
        <v>3023</v>
      </c>
      <c r="G7" s="3282">
        <v>2921.15</v>
      </c>
      <c r="H7" s="3282">
        <v>14588.9</v>
      </c>
      <c r="I7" s="3282">
        <v>14588.9</v>
      </c>
      <c r="J7" s="3282">
        <v>14588.9</v>
      </c>
      <c r="R7" s="3282">
        <v>0</v>
      </c>
    </row>
    <row r="8" spans="5:30" s="3282" customFormat="1">
      <c r="E8" s="3282" t="s">
        <v>3057</v>
      </c>
      <c r="F8" s="3282" t="s">
        <v>3023</v>
      </c>
      <c r="G8" s="3282">
        <v>4270.1899999999996</v>
      </c>
      <c r="H8" s="3282">
        <v>21326.32</v>
      </c>
      <c r="I8" s="3282">
        <v>21326.32</v>
      </c>
      <c r="J8" s="3282">
        <v>21326.32</v>
      </c>
      <c r="R8" s="3282">
        <v>0</v>
      </c>
    </row>
    <row r="9" spans="5:30" s="3282" customFormat="1">
      <c r="E9" s="3282" t="s">
        <v>3058</v>
      </c>
      <c r="F9" s="3282" t="s">
        <v>3023</v>
      </c>
      <c r="G9" s="3282">
        <v>3101.73</v>
      </c>
      <c r="H9" s="3282">
        <v>15490.76</v>
      </c>
      <c r="I9" s="3282">
        <v>15490.76</v>
      </c>
      <c r="J9" s="3282">
        <v>15490.76</v>
      </c>
      <c r="R9" s="3282">
        <v>0</v>
      </c>
    </row>
    <row r="10" spans="5:30" s="3282" customFormat="1">
      <c r="E10" s="3282" t="s">
        <v>3059</v>
      </c>
      <c r="F10" s="3282" t="s">
        <v>3023</v>
      </c>
      <c r="G10" s="3282">
        <v>705.33</v>
      </c>
      <c r="H10" s="3282">
        <v>3522.56</v>
      </c>
      <c r="I10" s="3282">
        <v>0</v>
      </c>
      <c r="R10" s="3282">
        <v>3522.56</v>
      </c>
      <c r="S10" s="3282">
        <v>3522.56</v>
      </c>
    </row>
    <row r="11" spans="5:30" s="3282" customFormat="1">
      <c r="E11" s="3282" t="s">
        <v>3060</v>
      </c>
      <c r="F11" s="3282" t="s">
        <v>3023</v>
      </c>
      <c r="G11" s="3282">
        <v>724.02</v>
      </c>
      <c r="H11" s="3282">
        <v>3615.92</v>
      </c>
      <c r="I11" s="3282">
        <v>3615.92</v>
      </c>
      <c r="L11" s="3282">
        <v>3615.92</v>
      </c>
      <c r="R11" s="3282">
        <v>0</v>
      </c>
    </row>
    <row r="12" spans="5:30" s="3282" customFormat="1">
      <c r="E12" s="3282" t="s">
        <v>3013</v>
      </c>
      <c r="F12" s="3282" t="s">
        <v>3023</v>
      </c>
      <c r="G12" s="3282">
        <v>6192.11</v>
      </c>
      <c r="H12" s="3282">
        <v>30924.799999999999</v>
      </c>
      <c r="I12" s="3282">
        <v>29404.7</v>
      </c>
      <c r="P12" s="3282">
        <v>29404.7</v>
      </c>
      <c r="R12" s="3282">
        <v>1520.1</v>
      </c>
      <c r="AC12" s="3282">
        <v>1520.1</v>
      </c>
    </row>
    <row r="13" spans="5:30">
      <c r="E13" t="s">
        <v>3061</v>
      </c>
      <c r="F13" t="s">
        <v>3023</v>
      </c>
      <c r="G13">
        <v>6880.2</v>
      </c>
      <c r="H13" s="3281">
        <v>34361.300000000003</v>
      </c>
      <c r="I13">
        <v>24357.9</v>
      </c>
      <c r="J13">
        <v>23258.7</v>
      </c>
      <c r="L13">
        <v>1099.2</v>
      </c>
      <c r="R13">
        <v>10003.4</v>
      </c>
      <c r="S13">
        <v>10003.4</v>
      </c>
    </row>
    <row r="14" spans="5:30">
      <c r="E14" t="s">
        <v>3062</v>
      </c>
      <c r="F14" t="s">
        <v>3023</v>
      </c>
      <c r="G14">
        <v>7006.73</v>
      </c>
      <c r="H14" s="3281">
        <v>34993.199999999997</v>
      </c>
      <c r="I14">
        <v>24996.799999999999</v>
      </c>
      <c r="J14">
        <v>23918.799999999999</v>
      </c>
      <c r="L14">
        <v>1078</v>
      </c>
      <c r="R14">
        <v>9996.4</v>
      </c>
      <c r="S14">
        <v>9996.4</v>
      </c>
    </row>
    <row r="15" spans="5:30">
      <c r="E15" t="s">
        <v>3063</v>
      </c>
      <c r="F15" t="s">
        <v>3023</v>
      </c>
      <c r="G15">
        <v>7766.02</v>
      </c>
      <c r="H15" s="3281">
        <v>38785.300000000003</v>
      </c>
      <c r="I15">
        <v>29024.7</v>
      </c>
      <c r="J15">
        <v>26978.9</v>
      </c>
      <c r="L15">
        <v>2045.8</v>
      </c>
      <c r="R15">
        <v>9760.6</v>
      </c>
      <c r="S15">
        <v>9760.6</v>
      </c>
    </row>
    <row r="16" spans="5:30">
      <c r="E16" t="s">
        <v>3064</v>
      </c>
      <c r="F16" t="s">
        <v>3023</v>
      </c>
      <c r="G16">
        <v>316.77</v>
      </c>
      <c r="H16" s="3281">
        <v>1582</v>
      </c>
      <c r="I16">
        <v>0</v>
      </c>
      <c r="R16">
        <v>1582</v>
      </c>
      <c r="S16">
        <v>1582</v>
      </c>
    </row>
    <row r="17" spans="5:29">
      <c r="E17" t="s">
        <v>3065</v>
      </c>
      <c r="F17" t="s">
        <v>3023</v>
      </c>
      <c r="G17">
        <v>708.32</v>
      </c>
      <c r="H17" s="3281">
        <v>3537.5</v>
      </c>
      <c r="I17">
        <v>3537.5</v>
      </c>
      <c r="L17">
        <v>3537.5</v>
      </c>
      <c r="R17">
        <v>0</v>
      </c>
    </row>
    <row r="18" spans="5:29">
      <c r="E18" t="s">
        <v>3066</v>
      </c>
      <c r="F18" t="s">
        <v>3023</v>
      </c>
      <c r="G18">
        <v>10215.89</v>
      </c>
      <c r="H18" s="3281">
        <v>51020.5</v>
      </c>
      <c r="I18">
        <v>40270.9</v>
      </c>
      <c r="P18">
        <v>40270.9</v>
      </c>
      <c r="R18">
        <v>10749.599999999999</v>
      </c>
      <c r="S18">
        <v>391.30000000000007</v>
      </c>
      <c r="U18">
        <v>6166.9</v>
      </c>
      <c r="AC18">
        <v>4191.3999999999996</v>
      </c>
    </row>
    <row r="20" spans="5:29">
      <c r="I20" s="3280" t="s">
        <v>3077</v>
      </c>
      <c r="J20" s="3281">
        <v>0.7</v>
      </c>
    </row>
    <row r="21" spans="5:29">
      <c r="G21" s="3280" t="s">
        <v>3067</v>
      </c>
      <c r="H21" s="3280" t="s">
        <v>3076</v>
      </c>
    </row>
    <row r="22" spans="5:29">
      <c r="F22" t="s">
        <v>2999</v>
      </c>
      <c r="G22">
        <v>125562.38</v>
      </c>
      <c r="H22" s="3283">
        <f>((J7+J8+J9)*0+(J13+J14+J15)*J20)/G22</f>
        <v>0.41341586548455034</v>
      </c>
    </row>
    <row r="23" spans="5:29">
      <c r="F23" t="s">
        <v>3001</v>
      </c>
      <c r="G23">
        <v>11376.42</v>
      </c>
      <c r="H23" s="3283">
        <f>(L11*0+(L13+L14+L15+L17)*J20)/G23</f>
        <v>0.47750962077701065</v>
      </c>
    </row>
    <row r="24" spans="5:29">
      <c r="F24" t="s">
        <v>3003</v>
      </c>
      <c r="G24">
        <v>18832.939999999999</v>
      </c>
      <c r="H24" s="3281">
        <v>0</v>
      </c>
    </row>
    <row r="25" spans="5:29">
      <c r="F25" t="s">
        <v>3021</v>
      </c>
      <c r="G25">
        <v>69675.600000000006</v>
      </c>
      <c r="H25" s="3283">
        <f>(P12*0+P18*J20)/G25</f>
        <v>0.40458395765519062</v>
      </c>
    </row>
    <row r="26" spans="5:29">
      <c r="F26" s="3280" t="s">
        <v>3068</v>
      </c>
      <c r="G26">
        <f>'数据-汇总表'!E28</f>
        <v>5711.5</v>
      </c>
      <c r="H26" s="3283">
        <f>(AC12*0+AC18*J20)/G26</f>
        <v>0.51369692725203531</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1" t="s">
        <v>1654</v>
      </c>
      <c r="B1" s="2981"/>
      <c r="C1" s="2981"/>
      <c r="D1" s="2981"/>
    </row>
    <row r="2" spans="1:4" ht="18">
      <c r="A2" s="2982" t="s">
        <v>1638</v>
      </c>
      <c r="B2" s="2982"/>
      <c r="C2" s="2982"/>
      <c r="D2" s="2982"/>
    </row>
    <row r="3" spans="1:4" ht="18.75">
      <c r="A3" s="1976" t="s">
        <v>1639</v>
      </c>
      <c r="B3" s="1976" t="s">
        <v>1640</v>
      </c>
      <c r="C3" s="1976" t="s">
        <v>1641</v>
      </c>
      <c r="D3" s="1976" t="s">
        <v>1642</v>
      </c>
    </row>
    <row r="4" spans="1:4" ht="56.25" customHeight="1">
      <c r="A4" s="1977" t="str">
        <f>项目基本情况!B4</f>
        <v>崔锴</v>
      </c>
      <c r="B4" s="1978">
        <f ca="1">项目基本情况!C4</f>
        <v>1120100036</v>
      </c>
      <c r="C4" s="1979"/>
      <c r="D4" s="1980" t="s">
        <v>1643</v>
      </c>
    </row>
    <row r="5" spans="1:4" ht="56.25" customHeight="1">
      <c r="A5" s="1977" t="str">
        <f>项目基本情况!D4</f>
        <v>郑燚</v>
      </c>
      <c r="B5" s="1978">
        <f ca="1">项目基本情况!E4</f>
        <v>1120070131</v>
      </c>
      <c r="C5" s="1981"/>
      <c r="D5" s="1980" t="s">
        <v>1643</v>
      </c>
    </row>
    <row r="6" spans="1:4" ht="18">
      <c r="A6" s="2982" t="s">
        <v>1644</v>
      </c>
      <c r="B6" s="2982"/>
      <c r="C6" s="2982"/>
      <c r="D6" s="2982"/>
    </row>
    <row r="7" spans="1:4" ht="18.75">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8.75">
      <c r="A10" s="1983" t="s">
        <v>1646</v>
      </c>
      <c r="B10" s="728"/>
      <c r="C10" s="728"/>
      <c r="D10" s="728"/>
    </row>
    <row r="11" spans="1:4" ht="30" customHeight="1">
      <c r="A11" s="2983" t="s">
        <v>1647</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7" t="s">
        <v>1648</v>
      </c>
      <c r="B16" s="2977"/>
      <c r="C16" s="2977"/>
      <c r="D16" s="2977"/>
    </row>
    <row r="17" spans="1:4" ht="144" customHeight="1">
      <c r="A17" s="2977" t="s">
        <v>1649</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8"/>
      <c r="C21" s="2978"/>
      <c r="D21" s="2978"/>
    </row>
    <row r="22" spans="1:4" ht="18.75" customHeight="1">
      <c r="A22" s="2979" t="s">
        <v>1650</v>
      </c>
      <c r="B22" s="2979"/>
      <c r="C22" s="2979"/>
      <c r="D22" s="2979"/>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2989" t="s">
        <v>1661</v>
      </c>
      <c r="B15" s="2984" t="s">
        <v>136</v>
      </c>
      <c r="C15" s="2985"/>
    </row>
    <row r="16" spans="1:7" ht="13.5">
      <c r="A16" s="2990"/>
      <c r="B16" s="2984" t="s">
        <v>69</v>
      </c>
      <c r="C16" s="2985"/>
    </row>
    <row r="17" spans="1:3" ht="13.5">
      <c r="A17" s="2990"/>
      <c r="B17" s="2987" t="s">
        <v>1662</v>
      </c>
      <c r="C17" s="1999" t="s">
        <v>1661</v>
      </c>
    </row>
    <row r="18" spans="1:3" ht="13.5">
      <c r="A18" s="2990"/>
      <c r="B18" s="2987"/>
      <c r="C18" s="1999" t="s">
        <v>1663</v>
      </c>
    </row>
    <row r="19" spans="1:3" ht="13.5">
      <c r="A19" s="2990"/>
      <c r="B19" s="2987"/>
      <c r="C19" s="1999" t="s">
        <v>1664</v>
      </c>
    </row>
    <row r="20" spans="1:3" ht="13.5">
      <c r="A20" s="2991"/>
      <c r="B20" s="2986" t="s">
        <v>1665</v>
      </c>
      <c r="C20" s="2985"/>
    </row>
    <row r="21" spans="1:3" ht="13.5">
      <c r="A21" s="2000" t="s">
        <v>1666</v>
      </c>
      <c r="B21" s="2001"/>
      <c r="C21" s="2002"/>
    </row>
    <row r="22" spans="1:3" ht="13.5">
      <c r="A22" s="2988" t="s">
        <v>1667</v>
      </c>
      <c r="B22" s="2986" t="s">
        <v>1668</v>
      </c>
      <c r="C22" s="2985"/>
    </row>
    <row r="23" spans="1:3" ht="13.5">
      <c r="A23" s="2988"/>
      <c r="B23" s="2986" t="s">
        <v>1669</v>
      </c>
      <c r="C23" s="2985"/>
    </row>
    <row r="24" spans="1:3" ht="13.5">
      <c r="A24" s="2988"/>
      <c r="B24" s="2986" t="s">
        <v>1670</v>
      </c>
      <c r="C24" s="2985"/>
    </row>
    <row r="25" spans="1:3" ht="13.5">
      <c r="A25" s="2988"/>
      <c r="B25" s="2987" t="s">
        <v>1671</v>
      </c>
      <c r="C25" s="1999" t="s">
        <v>1672</v>
      </c>
    </row>
    <row r="26" spans="1:3" ht="13.5">
      <c r="A26" s="2988"/>
      <c r="B26" s="2987"/>
      <c r="C26" s="1999" t="s">
        <v>1673</v>
      </c>
    </row>
    <row r="27" spans="1:3" ht="13.5">
      <c r="A27" s="2988"/>
      <c r="B27" s="2987"/>
      <c r="C27" s="1999" t="s">
        <v>1674</v>
      </c>
    </row>
    <row r="28" spans="1:3" ht="13.5">
      <c r="A28" s="2988"/>
      <c r="B28" s="2987"/>
      <c r="C28" s="1999" t="s">
        <v>1675</v>
      </c>
    </row>
    <row r="29" spans="1:3" ht="13.5">
      <c r="A29" s="2988"/>
      <c r="B29" s="2987"/>
      <c r="C29" s="1999" t="s">
        <v>1676</v>
      </c>
    </row>
    <row r="30" spans="1:3" ht="13.5">
      <c r="A30" s="2988"/>
      <c r="B30" s="2987"/>
      <c r="C30" s="1999" t="s">
        <v>1677</v>
      </c>
    </row>
    <row r="31" spans="1:3" ht="13.5">
      <c r="A31" s="2988"/>
      <c r="B31" s="2987"/>
      <c r="C31" s="1999" t="s">
        <v>1678</v>
      </c>
    </row>
    <row r="32" spans="1:3" ht="13.5">
      <c r="A32" s="2988"/>
      <c r="B32" s="2987"/>
      <c r="C32" s="1999" t="s">
        <v>1679</v>
      </c>
    </row>
    <row r="33" spans="1:3" ht="13.5">
      <c r="A33" s="2988"/>
      <c r="B33" s="2987"/>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98425196850393704" right="0.78740157480314965" top="0.98425196850393704" bottom="0.98425196850393704" header="0.59055118110236227" footer="0.78740157480314965"/>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43542</v>
      </c>
      <c r="C2" s="1019" t="s">
        <v>825</v>
      </c>
      <c r="D2" s="1019"/>
    </row>
    <row r="3" spans="1:6" ht="24" customHeight="1">
      <c r="A3" s="1020" t="s">
        <v>826</v>
      </c>
      <c r="B3" s="1021" t="s">
        <v>827</v>
      </c>
      <c r="C3" s="2347" t="s">
        <v>828</v>
      </c>
      <c r="D3" s="2350" t="s">
        <v>829</v>
      </c>
      <c r="E3" s="1022" t="s">
        <v>830</v>
      </c>
      <c r="F3" s="1021" t="s">
        <v>828</v>
      </c>
    </row>
    <row r="4" spans="1:6" ht="24" customHeight="1">
      <c r="A4" s="1701" t="s">
        <v>831</v>
      </c>
      <c r="B4" s="1022">
        <f ca="1">IF(C4&lt;B2,"已过期",1119970066)</f>
        <v>1119970066</v>
      </c>
      <c r="C4" s="2348">
        <v>43849</v>
      </c>
      <c r="D4" s="2351" t="s">
        <v>831</v>
      </c>
      <c r="E4" s="1022">
        <f ca="1">IF(F4&lt;B2,"已过期",96010014)</f>
        <v>96010014</v>
      </c>
      <c r="F4" s="1030">
        <v>47118</v>
      </c>
    </row>
    <row r="5" spans="1:6" ht="24" customHeight="1">
      <c r="A5" s="1701" t="s">
        <v>832</v>
      </c>
      <c r="B5" s="1022">
        <f ca="1">IF(C5&lt;B2,"已过期",1119970074)</f>
        <v>1119970074</v>
      </c>
      <c r="C5" s="2348">
        <v>43849</v>
      </c>
      <c r="D5" s="2351" t="s">
        <v>832</v>
      </c>
      <c r="E5" s="1022">
        <f ca="1">IF(F5&lt;B2,"已过期",2002110027)</f>
        <v>2002110027</v>
      </c>
      <c r="F5" s="1030">
        <v>46752</v>
      </c>
    </row>
    <row r="6" spans="1:6" ht="24" customHeight="1">
      <c r="A6" s="1701" t="s">
        <v>833</v>
      </c>
      <c r="B6" s="1022">
        <f ca="1">IF(C6&lt;B2,"已过期",1119970111)</f>
        <v>1119970111</v>
      </c>
      <c r="C6" s="2348">
        <v>43849</v>
      </c>
      <c r="D6" s="2351" t="s">
        <v>833</v>
      </c>
      <c r="E6" s="1022">
        <f ca="1">IF(F6&lt;B2,"已过期",94010078)</f>
        <v>94010078</v>
      </c>
      <c r="F6" s="1030">
        <v>46387</v>
      </c>
    </row>
    <row r="7" spans="1:6" ht="24" customHeight="1">
      <c r="A7" s="1701" t="s">
        <v>834</v>
      </c>
      <c r="B7" s="1022">
        <f ca="1">IF(C7&lt;B2,"已过期",1120050019)</f>
        <v>1120050019</v>
      </c>
      <c r="C7" s="2348">
        <v>44395</v>
      </c>
      <c r="D7" s="2351" t="s">
        <v>834</v>
      </c>
      <c r="E7" s="1022">
        <f ca="1">IF(F7&lt;B2,"已过期",2002110030)</f>
        <v>2002110030</v>
      </c>
      <c r="F7" s="1030">
        <v>46387</v>
      </c>
    </row>
    <row r="8" spans="1:6" ht="24" customHeight="1">
      <c r="A8" s="1701" t="s">
        <v>835</v>
      </c>
      <c r="B8" s="1022">
        <f ca="1">IF(C8&lt;B2,"已过期",1120000080)</f>
        <v>1120000080</v>
      </c>
      <c r="C8" s="2348">
        <v>43849</v>
      </c>
      <c r="D8" s="2351" t="s">
        <v>835</v>
      </c>
      <c r="E8" s="1022">
        <f ca="1">IF(F8&lt;B2,"已过期",2000110082)</f>
        <v>2000110082</v>
      </c>
      <c r="F8" s="1030">
        <v>46387</v>
      </c>
    </row>
    <row r="9" spans="1:6" ht="24" customHeight="1">
      <c r="A9" s="1701" t="s">
        <v>836</v>
      </c>
      <c r="B9" s="1022">
        <f ca="1">IF(C9&lt;B2,"已过期",1419970001)</f>
        <v>1419970001</v>
      </c>
      <c r="C9" s="2348">
        <v>43867</v>
      </c>
      <c r="D9" s="2351" t="s">
        <v>836</v>
      </c>
      <c r="E9" s="1022">
        <f ca="1">IF(F9&lt;B2,"已过期",2002110125)</f>
        <v>2002110125</v>
      </c>
      <c r="F9" s="1030">
        <v>47118</v>
      </c>
    </row>
    <row r="10" spans="1:6" ht="24" customHeight="1">
      <c r="A10" s="1701" t="s">
        <v>837</v>
      </c>
      <c r="B10" s="1022" t="str">
        <f ca="1">IF(C10&lt;B2,"已过期",1120060040)</f>
        <v>已过期</v>
      </c>
      <c r="C10" s="2348">
        <v>43483</v>
      </c>
      <c r="D10" s="2351" t="s">
        <v>837</v>
      </c>
      <c r="E10" s="1022">
        <f ca="1">IF(F10&lt;B2,"已过期",2004110096)</f>
        <v>2004110096</v>
      </c>
      <c r="F10" s="1030">
        <v>47118</v>
      </c>
    </row>
    <row r="11" spans="1:6" ht="24" customHeight="1">
      <c r="A11" s="1701" t="s">
        <v>838</v>
      </c>
      <c r="B11" s="1022">
        <f ca="1">IF(C11&lt;B2,"已过期",1120100036)</f>
        <v>1120100036</v>
      </c>
      <c r="C11" s="2348">
        <v>43622</v>
      </c>
      <c r="D11" s="2351" t="s">
        <v>838</v>
      </c>
      <c r="E11" s="1022">
        <f ca="1">IF(F11&lt;B2,"已过期",2010110070)</f>
        <v>2010110070</v>
      </c>
      <c r="F11" s="1030">
        <v>47907</v>
      </c>
    </row>
    <row r="12" spans="1:6" ht="24" customHeight="1">
      <c r="A12" s="1701"/>
      <c r="B12" s="1022"/>
      <c r="C12" s="2938"/>
      <c r="D12" s="1701"/>
      <c r="E12" s="1022"/>
      <c r="F12" s="1030"/>
    </row>
    <row r="13" spans="1:6" ht="24" customHeight="1">
      <c r="A13" s="1701" t="s">
        <v>839</v>
      </c>
      <c r="B13" s="1022">
        <f ca="1">IF(C13&lt;B2,"已过期",1120070131)</f>
        <v>1120070131</v>
      </c>
      <c r="C13" s="2348">
        <v>43814</v>
      </c>
      <c r="D13" s="2351" t="s">
        <v>839</v>
      </c>
      <c r="E13" s="1022">
        <f ca="1">IF(F13&lt;B2,"已过期",2014110011)</f>
        <v>2014110011</v>
      </c>
      <c r="F13" s="1030">
        <v>49302</v>
      </c>
    </row>
    <row r="14" spans="1:6" ht="24" customHeight="1">
      <c r="A14" s="1701" t="s">
        <v>2992</v>
      </c>
      <c r="B14" s="1022">
        <f ca="1">IF(C14&lt;B2,"已过期",1120040230)</f>
        <v>1120040230</v>
      </c>
      <c r="C14" s="2348">
        <v>43835</v>
      </c>
      <c r="D14" s="2351" t="s">
        <v>2992</v>
      </c>
      <c r="E14" s="1022">
        <f ca="1">IF(F14&lt;B2,"已过期",98030020)</f>
        <v>98030020</v>
      </c>
      <c r="F14" s="1030">
        <v>47118</v>
      </c>
    </row>
    <row r="15" spans="1:6" ht="24" customHeight="1">
      <c r="A15" s="1702" t="s">
        <v>2993</v>
      </c>
      <c r="B15" s="1022">
        <f ca="1">IF(C15&lt;B2,"已过期",1120070085)</f>
        <v>1120070085</v>
      </c>
      <c r="C15" s="2348">
        <v>43814</v>
      </c>
      <c r="D15" s="2352" t="s">
        <v>2993</v>
      </c>
      <c r="E15" s="1022">
        <f ca="1">IF(F15&lt;B2,"已过期",2004110128)</f>
        <v>2004110128</v>
      </c>
      <c r="F15" s="1023">
        <v>47118</v>
      </c>
    </row>
    <row r="16" spans="1:6" ht="24" customHeight="1">
      <c r="A16" s="1701" t="s">
        <v>2994</v>
      </c>
      <c r="B16" s="1022">
        <f ca="1">IF(C16&lt;B2,"已过期",1120140022)</f>
        <v>1120140022</v>
      </c>
      <c r="C16" s="2938">
        <v>44029</v>
      </c>
      <c r="D16" s="2351" t="s">
        <v>2994</v>
      </c>
      <c r="E16" s="1022">
        <f ca="1">IF(F16&lt;B2,"已过期",2008110059)</f>
        <v>2008110059</v>
      </c>
      <c r="F16" s="1030">
        <v>47177</v>
      </c>
    </row>
    <row r="17" spans="1:7" ht="24" customHeight="1">
      <c r="A17" s="1701"/>
      <c r="B17" s="1022"/>
      <c r="C17" s="2348"/>
      <c r="D17" s="2351" t="s">
        <v>2995</v>
      </c>
      <c r="E17" s="1022">
        <f ca="1">IF(F17&lt;B2,"已过期",2014110076)</f>
        <v>2014110076</v>
      </c>
      <c r="F17" s="1030">
        <v>49302</v>
      </c>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840</v>
      </c>
      <c r="E21" s="1022">
        <f ca="1">IF(F21&lt;B2,"已过期",2011110090)</f>
        <v>2011110090</v>
      </c>
      <c r="F21" s="1030">
        <v>48302</v>
      </c>
    </row>
    <row r="22" spans="1:7" ht="24" customHeight="1">
      <c r="A22" s="1701" t="s">
        <v>841</v>
      </c>
      <c r="B22" s="1022">
        <f ca="1">IF(C22&lt;B2,"已过期",1120020033)</f>
        <v>1120020033</v>
      </c>
      <c r="C22" s="2938">
        <v>44339</v>
      </c>
      <c r="D22" s="2351" t="s">
        <v>841</v>
      </c>
      <c r="E22" s="1022">
        <f ca="1">IF(F22&lt;B2,"已过期",2000110137)</f>
        <v>2000110137</v>
      </c>
      <c r="F22" s="1030">
        <v>46387</v>
      </c>
    </row>
    <row r="23" spans="1:7" ht="24" customHeight="1">
      <c r="A23" s="1701"/>
      <c r="B23" s="1022"/>
      <c r="C23" s="2348"/>
      <c r="D23" s="2351"/>
      <c r="E23" s="1022"/>
      <c r="F23" s="1022"/>
    </row>
    <row r="24" spans="1:7" s="1024" customFormat="1" ht="24" customHeight="1">
      <c r="A24" s="1702" t="s">
        <v>1325</v>
      </c>
      <c r="B24" s="1702" t="s">
        <v>1325</v>
      </c>
      <c r="C24" s="2349" t="s">
        <v>1325</v>
      </c>
      <c r="D24" s="2352" t="s">
        <v>1325</v>
      </c>
      <c r="E24" s="1702" t="s">
        <v>1325</v>
      </c>
      <c r="F24" s="1702" t="s">
        <v>1325</v>
      </c>
    </row>
    <row r="25" spans="1:7" ht="24" customHeight="1">
      <c r="A25" s="2992" t="s">
        <v>842</v>
      </c>
      <c r="B25" s="2992"/>
      <c r="C25" s="2992"/>
      <c r="D25" s="2992"/>
      <c r="E25" s="2992"/>
      <c r="F25" s="2992"/>
      <c r="G25" s="2992"/>
    </row>
    <row r="26" spans="1:7" s="1025" customFormat="1" ht="24" customHeight="1">
      <c r="A26" s="2993" t="s">
        <v>843</v>
      </c>
      <c r="B26" s="2993"/>
      <c r="C26" s="2994"/>
      <c r="D26" s="2995" t="s">
        <v>844</v>
      </c>
      <c r="E26" s="2993"/>
      <c r="F26" s="2993"/>
    </row>
    <row r="27" spans="1:7" s="1027" customFormat="1" ht="24" customHeight="1">
      <c r="A27" s="1026" t="s">
        <v>845</v>
      </c>
      <c r="B27" s="1021" t="s">
        <v>846</v>
      </c>
      <c r="C27" s="2347" t="s">
        <v>847</v>
      </c>
      <c r="D27" s="2355" t="s">
        <v>845</v>
      </c>
      <c r="E27" s="1021" t="s">
        <v>846</v>
      </c>
      <c r="F27" s="1021" t="s">
        <v>847</v>
      </c>
    </row>
    <row r="28" spans="1:7" s="1027" customFormat="1" ht="24" customHeight="1">
      <c r="A28" s="1028" t="s">
        <v>848</v>
      </c>
      <c r="B28" s="1029" t="s">
        <v>849</v>
      </c>
      <c r="C28" s="2353">
        <v>43725</v>
      </c>
      <c r="D28" s="2356" t="s">
        <v>850</v>
      </c>
      <c r="E28" s="1028" t="s">
        <v>851</v>
      </c>
      <c r="F28" s="1058">
        <v>44377</v>
      </c>
    </row>
    <row r="29" spans="1:7" s="1027" customFormat="1" ht="24" customHeight="1">
      <c r="A29" s="1028"/>
      <c r="B29" s="1028"/>
      <c r="C29" s="2354"/>
      <c r="D29" s="2356"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比较法-办公</vt:lpstr>
      <vt:lpstr>成本法</vt:lpstr>
      <vt:lpstr>成本法 (元)</vt:lpstr>
      <vt:lpstr>假设开发法</vt:lpstr>
      <vt:lpstr>收益法-办公</vt:lpstr>
      <vt:lpstr>收益法 (元)</vt:lpstr>
      <vt:lpstr>收益法（汇总）</vt:lpstr>
      <vt:lpstr>收益法-商业</vt:lpstr>
      <vt:lpstr>收益法-酒店</vt:lpstr>
      <vt:lpstr>收益法-地下车库</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办公案例</vt:lpstr>
      <vt:lpstr>商业案例</vt:lpstr>
      <vt:lpstr>酒店案例</vt:lpstr>
      <vt:lpstr>车库案例</vt:lpstr>
      <vt:lpstr>工程进度</vt:lpstr>
      <vt:lpstr>估价师及机构信息!Print_Area</vt:lpstr>
      <vt:lpstr>'收益法 (元)'!Print_Area</vt:lpstr>
      <vt:lpstr>'收益法-办公'!Print_Area</vt:lpstr>
      <vt:lpstr>'收益法-地下车库'!Print_Area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2019-03-18T02:31:18Z</dcterms:modified>
</cp:coreProperties>
</file>