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580" windowHeight="640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剩余法-待开发" sheetId="12" r:id="rId19"/>
    <sheet name="剩余法-现房" sheetId="43" state="hidden" r:id="rId20"/>
    <sheet name="比较法-住宅、综合" sheetId="39" state="hidden" r:id="rId21"/>
    <sheet name="比较法-工业" sheetId="40"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externalReferences>
    <externalReference r:id="rId41"/>
  </externalReferences>
  <definedNames>
    <definedName name="_xlnm._FilterDatabase" localSheetId="21" hidden="1">'比较法-工业'!$A$1:$L$45</definedName>
    <definedName name="_xlnm._FilterDatabase" localSheetId="20"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15" i="66" l="1"/>
  <c r="I13" i="3"/>
  <c r="F1" i="46"/>
  <c r="F19" i="6"/>
  <c r="D29" i="46"/>
  <c r="AH5" i="59"/>
  <c r="AG5" i="59"/>
  <c r="AE5" i="59"/>
  <c r="AF5" i="59"/>
  <c r="AD5" i="59"/>
  <c r="Q5" i="59"/>
  <c r="P5" i="59"/>
  <c r="O5" i="59"/>
  <c r="N5" i="59"/>
  <c r="L3" i="59"/>
  <c r="AH3" i="59"/>
  <c r="K3" i="59"/>
  <c r="AG3" i="59"/>
  <c r="J3" i="59"/>
  <c r="I3" i="59"/>
  <c r="AD3" i="59"/>
  <c r="AH6" i="59"/>
  <c r="AG6" i="59"/>
  <c r="AE6" i="59"/>
  <c r="AF6" i="59"/>
  <c r="AD6" i="59"/>
  <c r="Q6" i="59"/>
  <c r="Q7" i="59"/>
  <c r="P6" i="59"/>
  <c r="P7" i="59"/>
  <c r="O6" i="59"/>
  <c r="O7" i="59"/>
  <c r="N6" i="59"/>
  <c r="N7" i="59"/>
  <c r="AH7" i="59"/>
  <c r="AG7" i="59"/>
  <c r="AE7" i="59"/>
  <c r="AF7" i="59"/>
  <c r="AD7" i="59"/>
  <c r="Q8" i="59"/>
  <c r="P8" i="59"/>
  <c r="O8" i="59"/>
  <c r="N8" i="59"/>
  <c r="J50" i="15"/>
  <c r="D10" i="59"/>
  <c r="AH8" i="59"/>
  <c r="AG8" i="59"/>
  <c r="AE8" i="59"/>
  <c r="AF8" i="59"/>
  <c r="AD8" i="59"/>
  <c r="AE9" i="59"/>
  <c r="AF9" i="59"/>
  <c r="AG9" i="59"/>
  <c r="AH9" i="59"/>
  <c r="AD9" i="59"/>
  <c r="Q9" i="59"/>
  <c r="P9" i="59"/>
  <c r="E9" i="59"/>
  <c r="O9" i="59"/>
  <c r="N9" i="59"/>
  <c r="N10" i="59"/>
  <c r="Q10" i="59"/>
  <c r="P10" i="59"/>
  <c r="O10" i="59"/>
  <c r="K59" i="15"/>
  <c r="P62" i="15"/>
  <c r="Q74" i="44"/>
  <c r="Q61" i="44"/>
  <c r="Q60" i="44"/>
  <c r="Q53" i="44"/>
  <c r="J51" i="44"/>
  <c r="J52" i="44"/>
  <c r="M48" i="44"/>
  <c r="A16" i="55"/>
  <c r="B67" i="63"/>
  <c r="A15" i="55"/>
  <c r="A10" i="55"/>
  <c r="B61" i="63"/>
  <c r="A9" i="55"/>
  <c r="A8" i="55"/>
  <c r="B59" i="63"/>
  <c r="A6" i="54"/>
  <c r="B49" i="63"/>
  <c r="A8" i="54"/>
  <c r="A7" i="54"/>
  <c r="B51" i="63"/>
  <c r="A27" i="51"/>
  <c r="Q11" i="59"/>
  <c r="O11" i="59"/>
  <c r="N12" i="59"/>
  <c r="O12" i="59"/>
  <c r="P12" i="59"/>
  <c r="Q12" i="59"/>
  <c r="N11" i="59"/>
  <c r="P11" i="59"/>
  <c r="K75" i="9"/>
  <c r="K6" i="4"/>
  <c r="B22" i="31"/>
  <c r="E16" i="66"/>
  <c r="F16" i="66"/>
  <c r="E17" i="66"/>
  <c r="F17" i="66"/>
  <c r="E18" i="66"/>
  <c r="F18" i="66"/>
  <c r="E19" i="66"/>
  <c r="F19" i="66"/>
  <c r="E20" i="66"/>
  <c r="F20" i="66"/>
  <c r="E21" i="66"/>
  <c r="F21" i="66"/>
  <c r="E22" i="66"/>
  <c r="F22" i="66"/>
  <c r="E23" i="66"/>
  <c r="F23" i="66"/>
  <c r="B3" i="66"/>
  <c r="B9" i="59"/>
  <c r="B8" i="59"/>
  <c r="B7" i="59"/>
  <c r="F9" i="59"/>
  <c r="S9" i="59"/>
  <c r="AE3" i="59"/>
  <c r="AF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T9" i="59"/>
  <c r="C3" i="65"/>
  <c r="C1" i="65"/>
  <c r="N1" i="65"/>
  <c r="H1" i="65"/>
  <c r="B76" i="63"/>
  <c r="M5" i="54"/>
  <c r="B41" i="63"/>
  <c r="A23" i="51"/>
  <c r="Y12" i="46"/>
  <c r="AA9" i="46"/>
  <c r="AA12" i="46"/>
  <c r="AB9" i="46"/>
  <c r="AC9" i="46"/>
  <c r="AC10" i="46"/>
  <c r="AD9" i="46"/>
  <c r="AE9" i="46"/>
  <c r="AE12" i="46"/>
  <c r="AF9" i="46"/>
  <c r="AG9" i="46"/>
  <c r="AG10" i="46"/>
  <c r="AH9" i="46"/>
  <c r="AI9" i="46"/>
  <c r="AI12" i="46"/>
  <c r="AJ9" i="46"/>
  <c r="Z9" i="46"/>
  <c r="Z10" i="46"/>
  <c r="AI10" i="46"/>
  <c r="AE10" i="46"/>
  <c r="AA10" i="46"/>
  <c r="Y10" i="46"/>
  <c r="Z12" i="46"/>
  <c r="AG12" i="46"/>
  <c r="AC12" i="46"/>
  <c r="B73" i="63"/>
  <c r="A21" i="64"/>
  <c r="B75" i="63"/>
  <c r="A27" i="64"/>
  <c r="A15" i="64"/>
  <c r="A14" i="64"/>
  <c r="A11" i="64"/>
  <c r="A3" i="64"/>
  <c r="A45" i="9"/>
  <c r="A44" i="9"/>
  <c r="C57" i="10"/>
  <c r="C56" i="10"/>
  <c r="C55" i="10"/>
  <c r="C54" i="10"/>
  <c r="B44" i="63"/>
  <c r="B40" i="63"/>
  <c r="B30" i="63"/>
  <c r="B27" i="63"/>
  <c r="B25" i="63"/>
  <c r="A11" i="51"/>
  <c r="K39" i="9"/>
  <c r="K40" i="9"/>
  <c r="B58" i="63"/>
  <c r="B53" i="63"/>
  <c r="A46" i="9"/>
  <c r="K41" i="9"/>
  <c r="B8" i="63"/>
  <c r="A21" i="55"/>
  <c r="B71" i="63"/>
  <c r="A20" i="55"/>
  <c r="B69" i="63"/>
  <c r="B26" i="63"/>
  <c r="B28" i="63"/>
  <c r="B29" i="63"/>
  <c r="B31" i="63"/>
  <c r="B33" i="63"/>
  <c r="B35" i="63"/>
  <c r="B36" i="63"/>
  <c r="B37" i="63"/>
  <c r="B63" i="63"/>
  <c r="B64" i="63"/>
  <c r="B68" i="63"/>
  <c r="D51" i="10"/>
  <c r="B60" i="63"/>
  <c r="B10" i="63"/>
  <c r="B51" i="10"/>
  <c r="B20" i="63"/>
  <c r="B17" i="63"/>
  <c r="A15" i="51"/>
  <c r="B12" i="63"/>
  <c r="A14" i="51"/>
  <c r="B11" i="63"/>
  <c r="B66" i="63"/>
  <c r="A4" i="55"/>
  <c r="B57" i="63"/>
  <c r="G5" i="54"/>
  <c r="B34" i="63"/>
  <c r="E5" i="54"/>
  <c r="B32" i="63"/>
  <c r="R2" i="54"/>
  <c r="B24" i="63"/>
  <c r="B49" i="50"/>
  <c r="B5" i="63"/>
  <c r="B40" i="50"/>
  <c r="B3" i="63"/>
  <c r="I19" i="46"/>
  <c r="Q13" i="59"/>
  <c r="P13" i="59"/>
  <c r="E13" i="59"/>
  <c r="U13" i="59"/>
  <c r="O13" i="59"/>
  <c r="N13" i="59"/>
  <c r="B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C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E53" i="59"/>
  <c r="C53" i="59"/>
  <c r="B53" i="59"/>
  <c r="F52" i="59"/>
  <c r="F51" i="59"/>
  <c r="D50" i="59"/>
  <c r="Q49" i="59"/>
  <c r="P49" i="59"/>
  <c r="O49" i="59"/>
  <c r="N49" i="59"/>
  <c r="Q48" i="59"/>
  <c r="P48" i="59"/>
  <c r="O48" i="59"/>
  <c r="N48" i="59"/>
  <c r="Q47" i="59"/>
  <c r="P47" i="59"/>
  <c r="O47" i="59"/>
  <c r="N47" i="59"/>
  <c r="Q46" i="59"/>
  <c r="F47" i="59"/>
  <c r="F48" i="59"/>
  <c r="F49" i="59"/>
  <c r="V49" i="59"/>
  <c r="P46" i="59"/>
  <c r="E47" i="59"/>
  <c r="E48" i="59"/>
  <c r="E49" i="59"/>
  <c r="U49" i="59"/>
  <c r="O46" i="59"/>
  <c r="C47" i="59"/>
  <c r="D47" i="59"/>
  <c r="N46" i="59"/>
  <c r="B47" i="59"/>
  <c r="B48" i="59"/>
  <c r="B49" i="59"/>
  <c r="S49" i="59"/>
  <c r="D46" i="59"/>
  <c r="Q45" i="59"/>
  <c r="P45" i="59"/>
  <c r="O45" i="59"/>
  <c r="N45" i="59"/>
  <c r="Q44" i="59"/>
  <c r="P44" i="59"/>
  <c r="O44" i="59"/>
  <c r="N44" i="59"/>
  <c r="Q43" i="59"/>
  <c r="P43" i="59"/>
  <c r="O43" i="59"/>
  <c r="N43" i="59"/>
  <c r="Q42" i="59"/>
  <c r="F43" i="59"/>
  <c r="F44" i="59"/>
  <c r="F45"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P38" i="59"/>
  <c r="E39" i="59"/>
  <c r="E40" i="59"/>
  <c r="E41" i="59"/>
  <c r="U41" i="59"/>
  <c r="O38" i="59"/>
  <c r="C39" i="59"/>
  <c r="D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C36" i="59"/>
  <c r="D36" i="59"/>
  <c r="N34" i="59"/>
  <c r="B35" i="59"/>
  <c r="D34" i="59"/>
  <c r="T33" i="59"/>
  <c r="Q33" i="59"/>
  <c r="P33" i="59"/>
  <c r="O33" i="59"/>
  <c r="N33" i="59"/>
  <c r="D33" i="59"/>
  <c r="Q32" i="59"/>
  <c r="P32" i="59"/>
  <c r="O32" i="59"/>
  <c r="N32" i="59"/>
  <c r="Q31" i="59"/>
  <c r="P31" i="59"/>
  <c r="O31" i="59"/>
  <c r="N31" i="59"/>
  <c r="Q30" i="59"/>
  <c r="F31" i="59"/>
  <c r="F32" i="59"/>
  <c r="F33" i="59"/>
  <c r="V33" i="59"/>
  <c r="P30" i="59"/>
  <c r="E31" i="59"/>
  <c r="E32" i="59"/>
  <c r="E33" i="59"/>
  <c r="U33" i="59"/>
  <c r="O30" i="59"/>
  <c r="C31" i="59"/>
  <c r="C32" i="59"/>
  <c r="D32" i="59"/>
  <c r="N30" i="59"/>
  <c r="B31" i="59"/>
  <c r="B32" i="59"/>
  <c r="B33" i="59"/>
  <c r="S33" i="59"/>
  <c r="D30" i="59"/>
  <c r="Q29" i="59"/>
  <c r="P29" i="59"/>
  <c r="O29" i="59"/>
  <c r="N29" i="59"/>
  <c r="Q28" i="59"/>
  <c r="P28" i="59"/>
  <c r="O28" i="59"/>
  <c r="N28" i="59"/>
  <c r="Q27" i="59"/>
  <c r="P27" i="59"/>
  <c r="O27" i="59"/>
  <c r="N27" i="59"/>
  <c r="Q26" i="59"/>
  <c r="F27" i="59"/>
  <c r="F28"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AB23" i="59"/>
  <c r="P23" i="59"/>
  <c r="AA23" i="59"/>
  <c r="O23" i="59"/>
  <c r="N23" i="59"/>
  <c r="X23" i="59"/>
  <c r="Q22" i="59"/>
  <c r="AB22" i="59"/>
  <c r="F23" i="59"/>
  <c r="P22" i="59"/>
  <c r="E23" i="59"/>
  <c r="E24" i="59"/>
  <c r="E25" i="59"/>
  <c r="U25" i="59"/>
  <c r="O22" i="59"/>
  <c r="N22" i="59"/>
  <c r="D22" i="59"/>
  <c r="Q21" i="59"/>
  <c r="AB21" i="59"/>
  <c r="P21" i="59"/>
  <c r="O21" i="59"/>
  <c r="N21" i="59"/>
  <c r="Q20" i="59"/>
  <c r="AB20" i="59"/>
  <c r="P20" i="59"/>
  <c r="AA20" i="59"/>
  <c r="O20" i="59"/>
  <c r="N20" i="59"/>
  <c r="Q19" i="59"/>
  <c r="AB19" i="59"/>
  <c r="P19" i="59"/>
  <c r="O19" i="59"/>
  <c r="N19" i="59"/>
  <c r="Q18" i="59"/>
  <c r="P18" i="59"/>
  <c r="AA13" i="59"/>
  <c r="O18" i="59"/>
  <c r="C19" i="59"/>
  <c r="N18" i="59"/>
  <c r="B19" i="59"/>
  <c r="B20" i="59"/>
  <c r="B21" i="59"/>
  <c r="S21" i="59"/>
  <c r="D18" i="59"/>
  <c r="Q17" i="59"/>
  <c r="AB17" i="59"/>
  <c r="P17" i="59"/>
  <c r="O17" i="59"/>
  <c r="N17" i="59"/>
  <c r="Q16" i="59"/>
  <c r="P16" i="59"/>
  <c r="O16" i="59"/>
  <c r="N16" i="59"/>
  <c r="Q15" i="59"/>
  <c r="AB15" i="59"/>
  <c r="P15" i="59"/>
  <c r="O15" i="59"/>
  <c r="N15" i="59"/>
  <c r="Q14" i="59"/>
  <c r="F15" i="59"/>
  <c r="F16" i="59"/>
  <c r="F17" i="59"/>
  <c r="V17" i="59"/>
  <c r="P14" i="59"/>
  <c r="O14" i="59"/>
  <c r="N14" i="59"/>
  <c r="D14" i="59"/>
  <c r="AA3" i="59"/>
  <c r="E15" i="59"/>
  <c r="E16" i="59"/>
  <c r="E17" i="59"/>
  <c r="U17" i="59"/>
  <c r="E36" i="59"/>
  <c r="E37" i="59"/>
  <c r="U37" i="59"/>
  <c r="AA24" i="59"/>
  <c r="F24" i="59"/>
  <c r="F25" i="59"/>
  <c r="F29" i="59"/>
  <c r="V29" i="59"/>
  <c r="F41" i="59"/>
  <c r="V41" i="59"/>
  <c r="V45" i="59"/>
  <c r="D31" i="59"/>
  <c r="D43" i="59"/>
  <c r="D19" i="59"/>
  <c r="O53" i="59"/>
  <c r="C52" i="59"/>
  <c r="O52" i="59"/>
  <c r="U53" i="59"/>
  <c r="C56" i="59"/>
  <c r="E56" i="59"/>
  <c r="E55" i="59"/>
  <c r="D57" i="59"/>
  <c r="C60" i="59"/>
  <c r="C64" i="59"/>
  <c r="D64" i="59"/>
  <c r="E64" i="59"/>
  <c r="E63" i="59"/>
  <c r="D65" i="59"/>
  <c r="C68" i="59"/>
  <c r="C67" i="59"/>
  <c r="C72" i="59"/>
  <c r="D72" i="59"/>
  <c r="U16" i="4"/>
  <c r="S16" i="4"/>
  <c r="Q16" i="4"/>
  <c r="O16" i="4"/>
  <c r="N16" i="4"/>
  <c r="M16" i="4"/>
  <c r="K16" i="4"/>
  <c r="C71" i="59"/>
  <c r="D71" i="59"/>
  <c r="C63" i="59"/>
  <c r="D63" i="59"/>
  <c r="D68" i="59"/>
  <c r="D67" i="59"/>
  <c r="O27" i="6"/>
  <c r="N27" i="6"/>
  <c r="P26" i="6"/>
  <c r="L26" i="6"/>
  <c r="P25" i="6"/>
  <c r="L25" i="6"/>
  <c r="P24" i="6"/>
  <c r="L24" i="6"/>
  <c r="P23" i="6"/>
  <c r="L23" i="6"/>
  <c r="P22" i="6"/>
  <c r="L22" i="6"/>
  <c r="P21" i="6"/>
  <c r="L21" i="6"/>
  <c r="P20" i="6"/>
  <c r="P19" i="6"/>
  <c r="P27" i="6"/>
  <c r="Q18" i="36"/>
  <c r="Z18" i="36"/>
  <c r="C18" i="36"/>
  <c r="D66" i="36"/>
  <c r="F18" i="36"/>
  <c r="Q18" i="35"/>
  <c r="Z18" i="35"/>
  <c r="F18" i="35"/>
  <c r="AA18" i="35"/>
  <c r="C18" i="35"/>
  <c r="D68" i="35"/>
  <c r="E68" i="35"/>
  <c r="F68" i="35"/>
  <c r="G68" i="35"/>
  <c r="Q21" i="37"/>
  <c r="Z21" i="37"/>
  <c r="F21" i="37"/>
  <c r="C21" i="37"/>
  <c r="D77" i="37"/>
  <c r="E77" i="37"/>
  <c r="F77" i="37"/>
  <c r="G77" i="37"/>
  <c r="Q21" i="34"/>
  <c r="Z21" i="34"/>
  <c r="C21" i="34"/>
  <c r="D84" i="34"/>
  <c r="E84" i="34"/>
  <c r="F84" i="34"/>
  <c r="G84" i="34"/>
  <c r="F21" i="34"/>
  <c r="AA21" i="34"/>
  <c r="Z21" i="33"/>
  <c r="Q21" i="33"/>
  <c r="C21" i="33"/>
  <c r="D83" i="33"/>
  <c r="E83" i="33"/>
  <c r="F83" i="33"/>
  <c r="G83" i="33"/>
  <c r="Q21" i="21"/>
  <c r="Z21" i="21"/>
  <c r="D83" i="21"/>
  <c r="E83" i="21"/>
  <c r="F83" i="21"/>
  <c r="G83" i="21"/>
  <c r="F21" i="21"/>
  <c r="C21" i="21"/>
  <c r="Q27" i="40"/>
  <c r="Z27" i="40"/>
  <c r="D96" i="40"/>
  <c r="E96" i="40"/>
  <c r="F96" i="40"/>
  <c r="F27" i="40"/>
  <c r="AA27" i="40"/>
  <c r="Q31" i="39"/>
  <c r="Z31" i="39"/>
  <c r="D105" i="39"/>
  <c r="E105" i="39"/>
  <c r="F105" i="39"/>
  <c r="F31" i="39"/>
  <c r="G20" i="20"/>
  <c r="B85" i="46"/>
  <c r="C22" i="20"/>
  <c r="S18" i="35"/>
  <c r="C31" i="39"/>
  <c r="E66" i="36"/>
  <c r="H18" i="35"/>
  <c r="J18" i="35"/>
  <c r="H21" i="37"/>
  <c r="J21" i="37"/>
  <c r="J21" i="34"/>
  <c r="H21" i="34"/>
  <c r="F21" i="33"/>
  <c r="H21" i="33"/>
  <c r="J21" i="33"/>
  <c r="H21" i="21"/>
  <c r="J21" i="21"/>
  <c r="H27" i="40"/>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C30" i="57"/>
  <c r="E26" i="57"/>
  <c r="C112" i="9"/>
  <c r="C7" i="11"/>
  <c r="D1" i="46"/>
  <c r="F113" i="46"/>
  <c r="D99" i="46"/>
  <c r="D108" i="46"/>
  <c r="E99" i="46"/>
  <c r="E108" i="46"/>
  <c r="F99" i="46"/>
  <c r="F100" i="46"/>
  <c r="G99" i="46"/>
  <c r="G108" i="46"/>
  <c r="H99" i="46"/>
  <c r="H108" i="46"/>
  <c r="I99" i="46"/>
  <c r="I108" i="46"/>
  <c r="J99" i="46"/>
  <c r="J108" i="46"/>
  <c r="K99" i="46"/>
  <c r="L99" i="46"/>
  <c r="L100" i="46"/>
  <c r="M99" i="46"/>
  <c r="M108" i="46"/>
  <c r="N99" i="46"/>
  <c r="N108" i="46"/>
  <c r="C99" i="46"/>
  <c r="C108" i="46"/>
  <c r="L108" i="46"/>
  <c r="D100" i="46"/>
  <c r="K58" i="46"/>
  <c r="J58" i="46"/>
  <c r="D58" i="46"/>
  <c r="K50" i="46"/>
  <c r="J50" i="46"/>
  <c r="D77" i="46"/>
  <c r="B83" i="46"/>
  <c r="B82" i="46"/>
  <c r="B71" i="46"/>
  <c r="B60" i="46"/>
  <c r="B49"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J55" i="46"/>
  <c r="D55" i="46"/>
  <c r="D75" i="46"/>
  <c r="D66"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B15" i="52"/>
  <c r="I2" i="46"/>
  <c r="N12" i="46"/>
  <c r="A7" i="46"/>
  <c r="F41" i="4"/>
  <c r="J52" i="40"/>
  <c r="H61" i="49"/>
  <c r="H39" i="46"/>
  <c r="H38" i="46"/>
  <c r="H37" i="46"/>
  <c r="H36" i="46"/>
  <c r="H35" i="46"/>
  <c r="H34" i="46"/>
  <c r="H33" i="46"/>
  <c r="J20" i="46"/>
  <c r="C18" i="46"/>
  <c r="G17" i="46"/>
  <c r="F15" i="46"/>
  <c r="E15" i="46"/>
  <c r="D15" i="46"/>
  <c r="C15" i="46"/>
  <c r="C12"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H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A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A569" i="3"/>
  <c r="BD569" i="3"/>
  <c r="BE569" i="3"/>
  <c r="BF569" i="3"/>
  <c r="BG569" i="3"/>
  <c r="BH569" i="3"/>
  <c r="BI569" i="3"/>
  <c r="BJ569" i="3"/>
  <c r="BK569" i="3"/>
  <c r="BM569" i="3"/>
  <c r="BN569" i="3"/>
  <c r="BL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AB31" i="35"/>
  <c r="F31" i="35"/>
  <c r="D87" i="35"/>
  <c r="E87" i="35"/>
  <c r="F87" i="35"/>
  <c r="G87" i="35"/>
  <c r="H87" i="35"/>
  <c r="I87" i="35"/>
  <c r="J87" i="35"/>
  <c r="K87" i="35"/>
  <c r="L87" i="35"/>
  <c r="M87" i="35"/>
  <c r="H34" i="37"/>
  <c r="AB34" i="37"/>
  <c r="D101" i="37"/>
  <c r="F34" i="37"/>
  <c r="AA34" i="37"/>
  <c r="D99" i="37"/>
  <c r="E99" i="37"/>
  <c r="H42" i="34"/>
  <c r="J42" i="34"/>
  <c r="F42" i="34"/>
  <c r="AA42" i="34"/>
  <c r="J38" i="34"/>
  <c r="D114" i="34"/>
  <c r="E114" i="34"/>
  <c r="F114" i="34"/>
  <c r="G114" i="34"/>
  <c r="H114" i="34"/>
  <c r="I114" i="34"/>
  <c r="J114" i="34"/>
  <c r="K114" i="34"/>
  <c r="L114" i="34"/>
  <c r="M114" i="34"/>
  <c r="F38" i="34"/>
  <c r="D112" i="34"/>
  <c r="E112" i="34"/>
  <c r="F112" i="34"/>
  <c r="G112" i="34"/>
  <c r="H112" i="34"/>
  <c r="I112" i="34"/>
  <c r="J112" i="34"/>
  <c r="K112" i="34"/>
  <c r="L112" i="34"/>
  <c r="M112" i="34"/>
  <c r="F40" i="33"/>
  <c r="J41" i="33"/>
  <c r="AC41" i="33"/>
  <c r="D113" i="33"/>
  <c r="E113" i="33"/>
  <c r="F113" i="33"/>
  <c r="G113" i="33"/>
  <c r="H113" i="33"/>
  <c r="I113" i="33"/>
  <c r="J113" i="33"/>
  <c r="K113" i="33"/>
  <c r="L113" i="33"/>
  <c r="M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B110" i="37"/>
  <c r="J39" i="37"/>
  <c r="AC39" i="37"/>
  <c r="B108" i="37"/>
  <c r="C23" i="37"/>
  <c r="C19" i="37"/>
  <c r="C17" i="37"/>
  <c r="C15" i="37"/>
  <c r="B112" i="37"/>
  <c r="H40"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F28" i="37"/>
  <c r="AA28" i="37"/>
  <c r="B84" i="37"/>
  <c r="H27" i="37"/>
  <c r="U27" i="37"/>
  <c r="B82" i="37"/>
  <c r="J26" i="37"/>
  <c r="W26" i="37"/>
  <c r="D79" i="37"/>
  <c r="E79" i="37"/>
  <c r="D75" i="37"/>
  <c r="E75" i="37"/>
  <c r="F75" i="37"/>
  <c r="D73" i="37"/>
  <c r="E73" i="37"/>
  <c r="F73" i="37"/>
  <c r="G73" i="37"/>
  <c r="D71" i="37"/>
  <c r="E71" i="37"/>
  <c r="F71" i="37"/>
  <c r="G71" i="37"/>
  <c r="F15" i="37"/>
  <c r="AA15" i="37"/>
  <c r="B68" i="37"/>
  <c r="H14" i="37"/>
  <c r="U14" i="37"/>
  <c r="B66" i="37"/>
  <c r="H13" i="37"/>
  <c r="AB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U34" i="36"/>
  <c r="D83" i="36"/>
  <c r="E83" i="36"/>
  <c r="F83" i="36"/>
  <c r="G83" i="36"/>
  <c r="H83" i="36"/>
  <c r="I83" i="36"/>
  <c r="J83" i="36"/>
  <c r="K83" i="36"/>
  <c r="L83" i="36"/>
  <c r="M83" i="36"/>
  <c r="D78" i="36"/>
  <c r="J26" i="36"/>
  <c r="W26" i="36"/>
  <c r="B75" i="36"/>
  <c r="J25" i="36"/>
  <c r="W25" i="36"/>
  <c r="B73" i="36"/>
  <c r="J24" i="36"/>
  <c r="W24" i="36"/>
  <c r="B71" i="36"/>
  <c r="J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H23" i="36"/>
  <c r="AB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F13" i="35"/>
  <c r="S13" i="35"/>
  <c r="B59" i="35"/>
  <c r="H12" i="35"/>
  <c r="B131" i="34"/>
  <c r="H47" i="34"/>
  <c r="U47" i="34"/>
  <c r="B129" i="34"/>
  <c r="B127" i="34"/>
  <c r="H45" i="34"/>
  <c r="U45" i="34"/>
  <c r="B99" i="34"/>
  <c r="B97" i="34"/>
  <c r="J31" i="34"/>
  <c r="B95" i="34"/>
  <c r="B93" i="34"/>
  <c r="J29" i="34"/>
  <c r="AC29" i="34"/>
  <c r="B75" i="34"/>
  <c r="B73" i="34"/>
  <c r="H13" i="34"/>
  <c r="U13" i="34"/>
  <c r="B71" i="34"/>
  <c r="B130" i="33"/>
  <c r="J46" i="33"/>
  <c r="B128" i="33"/>
  <c r="H45" i="33"/>
  <c r="U45" i="33"/>
  <c r="B126" i="33"/>
  <c r="B98" i="33"/>
  <c r="F31" i="33"/>
  <c r="B96" i="33"/>
  <c r="F30" i="33"/>
  <c r="B94" i="33"/>
  <c r="B74" i="33"/>
  <c r="H14" i="33"/>
  <c r="U14" i="33"/>
  <c r="B72" i="33"/>
  <c r="B70" i="33"/>
  <c r="J12" i="33"/>
  <c r="W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AA12" i="35"/>
  <c r="Q11" i="35"/>
  <c r="Z11" i="35"/>
  <c r="Q10" i="35"/>
  <c r="Z10" i="35"/>
  <c r="Q9" i="35"/>
  <c r="Z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S8" i="33"/>
  <c r="C7" i="33"/>
  <c r="C58" i="33"/>
  <c r="D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J45" i="21"/>
  <c r="B126" i="21"/>
  <c r="B98" i="21"/>
  <c r="J31" i="21"/>
  <c r="AC31" i="21"/>
  <c r="B96" i="21"/>
  <c r="B94" i="21"/>
  <c r="J29" i="21"/>
  <c r="AC29" i="21"/>
  <c r="B92" i="21"/>
  <c r="B90" i="21"/>
  <c r="H27" i="21"/>
  <c r="B74" i="21"/>
  <c r="B72" i="21"/>
  <c r="H13" i="21"/>
  <c r="B70" i="21"/>
  <c r="F12" i="21"/>
  <c r="S12" i="21"/>
  <c r="F10" i="21"/>
  <c r="AA10" i="21"/>
  <c r="C7" i="21"/>
  <c r="C58" i="21"/>
  <c r="D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H13" i="3"/>
  <c r="BI13" i="3"/>
  <c r="BJ13" i="3"/>
  <c r="BK13" i="3"/>
  <c r="BM13" i="3"/>
  <c r="BN13" i="3"/>
  <c r="BO13" i="3"/>
  <c r="BP13" i="3"/>
  <c r="BS13" i="3"/>
  <c r="BT13" i="3"/>
  <c r="BB570" i="3"/>
  <c r="BC570" i="3"/>
  <c r="BD570" i="3"/>
  <c r="BE570" i="3"/>
  <c r="BF570" i="3"/>
  <c r="BG570" i="3"/>
  <c r="BH570" i="3"/>
  <c r="BI570" i="3"/>
  <c r="BJ570" i="3"/>
  <c r="BK570" i="3"/>
  <c r="BM570" i="3"/>
  <c r="BN570" i="3"/>
  <c r="BL570" i="3"/>
  <c r="BO570" i="3"/>
  <c r="BP570" i="3"/>
  <c r="BQ570" i="3"/>
  <c r="BR570" i="3"/>
  <c r="BS570" i="3"/>
  <c r="BT570" i="3"/>
  <c r="BB571" i="3"/>
  <c r="BC571" i="3"/>
  <c r="BD571" i="3"/>
  <c r="BE571" i="3"/>
  <c r="BF571" i="3"/>
  <c r="BG571" i="3"/>
  <c r="BH571" i="3"/>
  <c r="BI571" i="3"/>
  <c r="BJ571" i="3"/>
  <c r="BK571" i="3"/>
  <c r="BM571" i="3"/>
  <c r="BN571" i="3"/>
  <c r="BL571" i="3"/>
  <c r="BO571" i="3"/>
  <c r="BP571" i="3"/>
  <c r="BQ571" i="3"/>
  <c r="BR571" i="3"/>
  <c r="BS571" i="3"/>
  <c r="BT571" i="3"/>
  <c r="BB572" i="3"/>
  <c r="BC572" i="3"/>
  <c r="BD572" i="3"/>
  <c r="BE572" i="3"/>
  <c r="BF572" i="3"/>
  <c r="BG572" i="3"/>
  <c r="BH572" i="3"/>
  <c r="BI572" i="3"/>
  <c r="BJ572" i="3"/>
  <c r="BK572" i="3"/>
  <c r="BM572" i="3"/>
  <c r="BN572" i="3"/>
  <c r="BL572" i="3"/>
  <c r="BO572" i="3"/>
  <c r="BP572" i="3"/>
  <c r="BQ572" i="3"/>
  <c r="BR572" i="3"/>
  <c r="BS572" i="3"/>
  <c r="BT572" i="3"/>
  <c r="AC570" i="3"/>
  <c r="AC571" i="3"/>
  <c r="AC5"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H8"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W12" i="21"/>
  <c r="H12" i="21"/>
  <c r="U12" i="21"/>
  <c r="J26" i="21"/>
  <c r="W26" i="21"/>
  <c r="F26" i="21"/>
  <c r="AA26" i="21"/>
  <c r="AB41" i="21"/>
  <c r="AA41" i="21"/>
  <c r="W41" i="21"/>
  <c r="S10" i="39"/>
  <c r="U30" i="37"/>
  <c r="E103" i="37"/>
  <c r="F103" i="37"/>
  <c r="G103" i="37"/>
  <c r="H103" i="37"/>
  <c r="I103" i="37"/>
  <c r="J103" i="37"/>
  <c r="K103" i="37"/>
  <c r="L103" i="37"/>
  <c r="M103" i="37"/>
  <c r="F39" i="37"/>
  <c r="S39" i="37"/>
  <c r="W39" i="37"/>
  <c r="F29" i="36"/>
  <c r="AA29" i="36"/>
  <c r="F16" i="36"/>
  <c r="AA16" i="36"/>
  <c r="U22" i="36"/>
  <c r="W22" i="36"/>
  <c r="AC31" i="36"/>
  <c r="J33" i="36"/>
  <c r="W33" i="36"/>
  <c r="AC27" i="35"/>
  <c r="W36" i="35"/>
  <c r="S31" i="35"/>
  <c r="W31" i="35"/>
  <c r="F36" i="34"/>
  <c r="S36" i="34"/>
  <c r="S34" i="34"/>
  <c r="W39" i="34"/>
  <c r="H39" i="33"/>
  <c r="AB39" i="33"/>
  <c r="U33" i="33"/>
  <c r="W38" i="33"/>
  <c r="S40" i="33"/>
  <c r="S33" i="33"/>
  <c r="W33" i="33"/>
  <c r="U38" i="33"/>
  <c r="S8" i="21"/>
  <c r="H39" i="37"/>
  <c r="AB39" i="37"/>
  <c r="AB27" i="35"/>
  <c r="S10" i="40"/>
  <c r="W10" i="40"/>
  <c r="S11" i="40"/>
  <c r="U11" i="40"/>
  <c r="S36" i="40"/>
  <c r="U36" i="40"/>
  <c r="S40" i="39"/>
  <c r="S36" i="39"/>
  <c r="F11" i="21"/>
  <c r="S11" i="21"/>
  <c r="AA38" i="21"/>
  <c r="AB36" i="21"/>
  <c r="C23" i="39"/>
  <c r="U36" i="39"/>
  <c r="S42" i="39"/>
  <c r="H32" i="33"/>
  <c r="AB32" i="33"/>
  <c r="H11" i="21"/>
  <c r="U11" i="21"/>
  <c r="J11" i="21"/>
  <c r="W11" i="21"/>
  <c r="F86" i="40"/>
  <c r="G86" i="40"/>
  <c r="J27" i="36"/>
  <c r="W27" i="36"/>
  <c r="J34" i="36"/>
  <c r="W34" i="36"/>
  <c r="J30" i="35"/>
  <c r="W30" i="35"/>
  <c r="F22" i="35"/>
  <c r="AA22" i="35"/>
  <c r="H10" i="35"/>
  <c r="U10" i="35"/>
  <c r="AC24" i="36"/>
  <c r="U24" i="36"/>
  <c r="E85" i="36"/>
  <c r="F85" i="36"/>
  <c r="G85" i="36"/>
  <c r="H85" i="36"/>
  <c r="I85" i="36"/>
  <c r="J85" i="36"/>
  <c r="K85" i="36"/>
  <c r="L85" i="36"/>
  <c r="M85" i="36"/>
  <c r="J29" i="36"/>
  <c r="AC29" i="36"/>
  <c r="F12" i="36"/>
  <c r="S12" i="36"/>
  <c r="F24" i="36"/>
  <c r="AA24" i="36"/>
  <c r="F34" i="36"/>
  <c r="S34" i="36"/>
  <c r="S10" i="36"/>
  <c r="AB8" i="36"/>
  <c r="H16" i="35"/>
  <c r="U16" i="35"/>
  <c r="H33" i="35"/>
  <c r="AB33" i="35"/>
  <c r="AC8" i="35"/>
  <c r="F35" i="37"/>
  <c r="E101" i="37"/>
  <c r="F101" i="37"/>
  <c r="G101" i="37"/>
  <c r="H101" i="37"/>
  <c r="I101" i="37"/>
  <c r="J101" i="37"/>
  <c r="K101" i="37"/>
  <c r="L101" i="37"/>
  <c r="M101" i="37"/>
  <c r="J34" i="37"/>
  <c r="W34" i="37"/>
  <c r="H43" i="34"/>
  <c r="U42" i="34"/>
  <c r="H36" i="34"/>
  <c r="U36" i="34"/>
  <c r="F37" i="34"/>
  <c r="AA37" i="34"/>
  <c r="F33" i="34"/>
  <c r="S33" i="34"/>
  <c r="F19" i="34"/>
  <c r="AA19" i="34"/>
  <c r="J10" i="34"/>
  <c r="AC10" i="34"/>
  <c r="S38" i="33"/>
  <c r="F36" i="33"/>
  <c r="S36" i="33"/>
  <c r="F19" i="33"/>
  <c r="S19" i="33"/>
  <c r="J19" i="33"/>
  <c r="AC19" i="33"/>
  <c r="S10" i="21"/>
  <c r="W40" i="33"/>
  <c r="AB30" i="36"/>
  <c r="AC34" i="36"/>
  <c r="H29" i="35"/>
  <c r="AB29" i="35"/>
  <c r="S34" i="37"/>
  <c r="AB42" i="34"/>
  <c r="AB40" i="34"/>
  <c r="W36" i="34"/>
  <c r="J19" i="34"/>
  <c r="AC19" i="34"/>
  <c r="H37" i="33"/>
  <c r="AB37" i="33"/>
  <c r="S37" i="33"/>
  <c r="W43" i="34"/>
  <c r="AC42" i="34"/>
  <c r="W42" i="34"/>
  <c r="S42" i="34"/>
  <c r="AC38" i="34"/>
  <c r="W38" i="34"/>
  <c r="AA38" i="34"/>
  <c r="S38" i="34"/>
  <c r="J37" i="33"/>
  <c r="W37" i="33"/>
  <c r="J42" i="21"/>
  <c r="AC42" i="21"/>
  <c r="J44" i="34"/>
  <c r="AC44" i="34"/>
  <c r="F44" i="34"/>
  <c r="S44" i="34"/>
  <c r="J10" i="35"/>
  <c r="W10" i="35"/>
  <c r="AL5" i="3"/>
  <c r="BQ13" i="3"/>
  <c r="J14" i="21"/>
  <c r="W14" i="21"/>
  <c r="F14" i="21"/>
  <c r="AA14" i="21"/>
  <c r="H14" i="21"/>
  <c r="U14" i="21"/>
  <c r="H28" i="21"/>
  <c r="AB28" i="21"/>
  <c r="F28" i="21"/>
  <c r="J28" i="21"/>
  <c r="AC28" i="21"/>
  <c r="H30" i="21"/>
  <c r="U30" i="21"/>
  <c r="F30" i="21"/>
  <c r="S30" i="21"/>
  <c r="J30" i="21"/>
  <c r="AC30" i="21"/>
  <c r="J44" i="21"/>
  <c r="AC44" i="21"/>
  <c r="H44" i="21"/>
  <c r="U44" i="21"/>
  <c r="F44" i="21"/>
  <c r="AA44" i="21"/>
  <c r="H46" i="21"/>
  <c r="AB46" i="21"/>
  <c r="J46" i="21"/>
  <c r="W46" i="21"/>
  <c r="F46" i="21"/>
  <c r="AA46" i="21"/>
  <c r="H26" i="33"/>
  <c r="U26" i="33"/>
  <c r="H28" i="33"/>
  <c r="AB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F13" i="33"/>
  <c r="S13" i="33"/>
  <c r="J29" i="33"/>
  <c r="W29" i="33"/>
  <c r="J45" i="33"/>
  <c r="W45" i="33"/>
  <c r="F45" i="33"/>
  <c r="S45" i="33"/>
  <c r="F11" i="35"/>
  <c r="S11" i="35"/>
  <c r="H28" i="36"/>
  <c r="U28" i="36"/>
  <c r="H32" i="36"/>
  <c r="AB32" i="36"/>
  <c r="J11" i="36"/>
  <c r="W11" i="36"/>
  <c r="H13" i="36"/>
  <c r="AB13" i="36"/>
  <c r="J13" i="36"/>
  <c r="W13" i="36"/>
  <c r="F13" i="36"/>
  <c r="S13" i="36"/>
  <c r="E89" i="37"/>
  <c r="F89" i="37"/>
  <c r="G89" i="37"/>
  <c r="H89" i="37"/>
  <c r="I89" i="37"/>
  <c r="J89" i="37"/>
  <c r="K89" i="37"/>
  <c r="L89" i="37"/>
  <c r="M89" i="37"/>
  <c r="J29" i="37"/>
  <c r="W29" i="37"/>
  <c r="F29" i="37"/>
  <c r="AA29" i="37"/>
  <c r="F105" i="37"/>
  <c r="G105" i="37"/>
  <c r="AB36" i="37"/>
  <c r="F107" i="37"/>
  <c r="G107" i="37"/>
  <c r="H107" i="37"/>
  <c r="I107" i="37"/>
  <c r="J107" i="37"/>
  <c r="K107" i="37"/>
  <c r="L107" i="37"/>
  <c r="M107" i="37"/>
  <c r="J37" i="37"/>
  <c r="AC37" i="37"/>
  <c r="H37" i="37"/>
  <c r="U37" i="37"/>
  <c r="F40" i="37"/>
  <c r="AA40" i="37"/>
  <c r="F14" i="33"/>
  <c r="AA14" i="33"/>
  <c r="H30" i="33"/>
  <c r="AB30" i="33"/>
  <c r="J30" i="33"/>
  <c r="AC30" i="33"/>
  <c r="H44" i="33"/>
  <c r="U44" i="33"/>
  <c r="J44" i="33"/>
  <c r="AC44" i="33"/>
  <c r="F44" i="33"/>
  <c r="S44" i="33"/>
  <c r="J25" i="35"/>
  <c r="AC25" i="35"/>
  <c r="F25" i="35"/>
  <c r="AA25" i="35"/>
  <c r="H25" i="35"/>
  <c r="AB25" i="35"/>
  <c r="J35" i="35"/>
  <c r="AC35" i="35"/>
  <c r="F35" i="35"/>
  <c r="S35" i="35"/>
  <c r="H35" i="35"/>
  <c r="U35" i="35"/>
  <c r="H38" i="37"/>
  <c r="AB38" i="37"/>
  <c r="J38" i="37"/>
  <c r="AC38" i="37"/>
  <c r="F38" i="37"/>
  <c r="S38" i="37"/>
  <c r="F27" i="37"/>
  <c r="AA27" i="37"/>
  <c r="J27" i="37"/>
  <c r="W27" i="37"/>
  <c r="AA38" i="37"/>
  <c r="W35" i="35"/>
  <c r="J36" i="37"/>
  <c r="AC36" i="37"/>
  <c r="AB28" i="36"/>
  <c r="U46" i="21"/>
  <c r="W30" i="21"/>
  <c r="S28" i="21"/>
  <c r="AA28" i="21"/>
  <c r="AB14" i="21"/>
  <c r="W42" i="21"/>
  <c r="U36" i="37"/>
  <c r="AC13" i="36"/>
  <c r="U28" i="21"/>
  <c r="AB44" i="21"/>
  <c r="G529" i="3"/>
  <c r="G521" i="3"/>
  <c r="G517" i="3"/>
  <c r="G513" i="3"/>
  <c r="G508" i="3"/>
  <c r="G499" i="3"/>
  <c r="G493" i="3"/>
  <c r="G485" i="3"/>
  <c r="G17" i="3"/>
  <c r="G565" i="3"/>
  <c r="G561" i="3"/>
  <c r="G557" i="3"/>
  <c r="G549" i="3"/>
  <c r="G545" i="3"/>
  <c r="G53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5" i="3"/>
  <c r="BA561" i="3"/>
  <c r="AZ561" i="3"/>
  <c r="BA559" i="3"/>
  <c r="BA557" i="3"/>
  <c r="AZ557" i="3"/>
  <c r="BA555" i="3"/>
  <c r="AZ555" i="3"/>
  <c r="BA551" i="3"/>
  <c r="AZ551" i="3"/>
  <c r="BA545" i="3"/>
  <c r="AZ545" i="3"/>
  <c r="BA543" i="3"/>
  <c r="BA541" i="3"/>
  <c r="AZ541" i="3"/>
  <c r="BA531" i="3"/>
  <c r="BA521" i="3"/>
  <c r="BA509" i="3"/>
  <c r="BA505" i="3"/>
  <c r="BA501" i="3"/>
  <c r="AZ501" i="3"/>
  <c r="BA493" i="3"/>
  <c r="AZ493" i="3"/>
  <c r="BA487" i="3"/>
  <c r="BA19"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c r="BQ562" i="3"/>
  <c r="BL562" i="3"/>
  <c r="AZ562" i="3"/>
  <c r="BQ560" i="3"/>
  <c r="BL560" i="3"/>
  <c r="AZ560" i="3"/>
  <c r="BQ558" i="3"/>
  <c r="BL558" i="3"/>
  <c r="BQ556" i="3"/>
  <c r="BL556" i="3"/>
  <c r="BQ554" i="3"/>
  <c r="BQ552" i="3"/>
  <c r="BL552" i="3"/>
  <c r="BQ550" i="3"/>
  <c r="BL550" i="3"/>
  <c r="BQ548" i="3"/>
  <c r="BL548" i="3"/>
  <c r="BQ546" i="3"/>
  <c r="BL546" i="3"/>
  <c r="BQ544" i="3"/>
  <c r="BL544" i="3"/>
  <c r="AZ544" i="3"/>
  <c r="G544" i="3"/>
  <c r="G538" i="3"/>
  <c r="G534" i="3"/>
  <c r="G530" i="3"/>
  <c r="G526" i="3"/>
  <c r="G522" i="3"/>
  <c r="BQ540" i="3"/>
  <c r="BL540" i="3"/>
  <c r="BQ538" i="3"/>
  <c r="BL538" i="3"/>
  <c r="BQ536" i="3"/>
  <c r="BQ534" i="3"/>
  <c r="BL534" i="3"/>
  <c r="BQ532" i="3"/>
  <c r="BL532" i="3"/>
  <c r="BQ530" i="3"/>
  <c r="BL530" i="3"/>
  <c r="BQ528" i="3"/>
  <c r="BQ526" i="3"/>
  <c r="BL526" i="3"/>
  <c r="BQ524" i="3"/>
  <c r="BL524" i="3"/>
  <c r="BQ522" i="3"/>
  <c r="BQ520" i="3"/>
  <c r="BL520" i="3"/>
  <c r="AZ520" i="3"/>
  <c r="BQ518" i="3"/>
  <c r="BQ516" i="3"/>
  <c r="BL516" i="3"/>
  <c r="AZ516" i="3"/>
  <c r="BQ514" i="3"/>
  <c r="BL514" i="3"/>
  <c r="BQ512" i="3"/>
  <c r="BL512" i="3"/>
  <c r="BQ510" i="3"/>
  <c r="BL510" i="3"/>
  <c r="BQ508" i="3"/>
  <c r="BL508" i="3"/>
  <c r="AC506" i="3"/>
  <c r="G506" i="3"/>
  <c r="BQ506" i="3"/>
  <c r="G502" i="3"/>
  <c r="G498" i="3"/>
  <c r="BQ504" i="3"/>
  <c r="BQ502" i="3"/>
  <c r="BL502" i="3"/>
  <c r="BQ500" i="3"/>
  <c r="BL500" i="3"/>
  <c r="BQ498" i="3"/>
  <c r="BQ496" i="3"/>
  <c r="BL496" i="3"/>
  <c r="AC494" i="3"/>
  <c r="BQ494" i="3"/>
  <c r="BL493" i="3"/>
  <c r="G492" i="3"/>
  <c r="G488" i="3"/>
  <c r="G484" i="3"/>
  <c r="G20" i="3"/>
  <c r="BQ492" i="3"/>
  <c r="BL492" i="3"/>
  <c r="AZ492" i="3"/>
  <c r="BQ490" i="3"/>
  <c r="BQ488" i="3"/>
  <c r="BL488" i="3"/>
  <c r="BQ486" i="3"/>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G125" i="33"/>
  <c r="H43" i="33"/>
  <c r="H17" i="37"/>
  <c r="U17" i="37"/>
  <c r="F23" i="37"/>
  <c r="S23" i="37"/>
  <c r="F79" i="37"/>
  <c r="G79" i="37"/>
  <c r="AB27" i="37"/>
  <c r="F39" i="33"/>
  <c r="AA39" i="33"/>
  <c r="E123" i="33"/>
  <c r="F123" i="33"/>
  <c r="G123" i="33"/>
  <c r="H123" i="33"/>
  <c r="I123" i="33"/>
  <c r="J123" i="33"/>
  <c r="K123" i="33"/>
  <c r="L123" i="33"/>
  <c r="M123" i="33"/>
  <c r="F42" i="33"/>
  <c r="AA42" i="33"/>
  <c r="F22" i="36"/>
  <c r="S22" i="36"/>
  <c r="H35" i="34"/>
  <c r="U35" i="34"/>
  <c r="F41" i="34"/>
  <c r="S41" i="34"/>
  <c r="H41" i="34"/>
  <c r="U41" i="34"/>
  <c r="J41" i="34"/>
  <c r="W41" i="34"/>
  <c r="F10" i="35"/>
  <c r="AA10" i="35"/>
  <c r="H23" i="37"/>
  <c r="AB23" i="37"/>
  <c r="J32" i="37"/>
  <c r="AC32" i="37"/>
  <c r="F36" i="37"/>
  <c r="S36" i="37"/>
  <c r="F37" i="37"/>
  <c r="AA37" i="37"/>
  <c r="U23" i="37"/>
  <c r="AC41" i="34"/>
  <c r="H42" i="33"/>
  <c r="U42" i="33"/>
  <c r="J43" i="33"/>
  <c r="AC43" i="33"/>
  <c r="J23" i="37"/>
  <c r="W23" i="37"/>
  <c r="F17" i="37"/>
  <c r="AA17" i="37"/>
  <c r="D3" i="21"/>
  <c r="AC33" i="36"/>
  <c r="W23" i="35"/>
  <c r="S27" i="37"/>
  <c r="U39" i="37"/>
  <c r="AC8" i="37"/>
  <c r="AC36" i="34"/>
  <c r="AC37" i="33"/>
  <c r="AA13" i="33"/>
  <c r="AC45" i="33"/>
  <c r="AC33" i="21"/>
  <c r="S39" i="33"/>
  <c r="F43" i="33"/>
  <c r="AA43" i="33"/>
  <c r="S10" i="35"/>
  <c r="AB44" i="33"/>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J15" i="37"/>
  <c r="W15" i="37"/>
  <c r="AB10" i="37"/>
  <c r="J11" i="37"/>
  <c r="W11" i="37"/>
  <c r="E90" i="40"/>
  <c r="F90" i="40"/>
  <c r="G90" i="40"/>
  <c r="F21" i="40"/>
  <c r="S21" i="40"/>
  <c r="W36" i="40"/>
  <c r="U40" i="39"/>
  <c r="J21" i="40"/>
  <c r="AC21" i="40"/>
  <c r="S27" i="31"/>
  <c r="AZ540" i="3"/>
  <c r="G483" i="3"/>
  <c r="G515" i="3"/>
  <c r="G507" i="3"/>
  <c r="G501" i="3"/>
  <c r="BA15" i="3"/>
  <c r="BL17" i="3"/>
  <c r="BL15" i="3"/>
  <c r="BA14" i="3"/>
  <c r="AZ14" i="3"/>
  <c r="BT5" i="3"/>
  <c r="J57" i="39"/>
  <c r="H13" i="40"/>
  <c r="U13" i="40"/>
  <c r="H12" i="48"/>
  <c r="I4" i="4"/>
  <c r="K143" i="21"/>
  <c r="I59" i="40"/>
  <c r="C59" i="40"/>
  <c r="I60" i="40"/>
  <c r="C60" i="40"/>
  <c r="G297" i="3"/>
  <c r="BL298" i="3"/>
  <c r="G299" i="3"/>
  <c r="BL300" i="3"/>
  <c r="BA302" i="3"/>
  <c r="AZ302" i="3"/>
  <c r="BA303" i="3"/>
  <c r="BL303" i="3"/>
  <c r="G304" i="3"/>
  <c r="BA305" i="3"/>
  <c r="G321" i="3"/>
  <c r="BL322" i="3"/>
  <c r="AZ322" i="3"/>
  <c r="G323" i="3"/>
  <c r="BL324" i="3"/>
  <c r="BA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BL127" i="3"/>
  <c r="G128" i="3"/>
  <c r="BA130" i="3"/>
  <c r="AZ130" i="3"/>
  <c r="BL131" i="3"/>
  <c r="AZ131" i="3"/>
  <c r="G132" i="3"/>
  <c r="BA134" i="3"/>
  <c r="AZ134" i="3"/>
  <c r="BL135" i="3"/>
  <c r="AZ135" i="3"/>
  <c r="G136" i="3"/>
  <c r="BA138" i="3"/>
  <c r="AZ138" i="3"/>
  <c r="BL139" i="3"/>
  <c r="AZ139" i="3"/>
  <c r="G140" i="3"/>
  <c r="BA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23" i="3"/>
  <c r="AZ27" i="3"/>
  <c r="AZ35" i="3"/>
  <c r="AZ43" i="3"/>
  <c r="AZ51" i="3"/>
  <c r="AZ59" i="3"/>
  <c r="G537" i="3"/>
  <c r="BL181" i="3"/>
  <c r="AZ181" i="3"/>
  <c r="G182" i="3"/>
  <c r="BA184" i="3"/>
  <c r="BL185" i="3"/>
  <c r="G186" i="3"/>
  <c r="BA188" i="3"/>
  <c r="BL189" i="3"/>
  <c r="AZ189" i="3"/>
  <c r="G190" i="3"/>
  <c r="BA192" i="3"/>
  <c r="BL193" i="3"/>
  <c r="AZ193" i="3"/>
  <c r="G194" i="3"/>
  <c r="BA196" i="3"/>
  <c r="BL197" i="3"/>
  <c r="AZ197" i="3"/>
  <c r="G198" i="3"/>
  <c r="BA200" i="3"/>
  <c r="BL201" i="3"/>
  <c r="AZ201" i="3"/>
  <c r="AZ70" i="3"/>
  <c r="AZ78" i="3"/>
  <c r="AZ185" i="3"/>
  <c r="AZ90" i="3"/>
  <c r="AZ98" i="3"/>
  <c r="AZ106" i="3"/>
  <c r="G491" i="3"/>
  <c r="BA298" i="3"/>
  <c r="AZ298" i="3"/>
  <c r="BA299" i="3"/>
  <c r="AZ299" i="3"/>
  <c r="BL299" i="3"/>
  <c r="G300" i="3"/>
  <c r="G303" i="3"/>
  <c r="BL304" i="3"/>
  <c r="BA306" i="3"/>
  <c r="BA307" i="3"/>
  <c r="BL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BA347" i="3"/>
  <c r="BL347" i="3"/>
  <c r="AZ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c r="BA373" i="3"/>
  <c r="BL373" i="3"/>
  <c r="AZ373" i="3"/>
  <c r="G374" i="3"/>
  <c r="G377" i="3"/>
  <c r="BL378" i="3"/>
  <c r="BA380" i="3"/>
  <c r="AZ380" i="3"/>
  <c r="BA381" i="3"/>
  <c r="BL381" i="3"/>
  <c r="G382" i="3"/>
  <c r="G385" i="3"/>
  <c r="AZ154" i="3"/>
  <c r="AZ158" i="3"/>
  <c r="AZ162" i="3"/>
  <c r="AZ166" i="3"/>
  <c r="AZ170" i="3"/>
  <c r="AZ174" i="3"/>
  <c r="AZ179" i="3"/>
  <c r="G523" i="3"/>
  <c r="BL297" i="3"/>
  <c r="G298" i="3"/>
  <c r="BA300" i="3"/>
  <c r="AZ300" i="3"/>
  <c r="BL301" i="3"/>
  <c r="G302" i="3"/>
  <c r="BA304" i="3"/>
  <c r="AZ304" i="3"/>
  <c r="BL305" i="3"/>
  <c r="G306" i="3"/>
  <c r="BA308" i="3"/>
  <c r="AZ308" i="3"/>
  <c r="BL309" i="3"/>
  <c r="G310" i="3"/>
  <c r="BA310" i="3"/>
  <c r="AZ310" i="3"/>
  <c r="BL311" i="3"/>
  <c r="AZ311" i="3"/>
  <c r="G312" i="3"/>
  <c r="BA312" i="3"/>
  <c r="BL313" i="3"/>
  <c r="AZ313" i="3"/>
  <c r="G314" i="3"/>
  <c r="BA314" i="3"/>
  <c r="AZ314" i="3"/>
  <c r="BL315" i="3"/>
  <c r="G316" i="3"/>
  <c r="BA316" i="3"/>
  <c r="AZ316" i="3"/>
  <c r="BL317" i="3"/>
  <c r="AZ317" i="3"/>
  <c r="G318" i="3"/>
  <c r="BA320" i="3"/>
  <c r="BL321" i="3"/>
  <c r="G322" i="3"/>
  <c r="BA324" i="3"/>
  <c r="BL325" i="3"/>
  <c r="AZ325" i="3"/>
  <c r="G326" i="3"/>
  <c r="BA328" i="3"/>
  <c r="BL329" i="3"/>
  <c r="G330" i="3"/>
  <c r="BA332" i="3"/>
  <c r="BL333" i="3"/>
  <c r="G334" i="3"/>
  <c r="BA336" i="3"/>
  <c r="BL337" i="3"/>
  <c r="G338" i="3"/>
  <c r="BA340" i="3"/>
  <c r="BL341" i="3"/>
  <c r="G342" i="3"/>
  <c r="BA344" i="3"/>
  <c r="AZ344" i="3"/>
  <c r="BL345" i="3"/>
  <c r="G346" i="3"/>
  <c r="BA348" i="3"/>
  <c r="AZ348" i="3"/>
  <c r="BL349" i="3"/>
  <c r="AZ349" i="3"/>
  <c r="G350" i="3"/>
  <c r="BA352" i="3"/>
  <c r="AZ352" i="3"/>
  <c r="BL353" i="3"/>
  <c r="G354" i="3"/>
  <c r="BA356" i="3"/>
  <c r="BL357" i="3"/>
  <c r="AZ357" i="3"/>
  <c r="G358" i="3"/>
  <c r="BA362" i="3"/>
  <c r="BL363" i="3"/>
  <c r="G364" i="3"/>
  <c r="BA366" i="3"/>
  <c r="AZ366" i="3"/>
  <c r="BL367" i="3"/>
  <c r="AZ367" i="3"/>
  <c r="AZ205" i="3"/>
  <c r="AZ209" i="3"/>
  <c r="AZ221" i="3"/>
  <c r="AZ225" i="3"/>
  <c r="AZ237" i="3"/>
  <c r="AZ241" i="3"/>
  <c r="AZ309" i="3"/>
  <c r="AZ321" i="3"/>
  <c r="AZ333" i="3"/>
  <c r="AZ353" i="3"/>
  <c r="AZ363" i="3"/>
  <c r="G368" i="3"/>
  <c r="BA370" i="3"/>
  <c r="BL371" i="3"/>
  <c r="AZ371" i="3"/>
  <c r="G372" i="3"/>
  <c r="BA374" i="3"/>
  <c r="AZ374" i="3"/>
  <c r="BL375" i="3"/>
  <c r="AZ375" i="3"/>
  <c r="G376" i="3"/>
  <c r="BA378" i="3"/>
  <c r="AZ378" i="3"/>
  <c r="BL379" i="3"/>
  <c r="G380" i="3"/>
  <c r="BA382" i="3"/>
  <c r="AZ382" i="3"/>
  <c r="BL383" i="3"/>
  <c r="G384" i="3"/>
  <c r="AZ253" i="3"/>
  <c r="AZ257" i="3"/>
  <c r="AZ383" i="3"/>
  <c r="AZ270" i="3"/>
  <c r="AZ282" i="3"/>
  <c r="AZ286" i="3"/>
  <c r="AZ303" i="3"/>
  <c r="AZ335" i="3"/>
  <c r="AZ361" i="3"/>
  <c r="AZ394" i="3"/>
  <c r="AZ410" i="3"/>
  <c r="AZ418" i="3"/>
  <c r="AZ426" i="3"/>
  <c r="AZ442" i="3"/>
  <c r="AZ455" i="3"/>
  <c r="AZ467" i="3"/>
  <c r="AZ471" i="3"/>
  <c r="H7" i="48"/>
  <c r="H113" i="46"/>
  <c r="H17" i="46"/>
  <c r="F33" i="46"/>
  <c r="F35" i="46"/>
  <c r="F37" i="46"/>
  <c r="H16" i="48"/>
  <c r="H9" i="48"/>
  <c r="H8" i="48"/>
  <c r="AB16" i="35"/>
  <c r="U43" i="21"/>
  <c r="AA13" i="40"/>
  <c r="E78" i="40"/>
  <c r="F78" i="40"/>
  <c r="G78" i="40"/>
  <c r="H78" i="40"/>
  <c r="I78" i="40"/>
  <c r="J78" i="40"/>
  <c r="K78" i="40"/>
  <c r="L78" i="40"/>
  <c r="M78" i="40"/>
  <c r="BH5" i="3"/>
  <c r="R16" i="4"/>
  <c r="P16" i="4"/>
  <c r="D3" i="35"/>
  <c r="G4" i="4"/>
  <c r="J16" i="35"/>
  <c r="W16" i="35"/>
  <c r="AC26" i="36"/>
  <c r="W25" i="35"/>
  <c r="AZ354" i="3"/>
  <c r="H13" i="39"/>
  <c r="AB13" i="39"/>
  <c r="F13" i="39"/>
  <c r="J13" i="39"/>
  <c r="AC13" i="39"/>
  <c r="H11" i="37"/>
  <c r="AB11" i="37"/>
  <c r="W37" i="37"/>
  <c r="AA36" i="37"/>
  <c r="S42" i="33"/>
  <c r="U32" i="33"/>
  <c r="AB17" i="37"/>
  <c r="AZ488" i="3"/>
  <c r="AC29" i="33"/>
  <c r="AA45" i="33"/>
  <c r="AC11" i="36"/>
  <c r="AC10" i="36"/>
  <c r="AB45" i="34"/>
  <c r="AB35" i="35"/>
  <c r="S25" i="35"/>
  <c r="W44" i="33"/>
  <c r="W30" i="33"/>
  <c r="U28" i="33"/>
  <c r="J33" i="34"/>
  <c r="AC33" i="34"/>
  <c r="J40" i="34"/>
  <c r="W40" i="34"/>
  <c r="F16" i="35"/>
  <c r="AA16" i="35"/>
  <c r="S24" i="36"/>
  <c r="W42" i="33"/>
  <c r="J35" i="34"/>
  <c r="W35" i="34"/>
  <c r="S30" i="36"/>
  <c r="H16" i="36"/>
  <c r="AB16" i="36"/>
  <c r="H35" i="37"/>
  <c r="AB35" i="37"/>
  <c r="S26" i="21"/>
  <c r="AB12" i="21"/>
  <c r="H32" i="21"/>
  <c r="U32" i="21"/>
  <c r="AB26" i="21"/>
  <c r="U26" i="21"/>
  <c r="AA33" i="21"/>
  <c r="S33" i="21"/>
  <c r="U39" i="21"/>
  <c r="J32" i="21"/>
  <c r="AC32" i="21"/>
  <c r="G13" i="3"/>
  <c r="F17" i="21"/>
  <c r="S17" i="21"/>
  <c r="H17" i="21"/>
  <c r="AB17" i="21"/>
  <c r="J17" i="21"/>
  <c r="AC17" i="21"/>
  <c r="H37" i="21"/>
  <c r="U37" i="21"/>
  <c r="F40" i="21"/>
  <c r="S40" i="21"/>
  <c r="H40" i="21"/>
  <c r="AB40" i="21"/>
  <c r="E119" i="21"/>
  <c r="F119" i="21"/>
  <c r="G119" i="21"/>
  <c r="H119" i="21"/>
  <c r="I119" i="21"/>
  <c r="J119" i="21"/>
  <c r="K119" i="21"/>
  <c r="L119" i="21"/>
  <c r="M119" i="21"/>
  <c r="AA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28" i="33"/>
  <c r="S14" i="21"/>
  <c r="AA44" i="34"/>
  <c r="U29" i="35"/>
  <c r="W19" i="33"/>
  <c r="U43" i="34"/>
  <c r="AB43" i="34"/>
  <c r="AC34" i="37"/>
  <c r="S35" i="37"/>
  <c r="AA35" i="37"/>
  <c r="AB10" i="35"/>
  <c r="S32" i="21"/>
  <c r="AB34" i="21"/>
  <c r="BA571" i="3"/>
  <c r="AZ571"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AB34" i="36"/>
  <c r="H33" i="36"/>
  <c r="U33" i="36"/>
  <c r="F33" i="36"/>
  <c r="AA33" i="36"/>
  <c r="H27" i="36"/>
  <c r="AB27" i="36"/>
  <c r="AA31" i="36"/>
  <c r="AC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AA39" i="39"/>
  <c r="H39" i="39"/>
  <c r="AB39" i="39"/>
  <c r="J39" i="39"/>
  <c r="AC39" i="39"/>
  <c r="J29" i="35"/>
  <c r="AC29" i="35"/>
  <c r="F29" i="35"/>
  <c r="S29" i="35"/>
  <c r="W30" i="36"/>
  <c r="AC30" i="36"/>
  <c r="F37" i="39"/>
  <c r="S37" i="39"/>
  <c r="H37" i="39"/>
  <c r="U37" i="39"/>
  <c r="J37" i="39"/>
  <c r="W37" i="39"/>
  <c r="BL568" i="3"/>
  <c r="BA568" i="3"/>
  <c r="AZ568" i="3"/>
  <c r="BL567" i="3"/>
  <c r="BA567" i="3"/>
  <c r="AZ567" i="3"/>
  <c r="BL566" i="3"/>
  <c r="BL565" i="3"/>
  <c r="BA564" i="3"/>
  <c r="BA563" i="3"/>
  <c r="AZ563" i="3"/>
  <c r="BL554" i="3"/>
  <c r="AZ554" i="3"/>
  <c r="BA553" i="3"/>
  <c r="AZ553" i="3"/>
  <c r="BA552" i="3"/>
  <c r="AZ552" i="3"/>
  <c r="BL549" i="3"/>
  <c r="BA549" i="3"/>
  <c r="BA548" i="3"/>
  <c r="AZ548" i="3"/>
  <c r="BL547" i="3"/>
  <c r="BA547" i="3"/>
  <c r="BL539" i="3"/>
  <c r="BA539" i="3"/>
  <c r="AZ539" i="3"/>
  <c r="BA538" i="3"/>
  <c r="BL537" i="3"/>
  <c r="AZ537" i="3"/>
  <c r="BA537" i="3"/>
  <c r="BL536" i="3"/>
  <c r="AZ536" i="3"/>
  <c r="BA535" i="3"/>
  <c r="BA534" i="3"/>
  <c r="AZ534" i="3"/>
  <c r="BA533" i="3"/>
  <c r="BL531" i="3"/>
  <c r="AZ531" i="3"/>
  <c r="BA530" i="3"/>
  <c r="BL529" i="3"/>
  <c r="BA529" i="3"/>
  <c r="BL528" i="3"/>
  <c r="AZ528" i="3"/>
  <c r="BA527" i="3"/>
  <c r="AZ527" i="3"/>
  <c r="BA526" i="3"/>
  <c r="BA525" i="3"/>
  <c r="AZ525" i="3"/>
  <c r="BL523" i="3"/>
  <c r="BA523" i="3"/>
  <c r="AZ523" i="3"/>
  <c r="BL522" i="3"/>
  <c r="BA522" i="3"/>
  <c r="BL521" i="3"/>
  <c r="AZ521" i="3"/>
  <c r="BA519" i="3"/>
  <c r="BL518" i="3"/>
  <c r="BA518" i="3"/>
  <c r="AZ518" i="3"/>
  <c r="BL517" i="3"/>
  <c r="BA517" i="3"/>
  <c r="AZ517" i="3"/>
  <c r="BL515" i="3"/>
  <c r="BA515" i="3"/>
  <c r="BA514" i="3"/>
  <c r="AZ514" i="3"/>
  <c r="BL513" i="3"/>
  <c r="BA513" i="3"/>
  <c r="AZ513"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BL498" i="3"/>
  <c r="AZ498" i="3"/>
  <c r="BL497" i="3"/>
  <c r="BA497" i="3"/>
  <c r="BA496" i="3"/>
  <c r="AZ496" i="3"/>
  <c r="BA495" i="3"/>
  <c r="AZ495" i="3"/>
  <c r="BL494" i="3"/>
  <c r="BA494" i="3"/>
  <c r="G494" i="3"/>
  <c r="BA491" i="3"/>
  <c r="AZ491" i="3"/>
  <c r="BL490" i="3"/>
  <c r="BA490" i="3"/>
  <c r="AZ490" i="3"/>
  <c r="BL489" i="3"/>
  <c r="BA489" i="3"/>
  <c r="AZ489" i="3"/>
  <c r="BL487" i="3"/>
  <c r="AZ487" i="3"/>
  <c r="BL486" i="3"/>
  <c r="AZ486" i="3"/>
  <c r="BA486" i="3"/>
  <c r="BA485" i="3"/>
  <c r="AZ485" i="3"/>
  <c r="BA483" i="3"/>
  <c r="AZ483" i="3"/>
  <c r="BA482" i="3"/>
  <c r="BL481" i="3"/>
  <c r="BJ5" i="3"/>
  <c r="BA481" i="3"/>
  <c r="AZ481" i="3"/>
  <c r="BB5" i="3"/>
  <c r="BL19" i="3"/>
  <c r="AZ19" i="3"/>
  <c r="BA18" i="3"/>
  <c r="F36" i="44"/>
  <c r="H38" i="34"/>
  <c r="U38" i="34"/>
  <c r="H30" i="40"/>
  <c r="AB30" i="40"/>
  <c r="G100" i="40"/>
  <c r="J30" i="40"/>
  <c r="AC30" i="40"/>
  <c r="F38" i="40"/>
  <c r="AA38" i="40"/>
  <c r="AC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AB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G92" i="40"/>
  <c r="H23" i="40"/>
  <c r="U23" i="40"/>
  <c r="H41" i="40"/>
  <c r="AB41" i="40"/>
  <c r="F41" i="40"/>
  <c r="AA41" i="40"/>
  <c r="J41" i="40"/>
  <c r="H36" i="33"/>
  <c r="AB36" i="33"/>
  <c r="H37" i="34"/>
  <c r="AB37" i="34"/>
  <c r="F15" i="39"/>
  <c r="AA15" i="39"/>
  <c r="H15" i="39"/>
  <c r="U15" i="39"/>
  <c r="J15" i="39"/>
  <c r="AC15" i="39"/>
  <c r="H25" i="39"/>
  <c r="J25" i="39"/>
  <c r="AC25" i="39"/>
  <c r="F25" i="39"/>
  <c r="AA25" i="39"/>
  <c r="F45" i="39"/>
  <c r="AA45" i="39"/>
  <c r="H45" i="39"/>
  <c r="U45" i="39"/>
  <c r="J45" i="39"/>
  <c r="AC45" i="39"/>
  <c r="F47" i="39"/>
  <c r="AA47" i="39"/>
  <c r="H47" i="39"/>
  <c r="AB47" i="39"/>
  <c r="J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U42" i="40"/>
  <c r="H40" i="40"/>
  <c r="U40" i="40"/>
  <c r="H34" i="40"/>
  <c r="U34" i="40"/>
  <c r="AZ407" i="3"/>
  <c r="AZ423" i="3"/>
  <c r="B41" i="1"/>
  <c r="F34" i="44"/>
  <c r="J42" i="40"/>
  <c r="AC42" i="40"/>
  <c r="J40" i="40"/>
  <c r="AC40" i="40"/>
  <c r="J34" i="40"/>
  <c r="AC34" i="40"/>
  <c r="H16" i="40"/>
  <c r="AB16" i="40"/>
  <c r="H14" i="40"/>
  <c r="U14" i="40"/>
  <c r="F32" i="40"/>
  <c r="AA32" i="40"/>
  <c r="AZ428" i="3"/>
  <c r="AZ441" i="3"/>
  <c r="AZ444" i="3"/>
  <c r="M1" i="46"/>
  <c r="M6" i="46"/>
  <c r="M10" i="46"/>
  <c r="N2" i="46"/>
  <c r="N5" i="46"/>
  <c r="F58" i="46"/>
  <c r="H58" i="46"/>
  <c r="F47" i="46"/>
  <c r="H49" i="46"/>
  <c r="N7" i="46"/>
  <c r="AZ466" i="3"/>
  <c r="AZ469" i="3"/>
  <c r="AZ388" i="3"/>
  <c r="AZ207" i="3"/>
  <c r="AZ220" i="3"/>
  <c r="AZ223" i="3"/>
  <c r="AZ236" i="3"/>
  <c r="AZ239" i="3"/>
  <c r="AZ252" i="3"/>
  <c r="AZ255" i="3"/>
  <c r="AZ268" i="3"/>
  <c r="AZ273" i="3"/>
  <c r="AZ284" i="3"/>
  <c r="AZ289" i="3"/>
  <c r="AZ121" i="3"/>
  <c r="AZ137" i="3"/>
  <c r="AZ152" i="3"/>
  <c r="M7" i="46"/>
  <c r="M11" i="46"/>
  <c r="N3" i="46"/>
  <c r="N6" i="46"/>
  <c r="N10" i="46"/>
  <c r="AZ164" i="3"/>
  <c r="AZ177" i="3"/>
  <c r="AZ24" i="3"/>
  <c r="AZ32" i="3"/>
  <c r="AZ48" i="3"/>
  <c r="AZ71" i="3"/>
  <c r="AZ91" i="3"/>
  <c r="AZ107" i="3"/>
  <c r="J13" i="40"/>
  <c r="W13" i="40"/>
  <c r="AB14" i="40"/>
  <c r="W40" i="40"/>
  <c r="W35" i="40"/>
  <c r="AB32" i="40"/>
  <c r="S47" i="39"/>
  <c r="U37" i="34"/>
  <c r="AC41" i="40"/>
  <c r="W41" i="40"/>
  <c r="U41" i="40"/>
  <c r="J23" i="40"/>
  <c r="AC23" i="40"/>
  <c r="F23" i="40"/>
  <c r="S23" i="40"/>
  <c r="S23" i="39"/>
  <c r="AB16" i="39"/>
  <c r="W14" i="39"/>
  <c r="H20" i="35"/>
  <c r="U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97" i="3"/>
  <c r="AZ504" i="3"/>
  <c r="AZ515" i="3"/>
  <c r="AZ529" i="3"/>
  <c r="AZ530" i="3"/>
  <c r="AZ547"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AC16" i="40"/>
  <c r="H25" i="40"/>
  <c r="AB25" i="40"/>
  <c r="F94" i="40"/>
  <c r="G94" i="40"/>
  <c r="U47"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W39" i="39"/>
  <c r="S39"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AB20" i="35"/>
  <c r="W23" i="40"/>
  <c r="D73" i="9"/>
  <c r="N73" i="9"/>
  <c r="AP11" i="1"/>
  <c r="B11" i="1"/>
  <c r="E11" i="1"/>
  <c r="K11" i="1"/>
  <c r="M11" i="1"/>
  <c r="B9" i="1"/>
  <c r="E9" i="1"/>
  <c r="K9" i="1"/>
  <c r="M9" i="1"/>
  <c r="B7" i="1"/>
  <c r="E7" i="1"/>
  <c r="K7" i="1"/>
  <c r="M7" i="1"/>
  <c r="O7" i="1"/>
  <c r="P7" i="1"/>
  <c r="C20" i="43"/>
  <c r="F6" i="1"/>
  <c r="G11" i="1"/>
  <c r="M22" i="44"/>
  <c r="F31" i="43"/>
  <c r="C31" i="43"/>
  <c r="C25" i="12"/>
  <c r="AC25" i="36"/>
  <c r="S8" i="36"/>
  <c r="AA26" i="36"/>
  <c r="AA28" i="36"/>
  <c r="H20" i="36"/>
  <c r="U20" i="36"/>
  <c r="F68" i="36"/>
  <c r="G68" i="36"/>
  <c r="J20" i="36"/>
  <c r="AC20" i="36"/>
  <c r="F20" i="36"/>
  <c r="S20" i="36"/>
  <c r="F62" i="36"/>
  <c r="G62" i="36"/>
  <c r="J14" i="36"/>
  <c r="H14" i="36"/>
  <c r="F14" i="36"/>
  <c r="AA14" i="36"/>
  <c r="W20" i="36"/>
  <c r="U27" i="36"/>
  <c r="U32" i="36"/>
  <c r="U9" i="36"/>
  <c r="S33" i="36"/>
  <c r="AA27" i="36"/>
  <c r="S16" i="36"/>
  <c r="S29" i="36"/>
  <c r="AC33" i="35"/>
  <c r="U22" i="35"/>
  <c r="AA13" i="35"/>
  <c r="S8" i="35"/>
  <c r="U33" i="35"/>
  <c r="AA20" i="35"/>
  <c r="W20" i="35"/>
  <c r="S23" i="35"/>
  <c r="S16" i="35"/>
  <c r="AB14" i="35"/>
  <c r="AC10" i="35"/>
  <c r="U9" i="35"/>
  <c r="AC18" i="35"/>
  <c r="W18" i="35"/>
  <c r="U18" i="35"/>
  <c r="AB18" i="35"/>
  <c r="S30" i="35"/>
  <c r="AA35" i="35"/>
  <c r="AB30" i="35"/>
  <c r="S27" i="35"/>
  <c r="S28" i="35"/>
  <c r="J26" i="35"/>
  <c r="F26" i="35"/>
  <c r="H26" i="35"/>
  <c r="AB9" i="37"/>
  <c r="W12" i="37"/>
  <c r="AA9" i="37"/>
  <c r="S17"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1" i="37"/>
  <c r="U21" i="37"/>
  <c r="S37" i="37"/>
  <c r="S40" i="37"/>
  <c r="AA11" i="37"/>
  <c r="S10" i="37"/>
  <c r="W46" i="34"/>
  <c r="AA40" i="34"/>
  <c r="W33" i="34"/>
  <c r="U30" i="34"/>
  <c r="S32" i="34"/>
  <c r="AB33" i="34"/>
  <c r="AA12" i="34"/>
  <c r="AC35" i="34"/>
  <c r="AA30" i="34"/>
  <c r="AC32" i="34"/>
  <c r="AA33" i="34"/>
  <c r="U44" i="34"/>
  <c r="U34"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AA41" i="34"/>
  <c r="S9" i="34"/>
  <c r="S10" i="34"/>
  <c r="U39" i="33"/>
  <c r="U37" i="33"/>
  <c r="S35" i="33"/>
  <c r="W34" i="33"/>
  <c r="AC12" i="33"/>
  <c r="AB11" i="33"/>
  <c r="AB41" i="33"/>
  <c r="U36" i="33"/>
  <c r="AC35" i="33"/>
  <c r="S29" i="33"/>
  <c r="W43" i="33"/>
  <c r="W39" i="33"/>
  <c r="U35" i="33"/>
  <c r="AB34" i="33"/>
  <c r="AB26" i="33"/>
  <c r="H25" i="33"/>
  <c r="AB25" i="33"/>
  <c r="J25" i="33"/>
  <c r="W25" i="33"/>
  <c r="F25" i="33"/>
  <c r="J23" i="33"/>
  <c r="F23" i="33"/>
  <c r="H23" i="33"/>
  <c r="U19" i="33"/>
  <c r="F17" i="33"/>
  <c r="H17" i="33"/>
  <c r="J17" i="33"/>
  <c r="AB15" i="33"/>
  <c r="AC11" i="33"/>
  <c r="S10" i="33"/>
  <c r="S14" i="33"/>
  <c r="W10" i="33"/>
  <c r="AC21" i="33"/>
  <c r="W21"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AA11" i="21"/>
  <c r="AC23" i="21"/>
  <c r="AC21" i="21"/>
  <c r="W21" i="21"/>
  <c r="W44" i="21"/>
  <c r="AC19" i="21"/>
  <c r="W10"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c r="A18" i="64"/>
  <c r="B74" i="63"/>
  <c r="C53" i="10"/>
  <c r="A25" i="64"/>
  <c r="A18" i="51"/>
  <c r="B14" i="63"/>
  <c r="BA16" i="3"/>
  <c r="BA17" i="3"/>
  <c r="AZ17" i="3"/>
  <c r="F3" i="35"/>
  <c r="K1" i="43"/>
  <c r="K1" i="12"/>
  <c r="G1" i="44"/>
  <c r="I4" i="6"/>
  <c r="G3" i="46"/>
  <c r="AZ15" i="3"/>
  <c r="BK5" i="3"/>
  <c r="BO5" i="3"/>
  <c r="BP5" i="3"/>
  <c r="BN5" i="3"/>
  <c r="BL18" i="3"/>
  <c r="AZ18" i="3"/>
  <c r="BC5" i="3"/>
  <c r="E8" i="6"/>
  <c r="BD5" i="3"/>
  <c r="BR5" i="3"/>
  <c r="G28" i="6"/>
  <c r="BS5" i="3"/>
  <c r="BQ5" i="3"/>
  <c r="BL16" i="3"/>
  <c r="BM5" i="3"/>
  <c r="BA13" i="3"/>
  <c r="H52" i="46"/>
  <c r="G28" i="12"/>
  <c r="G22" i="43"/>
  <c r="G26" i="12"/>
  <c r="D24" i="44"/>
  <c r="D26" i="44"/>
  <c r="G27" i="12"/>
  <c r="G23" i="43"/>
  <c r="G21" i="43"/>
  <c r="H54" i="46"/>
  <c r="H55" i="46"/>
  <c r="E11" i="46"/>
  <c r="E10" i="46"/>
  <c r="N8" i="46"/>
  <c r="N4" i="46"/>
  <c r="N1" i="46"/>
  <c r="M9" i="46"/>
  <c r="M2" i="46"/>
  <c r="N11" i="46"/>
  <c r="N9" i="46"/>
  <c r="F69" i="46"/>
  <c r="H71" i="46"/>
  <c r="M4" i="46"/>
  <c r="M12" i="46"/>
  <c r="M8" i="46"/>
  <c r="M3" i="46"/>
  <c r="M5" i="46"/>
  <c r="H6" i="48"/>
  <c r="E9" i="46"/>
  <c r="H15" i="48"/>
  <c r="H5" i="48"/>
  <c r="H14" i="48"/>
  <c r="F38" i="46"/>
  <c r="F36" i="46"/>
  <c r="F34" i="46"/>
  <c r="J17" i="46"/>
  <c r="C17" i="46"/>
  <c r="F39" i="46"/>
  <c r="H13" i="48"/>
  <c r="H11" i="48"/>
  <c r="E8" i="46"/>
  <c r="C7" i="46"/>
  <c r="I17" i="46"/>
  <c r="C16" i="46"/>
  <c r="E17" i="46"/>
  <c r="D71" i="46"/>
  <c r="D69" i="46"/>
  <c r="E69" i="46"/>
  <c r="B67" i="46"/>
  <c r="E47" i="46"/>
  <c r="E58" i="46"/>
  <c r="B56" i="46"/>
  <c r="A4" i="64"/>
  <c r="A4" i="51"/>
  <c r="C51" i="10"/>
  <c r="A9" i="51"/>
  <c r="B9" i="63"/>
  <c r="H61" i="46"/>
  <c r="I100" i="46"/>
  <c r="N100" i="46"/>
  <c r="H100" i="46"/>
  <c r="F108" i="46"/>
  <c r="B45" i="46"/>
  <c r="E100" i="46"/>
  <c r="G100" i="46"/>
  <c r="C100" i="46"/>
  <c r="J100" i="46"/>
  <c r="M100" i="46"/>
  <c r="AA12" i="36"/>
  <c r="U12" i="35"/>
  <c r="AB12" i="35"/>
  <c r="W11" i="35"/>
  <c r="AA11" i="35"/>
  <c r="U13" i="37"/>
  <c r="C24" i="9"/>
  <c r="C25" i="9"/>
  <c r="AP7" i="1"/>
  <c r="G7" i="1"/>
  <c r="AP9" i="1"/>
  <c r="G9" i="1"/>
  <c r="AP8" i="1"/>
  <c r="G8" i="1"/>
  <c r="I20" i="46"/>
  <c r="B6" i="63"/>
  <c r="L5" i="54"/>
  <c r="B39" i="63"/>
  <c r="K5" i="54"/>
  <c r="B38" i="63"/>
  <c r="T41" i="4"/>
  <c r="A17" i="64"/>
  <c r="B46" i="50"/>
  <c r="B4" i="63"/>
  <c r="C46" i="36"/>
  <c r="D46" i="36"/>
  <c r="E46" i="36"/>
  <c r="C59" i="34"/>
  <c r="D59" i="34"/>
  <c r="E59" i="34"/>
  <c r="F59" i="34"/>
  <c r="C48" i="35"/>
  <c r="D48" i="35"/>
  <c r="E48" i="35"/>
  <c r="F48" i="35"/>
  <c r="G48" i="35"/>
  <c r="H48" i="35"/>
  <c r="I48" i="35"/>
  <c r="J48" i="35"/>
  <c r="C52" i="37"/>
  <c r="D52" i="37"/>
  <c r="E52" i="37"/>
  <c r="F52" i="37"/>
  <c r="G52" i="37"/>
  <c r="C67" i="40"/>
  <c r="D65" i="40"/>
  <c r="D67" i="40"/>
  <c r="C72" i="39"/>
  <c r="D70" i="39"/>
  <c r="O19" i="46"/>
  <c r="H77" i="46"/>
  <c r="H63" i="46"/>
  <c r="H64" i="46"/>
  <c r="H10" i="48"/>
  <c r="K10" i="1"/>
  <c r="M10" i="1"/>
  <c r="O10" i="1"/>
  <c r="S11" i="1"/>
  <c r="R11" i="1"/>
  <c r="S13" i="1"/>
  <c r="R13" i="1"/>
  <c r="B6" i="1"/>
  <c r="E6" i="1"/>
  <c r="B10" i="1"/>
  <c r="E10" i="1"/>
  <c r="S10" i="1"/>
  <c r="B8" i="1"/>
  <c r="E8" i="1"/>
  <c r="B12" i="1"/>
  <c r="E12" i="1"/>
  <c r="S12" i="1"/>
  <c r="K6" i="1"/>
  <c r="C15" i="43"/>
  <c r="G1" i="15"/>
  <c r="F66" i="36"/>
  <c r="H18" i="36"/>
  <c r="AB18" i="36"/>
  <c r="U16" i="36"/>
  <c r="AA34" i="36"/>
  <c r="U23" i="36"/>
  <c r="AC27" i="36"/>
  <c r="W28" i="36"/>
  <c r="AA32" i="36"/>
  <c r="U13" i="36"/>
  <c r="AA22" i="36"/>
  <c r="U10" i="36"/>
  <c r="AA13" i="36"/>
  <c r="W29" i="36"/>
  <c r="W9" i="36"/>
  <c r="S9" i="36"/>
  <c r="W8" i="36"/>
  <c r="AC30" i="35"/>
  <c r="W32" i="35"/>
  <c r="AA33" i="35"/>
  <c r="U32" i="35"/>
  <c r="W22" i="35"/>
  <c r="S32" i="35"/>
  <c r="W35" i="37"/>
  <c r="AC33" i="37"/>
  <c r="U33" i="37"/>
  <c r="AC15" i="37"/>
  <c r="S12" i="37"/>
  <c r="W38" i="37"/>
  <c r="W36" i="37"/>
  <c r="U26" i="37"/>
  <c r="S28" i="37"/>
  <c r="U38" i="37"/>
  <c r="S26" i="37"/>
  <c r="AB35" i="34"/>
  <c r="AB47" i="34"/>
  <c r="AB13" i="34"/>
  <c r="S19" i="34"/>
  <c r="S8" i="34"/>
  <c r="AA19" i="33"/>
  <c r="AC25" i="33"/>
  <c r="S43" i="33"/>
  <c r="AB42" i="33"/>
  <c r="AB14" i="33"/>
  <c r="S15" i="33"/>
  <c r="S39" i="21"/>
  <c r="AB25" i="21"/>
  <c r="W25" i="21"/>
  <c r="AA25" i="21"/>
  <c r="AC37" i="21"/>
  <c r="W31" i="21"/>
  <c r="AA15" i="21"/>
  <c r="W29" i="21"/>
  <c r="G96" i="40"/>
  <c r="J27" i="40"/>
  <c r="W27" i="40"/>
  <c r="W37" i="40"/>
  <c r="S17" i="40"/>
  <c r="W30" i="40"/>
  <c r="S34" i="40"/>
  <c r="U17" i="40"/>
  <c r="U38" i="40"/>
  <c r="S40" i="40"/>
  <c r="S42" i="40"/>
  <c r="G105" i="39"/>
  <c r="J31" i="39"/>
  <c r="AC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31" i="39"/>
  <c r="B20" i="31"/>
  <c r="R22" i="31"/>
  <c r="B21" i="31"/>
  <c r="E58" i="39"/>
  <c r="E53" i="40"/>
  <c r="F27" i="6"/>
  <c r="E5" i="6"/>
  <c r="D12" i="11"/>
  <c r="C12" i="11"/>
  <c r="G29" i="6"/>
  <c r="AZ16" i="3"/>
  <c r="H70" i="46"/>
  <c r="A9" i="64"/>
  <c r="A3" i="55"/>
  <c r="B56" i="63"/>
  <c r="G59" i="34"/>
  <c r="H59" i="34"/>
  <c r="I59" i="34"/>
  <c r="J59" i="34"/>
  <c r="K59" i="34"/>
  <c r="L59" i="34"/>
  <c r="M59" i="34"/>
  <c r="N59" i="34"/>
  <c r="O59" i="34"/>
  <c r="F46" i="36"/>
  <c r="G46" i="36"/>
  <c r="H46" i="36"/>
  <c r="I46" i="36"/>
  <c r="J46" i="36"/>
  <c r="K46" i="36"/>
  <c r="L46" i="36"/>
  <c r="M46" i="36"/>
  <c r="N46" i="36"/>
  <c r="O46" i="36"/>
  <c r="D72" i="39"/>
  <c r="E70" i="39"/>
  <c r="E72" i="39"/>
  <c r="E65" i="40"/>
  <c r="E67" i="40"/>
  <c r="E4" i="4"/>
  <c r="B21" i="55"/>
  <c r="B72" i="63"/>
  <c r="C4" i="4"/>
  <c r="G66" i="36"/>
  <c r="J18" i="36"/>
  <c r="AE8" i="1"/>
  <c r="AE7" i="1"/>
  <c r="W18" i="36"/>
  <c r="AC18" i="36"/>
  <c r="AG6" i="1"/>
  <c r="E29" i="6"/>
  <c r="K15" i="1"/>
  <c r="L20" i="6"/>
  <c r="L19" i="6"/>
  <c r="B20" i="55"/>
  <c r="B70" i="63"/>
  <c r="F65" i="40"/>
  <c r="G65" i="40"/>
  <c r="H65" i="40"/>
  <c r="S7" i="1"/>
  <c r="S8" i="1"/>
  <c r="S9" i="1"/>
  <c r="F67" i="40"/>
  <c r="G67" i="40"/>
  <c r="R9" i="1"/>
  <c r="R7" i="1"/>
  <c r="R8" i="1"/>
  <c r="C45" i="9"/>
  <c r="H14" i="66"/>
  <c r="B7" i="66"/>
  <c r="K31" i="9"/>
  <c r="K32" i="9"/>
  <c r="N76" i="9"/>
  <c r="C46" i="9"/>
  <c r="K33" i="9"/>
  <c r="D21" i="12"/>
  <c r="C15" i="12"/>
  <c r="E12" i="67"/>
  <c r="B8" i="67"/>
  <c r="M26" i="44"/>
  <c r="M30" i="44"/>
  <c r="E13" i="67"/>
  <c r="N6" i="65"/>
  <c r="M24" i="44"/>
  <c r="F8" i="67"/>
  <c r="F9" i="67"/>
  <c r="E8" i="67"/>
  <c r="F40" i="44"/>
  <c r="F10" i="67"/>
  <c r="M28" i="15"/>
  <c r="L47" i="15"/>
  <c r="F37" i="15"/>
  <c r="F42" i="15"/>
  <c r="E9" i="67"/>
  <c r="M26" i="15"/>
  <c r="F43" i="44"/>
  <c r="E11" i="67"/>
  <c r="B13" i="67"/>
  <c r="M27" i="15"/>
  <c r="M10" i="44"/>
  <c r="F11" i="67"/>
  <c r="F15" i="44"/>
  <c r="F11" i="44"/>
  <c r="F7" i="15"/>
  <c r="F18" i="44"/>
  <c r="M29" i="15"/>
  <c r="M25" i="44"/>
  <c r="I5" i="65"/>
  <c r="L48" i="15"/>
  <c r="F28" i="44"/>
  <c r="I7" i="65"/>
  <c r="F13" i="67"/>
  <c r="F8" i="44"/>
  <c r="F6" i="15"/>
  <c r="N4" i="65"/>
  <c r="B9" i="67"/>
  <c r="I6" i="65"/>
  <c r="J17" i="44"/>
  <c r="M23" i="15"/>
  <c r="L48" i="44"/>
  <c r="J3" i="65"/>
  <c r="M24" i="15"/>
  <c r="N3" i="65"/>
  <c r="F12" i="67"/>
  <c r="I4" i="65"/>
  <c r="E14" i="67"/>
  <c r="B12" i="67"/>
  <c r="F38" i="44"/>
  <c r="I3" i="65"/>
  <c r="J5" i="65"/>
  <c r="M11" i="44"/>
  <c r="M8" i="44"/>
  <c r="M22" i="15"/>
  <c r="M8" i="15"/>
  <c r="N5" i="65"/>
  <c r="J36" i="15"/>
  <c r="F39" i="44"/>
  <c r="F26" i="15"/>
  <c r="M29" i="44"/>
  <c r="N7" i="65"/>
  <c r="J4" i="65"/>
  <c r="M6" i="15"/>
  <c r="F9" i="44"/>
  <c r="F38" i="15"/>
  <c r="F8" i="15"/>
  <c r="M9" i="15"/>
  <c r="B10" i="67"/>
  <c r="F10" i="44"/>
  <c r="F36" i="15"/>
  <c r="F13" i="15"/>
  <c r="J6" i="65"/>
  <c r="E10" i="67"/>
  <c r="J15" i="15"/>
  <c r="F16" i="15"/>
  <c r="B11" i="67"/>
  <c r="F9" i="15"/>
  <c r="B14" i="67"/>
  <c r="F40" i="15"/>
  <c r="L49" i="44"/>
  <c r="M31" i="44"/>
  <c r="F43" i="15"/>
  <c r="F14" i="67"/>
  <c r="M28" i="44"/>
  <c r="J7" i="65"/>
  <c r="H72" i="46"/>
  <c r="H60" i="46"/>
  <c r="H59" i="46"/>
  <c r="H69" i="46"/>
  <c r="H65" i="46"/>
  <c r="H75" i="46"/>
  <c r="C110" i="9"/>
  <c r="H74" i="46"/>
  <c r="H73" i="46"/>
  <c r="H76" i="46"/>
  <c r="F29" i="12"/>
  <c r="U34" i="39"/>
  <c r="W15" i="39"/>
  <c r="U23" i="35"/>
  <c r="W27" i="39"/>
  <c r="W47" i="39"/>
  <c r="AC47" i="39"/>
  <c r="U25" i="39"/>
  <c r="AB25" i="39"/>
  <c r="AZ362" i="3"/>
  <c r="AZ336" i="3"/>
  <c r="AZ328" i="3"/>
  <c r="AZ320" i="3"/>
  <c r="AZ379" i="3"/>
  <c r="AB31" i="37"/>
  <c r="U31" i="37"/>
  <c r="AZ482" i="3"/>
  <c r="AZ565" i="3"/>
  <c r="U27" i="33"/>
  <c r="AB27" i="33"/>
  <c r="AB9" i="34"/>
  <c r="U9" i="34"/>
  <c r="AA31" i="33"/>
  <c r="S31" i="33"/>
  <c r="AC46" i="33"/>
  <c r="W46" i="33"/>
  <c r="W31" i="34"/>
  <c r="AC31" i="34"/>
  <c r="AZ569" i="3"/>
  <c r="G30" i="6"/>
  <c r="G31" i="6"/>
  <c r="W15" i="40"/>
  <c r="AC15" i="40"/>
  <c r="U43" i="33"/>
  <c r="AB43" i="33"/>
  <c r="AZ508" i="3"/>
  <c r="AZ558" i="3"/>
  <c r="S30" i="33"/>
  <c r="AA30" i="33"/>
  <c r="AB40" i="37"/>
  <c r="U40" i="37"/>
  <c r="AZ566" i="3"/>
  <c r="K141" i="21"/>
  <c r="K144" i="21"/>
  <c r="AZ542" i="3"/>
  <c r="H5" i="3"/>
  <c r="BA572" i="3"/>
  <c r="AZ572" i="3"/>
  <c r="BG5" i="3"/>
  <c r="BA570" i="3"/>
  <c r="AZ570" i="3"/>
  <c r="BI5" i="3"/>
  <c r="K145" i="21"/>
  <c r="D60" i="59"/>
  <c r="C59" i="59"/>
  <c r="D59" i="59"/>
  <c r="C55" i="59"/>
  <c r="D55" i="59"/>
  <c r="D56" i="59"/>
  <c r="M19" i="46"/>
  <c r="V25" i="59"/>
  <c r="AJ10" i="46"/>
  <c r="AJ12" i="46"/>
  <c r="AF10" i="46"/>
  <c r="AF12" i="46"/>
  <c r="AB10" i="46"/>
  <c r="AB12" i="46"/>
  <c r="X10" i="59"/>
  <c r="AA11" i="59"/>
  <c r="E8" i="59"/>
  <c r="E7" i="59"/>
  <c r="E6" i="59"/>
  <c r="E5" i="59"/>
  <c r="U9" i="59"/>
  <c r="AB3" i="59"/>
  <c r="AA36" i="34"/>
  <c r="AZ494" i="3"/>
  <c r="AZ499" i="3"/>
  <c r="AZ519" i="3"/>
  <c r="AZ522" i="3"/>
  <c r="AZ533" i="3"/>
  <c r="AZ535" i="3"/>
  <c r="AZ538" i="3"/>
  <c r="U38" i="21"/>
  <c r="AB36" i="34"/>
  <c r="AC29" i="37"/>
  <c r="U42" i="21"/>
  <c r="S37" i="34"/>
  <c r="AA43" i="21"/>
  <c r="AZ370" i="3"/>
  <c r="AZ356" i="3"/>
  <c r="AZ345" i="3"/>
  <c r="AZ340" i="3"/>
  <c r="AZ329" i="3"/>
  <c r="AZ324" i="3"/>
  <c r="AZ305" i="3"/>
  <c r="AZ381" i="3"/>
  <c r="AZ359" i="3"/>
  <c r="AZ358" i="3"/>
  <c r="AZ355" i="3"/>
  <c r="AZ307" i="3"/>
  <c r="AA36" i="21"/>
  <c r="U19" i="21"/>
  <c r="AB8" i="34"/>
  <c r="H24" i="35"/>
  <c r="F24" i="35"/>
  <c r="H28" i="34"/>
  <c r="AZ20" i="3"/>
  <c r="AZ524" i="3"/>
  <c r="AZ532" i="3"/>
  <c r="AZ546" i="3"/>
  <c r="AZ564" i="3"/>
  <c r="AZ543" i="3"/>
  <c r="AZ502" i="3"/>
  <c r="AZ550" i="3"/>
  <c r="AZ556" i="3"/>
  <c r="S19" i="21"/>
  <c r="AB45" i="33"/>
  <c r="AC14" i="21"/>
  <c r="S46" i="21"/>
  <c r="J14" i="37"/>
  <c r="F14" i="37"/>
  <c r="H28" i="37"/>
  <c r="J28" i="37"/>
  <c r="J13" i="37"/>
  <c r="F13" i="37"/>
  <c r="H25" i="36"/>
  <c r="F25" i="36"/>
  <c r="H13" i="35"/>
  <c r="J13" i="35"/>
  <c r="J47" i="34"/>
  <c r="F47" i="34"/>
  <c r="F45" i="34"/>
  <c r="J45" i="34"/>
  <c r="F31" i="34"/>
  <c r="H31" i="34"/>
  <c r="H29" i="34"/>
  <c r="F29" i="34"/>
  <c r="F13" i="34"/>
  <c r="J13" i="34"/>
  <c r="H46" i="33"/>
  <c r="F46" i="33"/>
  <c r="J14" i="33"/>
  <c r="J40" i="37"/>
  <c r="J32" i="36"/>
  <c r="H31" i="33"/>
  <c r="J31" i="33"/>
  <c r="F27" i="33"/>
  <c r="J27" i="33"/>
  <c r="U34" i="37"/>
  <c r="S22" i="35"/>
  <c r="J28" i="34"/>
  <c r="U29" i="36"/>
  <c r="AC35" i="21"/>
  <c r="W9" i="34"/>
  <c r="W24" i="35"/>
  <c r="U31" i="35"/>
  <c r="U26" i="36"/>
  <c r="J9" i="21"/>
  <c r="F12" i="33"/>
  <c r="H12" i="33"/>
  <c r="J9" i="35"/>
  <c r="G559" i="3"/>
  <c r="G551" i="3"/>
  <c r="G547" i="3"/>
  <c r="G532" i="3"/>
  <c r="G505" i="3"/>
  <c r="G497" i="3"/>
  <c r="BL390" i="3"/>
  <c r="AZ390" i="3"/>
  <c r="G393" i="3"/>
  <c r="BL393" i="3"/>
  <c r="AZ393" i="3"/>
  <c r="G396" i="3"/>
  <c r="BL396" i="3"/>
  <c r="AZ396" i="3"/>
  <c r="BA397" i="3"/>
  <c r="AZ397" i="3"/>
  <c r="BA398" i="3"/>
  <c r="AZ398" i="3"/>
  <c r="BA399" i="3"/>
  <c r="AZ399" i="3"/>
  <c r="BL401" i="3"/>
  <c r="AZ401" i="3"/>
  <c r="BA402" i="3"/>
  <c r="AZ402" i="3"/>
  <c r="BA403" i="3"/>
  <c r="AZ403" i="3"/>
  <c r="G406" i="3"/>
  <c r="BL406" i="3"/>
  <c r="AZ406" i="3"/>
  <c r="G409" i="3"/>
  <c r="BL409" i="3"/>
  <c r="AZ409" i="3"/>
  <c r="G412" i="3"/>
  <c r="BL412" i="3"/>
  <c r="AZ412" i="3"/>
  <c r="BA413" i="3"/>
  <c r="AZ413" i="3"/>
  <c r="BA414" i="3"/>
  <c r="AZ414" i="3"/>
  <c r="BA415" i="3"/>
  <c r="AZ415" i="3"/>
  <c r="G418" i="3"/>
  <c r="G419" i="3"/>
  <c r="BL419" i="3"/>
  <c r="AZ419" i="3"/>
  <c r="BA420" i="3"/>
  <c r="AZ420" i="3"/>
  <c r="BL422" i="3"/>
  <c r="AZ422" i="3"/>
  <c r="G425" i="3"/>
  <c r="BL425" i="3"/>
  <c r="AZ425" i="3"/>
  <c r="G428" i="3"/>
  <c r="G429" i="3"/>
  <c r="BL429" i="3"/>
  <c r="AZ429" i="3"/>
  <c r="BL431" i="3"/>
  <c r="AZ431" i="3"/>
  <c r="BA432" i="3"/>
  <c r="AZ432" i="3"/>
  <c r="BA433" i="3"/>
  <c r="AZ433" i="3"/>
  <c r="BA434" i="3"/>
  <c r="AZ434" i="3"/>
  <c r="BL436" i="3"/>
  <c r="AZ436" i="3"/>
  <c r="BA437" i="3"/>
  <c r="AZ437" i="3"/>
  <c r="BA438" i="3"/>
  <c r="AZ438" i="3"/>
  <c r="BA439" i="3"/>
  <c r="AZ439" i="3"/>
  <c r="G442" i="3"/>
  <c r="G443" i="3"/>
  <c r="G444" i="3"/>
  <c r="G445" i="3"/>
  <c r="BL445" i="3"/>
  <c r="AZ445" i="3"/>
  <c r="G448" i="3"/>
  <c r="BL448" i="3"/>
  <c r="AZ448" i="3"/>
  <c r="BL450" i="3"/>
  <c r="AZ450" i="3"/>
  <c r="K108" i="46"/>
  <c r="K100" i="46"/>
  <c r="BA451" i="3"/>
  <c r="AZ451" i="3"/>
  <c r="BA452" i="3"/>
  <c r="AZ452" i="3"/>
  <c r="BL454" i="3"/>
  <c r="AZ454" i="3"/>
  <c r="BL456" i="3"/>
  <c r="AZ456" i="3"/>
  <c r="BA457" i="3"/>
  <c r="AZ457" i="3"/>
  <c r="BA458" i="3"/>
  <c r="AZ458" i="3"/>
  <c r="BA459" i="3"/>
  <c r="AZ459" i="3"/>
  <c r="BL461" i="3"/>
  <c r="AZ461" i="3"/>
  <c r="BA462" i="3"/>
  <c r="AZ462" i="3"/>
  <c r="BA463" i="3"/>
  <c r="AZ463" i="3"/>
  <c r="G466" i="3"/>
  <c r="G467" i="3"/>
  <c r="G468" i="3"/>
  <c r="BL468" i="3"/>
  <c r="AZ468" i="3"/>
  <c r="G471" i="3"/>
  <c r="G472" i="3"/>
  <c r="BL472" i="3"/>
  <c r="AZ472" i="3"/>
  <c r="BA473" i="3"/>
  <c r="AZ473" i="3"/>
  <c r="BA474" i="3"/>
  <c r="AZ474" i="3"/>
  <c r="BA475" i="3"/>
  <c r="AZ475" i="3"/>
  <c r="BL477" i="3"/>
  <c r="AZ477" i="3"/>
  <c r="BA478" i="3"/>
  <c r="AZ478" i="3"/>
  <c r="BA479" i="3"/>
  <c r="AZ479" i="3"/>
  <c r="BA297" i="3"/>
  <c r="AZ297" i="3"/>
  <c r="BA301" i="3"/>
  <c r="AZ301" i="3"/>
  <c r="BL306" i="3"/>
  <c r="AZ306" i="3"/>
  <c r="G311" i="3"/>
  <c r="BL312" i="3"/>
  <c r="AZ312" i="3"/>
  <c r="BA315" i="3"/>
  <c r="AZ315" i="3"/>
  <c r="BL319" i="3"/>
  <c r="AZ319" i="3"/>
  <c r="G325" i="3"/>
  <c r="BL326" i="3"/>
  <c r="AZ326" i="3"/>
  <c r="BL332" i="3"/>
  <c r="AZ332" i="3"/>
  <c r="BA334" i="3"/>
  <c r="AZ334" i="3"/>
  <c r="BA337" i="3"/>
  <c r="AZ337" i="3"/>
  <c r="BA341" i="3"/>
  <c r="AZ341" i="3"/>
  <c r="BL346" i="3"/>
  <c r="AZ346" i="3"/>
  <c r="BL351" i="3"/>
  <c r="AZ351" i="3"/>
  <c r="G363" i="3"/>
  <c r="G367" i="3"/>
  <c r="BA369" i="3"/>
  <c r="AZ369" i="3"/>
  <c r="G379" i="3"/>
  <c r="G383" i="3"/>
  <c r="BA385" i="3"/>
  <c r="AZ385" i="3"/>
  <c r="G388" i="3"/>
  <c r="G205" i="3"/>
  <c r="G206" i="3"/>
  <c r="BL206" i="3"/>
  <c r="AZ206" i="3"/>
  <c r="G209" i="3"/>
  <c r="G210" i="3"/>
  <c r="BL210" i="3"/>
  <c r="AZ210" i="3"/>
  <c r="BA211" i="3"/>
  <c r="AZ211" i="3"/>
  <c r="BA212" i="3"/>
  <c r="AZ212" i="3"/>
  <c r="BA213" i="3"/>
  <c r="AZ213" i="3"/>
  <c r="BL215" i="3"/>
  <c r="AZ215" i="3"/>
  <c r="BA216" i="3"/>
  <c r="AZ216" i="3"/>
  <c r="BA217" i="3"/>
  <c r="AZ217" i="3"/>
  <c r="G220" i="3"/>
  <c r="G221" i="3"/>
  <c r="G222" i="3"/>
  <c r="BL222" i="3"/>
  <c r="AZ222" i="3"/>
  <c r="G225" i="3"/>
  <c r="G226" i="3"/>
  <c r="BL226" i="3"/>
  <c r="AZ226" i="3"/>
  <c r="BA227" i="3"/>
  <c r="AZ227" i="3"/>
  <c r="BA228" i="3"/>
  <c r="AZ228" i="3"/>
  <c r="BA229" i="3"/>
  <c r="AZ229" i="3"/>
  <c r="BL231" i="3"/>
  <c r="AZ231" i="3"/>
  <c r="BA232" i="3"/>
  <c r="AZ232" i="3"/>
  <c r="BA233" i="3"/>
  <c r="AZ233" i="3"/>
  <c r="G236" i="3"/>
  <c r="G237" i="3"/>
  <c r="G238" i="3"/>
  <c r="BL238" i="3"/>
  <c r="AZ238" i="3"/>
  <c r="G241" i="3"/>
  <c r="G242" i="3"/>
  <c r="BL242" i="3"/>
  <c r="AZ242" i="3"/>
  <c r="BA243" i="3"/>
  <c r="AZ243" i="3"/>
  <c r="BA244" i="3"/>
  <c r="AZ244" i="3"/>
  <c r="BA245" i="3"/>
  <c r="AZ245" i="3"/>
  <c r="BL247" i="3"/>
  <c r="AZ247" i="3"/>
  <c r="BA248" i="3"/>
  <c r="AZ248" i="3"/>
  <c r="BA249" i="3"/>
  <c r="AZ249" i="3"/>
  <c r="G252" i="3"/>
  <c r="G253" i="3"/>
  <c r="G254" i="3"/>
  <c r="BL254" i="3"/>
  <c r="AZ254" i="3"/>
  <c r="G257" i="3"/>
  <c r="G258" i="3"/>
  <c r="BL258" i="3"/>
  <c r="AZ258" i="3"/>
  <c r="BA259" i="3"/>
  <c r="AZ259" i="3"/>
  <c r="BA260" i="3"/>
  <c r="AZ260" i="3"/>
  <c r="BA261" i="3"/>
  <c r="AZ261" i="3"/>
  <c r="BL263" i="3"/>
  <c r="AZ263" i="3"/>
  <c r="BA264" i="3"/>
  <c r="AZ264" i="3"/>
  <c r="BA265" i="3"/>
  <c r="AZ265" i="3"/>
  <c r="G268" i="3"/>
  <c r="G269" i="3"/>
  <c r="BL269" i="3"/>
  <c r="AZ269" i="3"/>
  <c r="G272" i="3"/>
  <c r="BL272" i="3"/>
  <c r="AZ272" i="3"/>
  <c r="BL274" i="3"/>
  <c r="AZ274" i="3"/>
  <c r="BA275" i="3"/>
  <c r="AZ275" i="3"/>
  <c r="BA276" i="3"/>
  <c r="AZ276" i="3"/>
  <c r="BL278" i="3"/>
  <c r="AZ278" i="3"/>
  <c r="BA279" i="3"/>
  <c r="AZ279" i="3"/>
  <c r="BL281" i="3"/>
  <c r="AZ281" i="3"/>
  <c r="G284" i="3"/>
  <c r="G285" i="3"/>
  <c r="BL285" i="3"/>
  <c r="AZ285" i="3"/>
  <c r="G288" i="3"/>
  <c r="BL288" i="3"/>
  <c r="AZ288" i="3"/>
  <c r="BA290" i="3"/>
  <c r="AZ290" i="3"/>
  <c r="BL292" i="3"/>
  <c r="AZ292" i="3"/>
  <c r="BA293" i="3"/>
  <c r="AZ293" i="3"/>
  <c r="BL295" i="3"/>
  <c r="AZ295" i="3"/>
  <c r="BA296" i="3"/>
  <c r="AZ296" i="3"/>
  <c r="G115" i="3"/>
  <c r="G118" i="3"/>
  <c r="G121" i="3"/>
  <c r="G122" i="3"/>
  <c r="BL124" i="3"/>
  <c r="AZ124" i="3"/>
  <c r="BA125" i="3"/>
  <c r="AZ125" i="3"/>
  <c r="BL126" i="3"/>
  <c r="AZ126" i="3"/>
  <c r="BA128" i="3"/>
  <c r="AZ128" i="3"/>
  <c r="G131" i="3"/>
  <c r="G134" i="3"/>
  <c r="G137" i="3"/>
  <c r="G138" i="3"/>
  <c r="BL140" i="3"/>
  <c r="AZ140" i="3"/>
  <c r="BA141" i="3"/>
  <c r="AZ141" i="3"/>
  <c r="BL142" i="3"/>
  <c r="AZ142" i="3"/>
  <c r="BA144" i="3"/>
  <c r="AZ144" i="3"/>
  <c r="G147" i="3"/>
  <c r="G150" i="3"/>
  <c r="G152" i="3"/>
  <c r="G153" i="3"/>
  <c r="G156" i="3"/>
  <c r="BL156" i="3"/>
  <c r="BA159" i="3"/>
  <c r="AZ159" i="3"/>
  <c r="G164" i="3"/>
  <c r="G165" i="3"/>
  <c r="BL167" i="3"/>
  <c r="AZ167" i="3"/>
  <c r="BA168" i="3"/>
  <c r="AZ168" i="3"/>
  <c r="BL169" i="3"/>
  <c r="AZ169" i="3"/>
  <c r="BA171" i="3"/>
  <c r="AZ171" i="3"/>
  <c r="G174" i="3"/>
  <c r="G177" i="3"/>
  <c r="G178" i="3"/>
  <c r="BL180" i="3"/>
  <c r="AZ180" i="3"/>
  <c r="BA182" i="3"/>
  <c r="AZ182" i="3"/>
  <c r="BA183" i="3"/>
  <c r="AZ183" i="3"/>
  <c r="BL184" i="3"/>
  <c r="AZ184" i="3"/>
  <c r="BA186" i="3"/>
  <c r="AZ186" i="3"/>
  <c r="BA187" i="3"/>
  <c r="AZ187" i="3"/>
  <c r="BL188" i="3"/>
  <c r="AZ188" i="3"/>
  <c r="BA190" i="3"/>
  <c r="AZ190" i="3"/>
  <c r="BA191" i="3"/>
  <c r="AZ191" i="3"/>
  <c r="BL192" i="3"/>
  <c r="AZ192" i="3"/>
  <c r="BA194" i="3"/>
  <c r="AZ194" i="3"/>
  <c r="BA195" i="3"/>
  <c r="AZ195" i="3"/>
  <c r="BL196" i="3"/>
  <c r="AZ196" i="3"/>
  <c r="BA198" i="3"/>
  <c r="AZ198" i="3"/>
  <c r="BA199" i="3"/>
  <c r="AZ199" i="3"/>
  <c r="BL200" i="3"/>
  <c r="AZ200" i="3"/>
  <c r="BL203" i="3"/>
  <c r="AZ203" i="3"/>
  <c r="BA204" i="3"/>
  <c r="AZ204" i="3"/>
  <c r="G23" i="3"/>
  <c r="G24" i="3"/>
  <c r="AA21" i="21"/>
  <c r="S21" i="21"/>
  <c r="AA21" i="37"/>
  <c r="S21" i="37"/>
  <c r="A26" i="51"/>
  <c r="B19" i="63"/>
  <c r="A26" i="64"/>
  <c r="G27" i="3"/>
  <c r="G28" i="3"/>
  <c r="BL28" i="3"/>
  <c r="AZ28" i="3"/>
  <c r="BA29" i="3"/>
  <c r="BL31" i="3"/>
  <c r="AZ31" i="3"/>
  <c r="G34" i="3"/>
  <c r="BL34" i="3"/>
  <c r="AZ34" i="3"/>
  <c r="G37" i="3"/>
  <c r="BL37" i="3"/>
  <c r="AZ37" i="3"/>
  <c r="BA38" i="3"/>
  <c r="AZ38" i="3"/>
  <c r="BA39" i="3"/>
  <c r="AZ39" i="3"/>
  <c r="BA40" i="3"/>
  <c r="AZ40" i="3"/>
  <c r="G43" i="3"/>
  <c r="G44" i="3"/>
  <c r="BL44" i="3"/>
  <c r="AZ44" i="3"/>
  <c r="BA45" i="3"/>
  <c r="AZ45" i="3"/>
  <c r="BL47" i="3"/>
  <c r="AZ47" i="3"/>
  <c r="G50" i="3"/>
  <c r="BL50" i="3"/>
  <c r="AZ50" i="3"/>
  <c r="G53" i="3"/>
  <c r="BL53" i="3"/>
  <c r="AZ53" i="3"/>
  <c r="BA54" i="3"/>
  <c r="AZ54" i="3"/>
  <c r="BA55" i="3"/>
  <c r="AZ55" i="3"/>
  <c r="BA56" i="3"/>
  <c r="AZ56" i="3"/>
  <c r="G59" i="3"/>
  <c r="G60" i="3"/>
  <c r="BL60" i="3"/>
  <c r="AZ60" i="3"/>
  <c r="BA61" i="3"/>
  <c r="AZ61" i="3"/>
  <c r="BL63" i="3"/>
  <c r="AZ63" i="3"/>
  <c r="BA64" i="3"/>
  <c r="AZ64" i="3"/>
  <c r="BL66" i="3"/>
  <c r="AZ66" i="3"/>
  <c r="BA67" i="3"/>
  <c r="AZ67" i="3"/>
  <c r="G70" i="3"/>
  <c r="G71" i="3"/>
  <c r="G72" i="3"/>
  <c r="BL72" i="3"/>
  <c r="AZ72" i="3"/>
  <c r="BA73" i="3"/>
  <c r="AZ73" i="3"/>
  <c r="BA74" i="3"/>
  <c r="AZ74" i="3"/>
  <c r="G77" i="3"/>
  <c r="BL77" i="3"/>
  <c r="AZ77" i="3"/>
  <c r="BL79" i="3"/>
  <c r="AZ79" i="3"/>
  <c r="BA80" i="3"/>
  <c r="AZ80" i="3"/>
  <c r="BL82" i="3"/>
  <c r="AZ82" i="3"/>
  <c r="BA83" i="3"/>
  <c r="AZ83" i="3"/>
  <c r="BA84" i="3"/>
  <c r="AZ84" i="3"/>
  <c r="BL86" i="3"/>
  <c r="AZ86" i="3"/>
  <c r="BA87" i="3"/>
  <c r="AZ87" i="3"/>
  <c r="G90" i="3"/>
  <c r="G91" i="3"/>
  <c r="G92" i="3"/>
  <c r="BL92" i="3"/>
  <c r="AZ92" i="3"/>
  <c r="BA93" i="3"/>
  <c r="AZ93" i="3"/>
  <c r="BA94" i="3"/>
  <c r="AZ94" i="3"/>
  <c r="G97" i="3"/>
  <c r="BL97" i="3"/>
  <c r="AZ97" i="3"/>
  <c r="BL99" i="3"/>
  <c r="AZ99" i="3"/>
  <c r="BA100" i="3"/>
  <c r="AZ100" i="3"/>
  <c r="BL102" i="3"/>
  <c r="AZ102" i="3"/>
  <c r="BA103" i="3"/>
  <c r="AZ103" i="3"/>
  <c r="G106" i="3"/>
  <c r="G107" i="3"/>
  <c r="G108" i="3"/>
  <c r="BL108" i="3"/>
  <c r="AZ108" i="3"/>
  <c r="BA109" i="3"/>
  <c r="AZ109" i="3"/>
  <c r="BA110" i="3"/>
  <c r="AZ110" i="3"/>
  <c r="BL112" i="3"/>
  <c r="AZ112" i="3"/>
  <c r="B65" i="46"/>
  <c r="B74" i="46"/>
  <c r="AA31" i="39"/>
  <c r="S31" i="39"/>
  <c r="AA18" i="36"/>
  <c r="S18" i="36"/>
  <c r="AA16" i="59"/>
  <c r="AA17" i="59"/>
  <c r="D27" i="59"/>
  <c r="C28" i="59"/>
  <c r="B36" i="59"/>
  <c r="B37" i="59"/>
  <c r="S37" i="59"/>
  <c r="Q51" i="59"/>
  <c r="Q50" i="59"/>
  <c r="T53" i="59"/>
  <c r="D53" i="59"/>
  <c r="I10" i="57"/>
  <c r="L16" i="4"/>
  <c r="AA14" i="59"/>
  <c r="Y16" i="59"/>
  <c r="Z16" i="59"/>
  <c r="Y18" i="59"/>
  <c r="Z18" i="59"/>
  <c r="Y19" i="59"/>
  <c r="Z19" i="59"/>
  <c r="Y20" i="59"/>
  <c r="Z20" i="59"/>
  <c r="Y21" i="59"/>
  <c r="Z21" i="59"/>
  <c r="AA22" i="59"/>
  <c r="Y23" i="59"/>
  <c r="Z23" i="59"/>
  <c r="C44" i="59"/>
  <c r="P75" i="15"/>
  <c r="A11" i="55"/>
  <c r="B62" i="63"/>
  <c r="A2" i="55"/>
  <c r="B55" i="63"/>
  <c r="J51" i="15"/>
  <c r="C21" i="12"/>
  <c r="C6" i="46"/>
  <c r="L27" i="6"/>
  <c r="C18" i="9"/>
  <c r="E14" i="52"/>
  <c r="D86" i="9"/>
  <c r="F72" i="9"/>
  <c r="M18" i="15"/>
  <c r="F30" i="44"/>
  <c r="C30" i="44"/>
  <c r="M20" i="44"/>
  <c r="F70" i="9"/>
  <c r="F32" i="15"/>
  <c r="F59" i="15"/>
  <c r="F27" i="43"/>
  <c r="C27" i="43"/>
  <c r="O9" i="1"/>
  <c r="P9" i="1"/>
  <c r="O11" i="1"/>
  <c r="P11" i="1"/>
  <c r="E28" i="6"/>
  <c r="F31" i="6"/>
  <c r="BL13" i="3"/>
  <c r="AZ13" i="3"/>
  <c r="H22" i="46"/>
  <c r="AI11" i="46"/>
  <c r="AI13" i="46"/>
  <c r="AD11" i="46"/>
  <c r="F101" i="46"/>
  <c r="K101" i="46"/>
  <c r="K109" i="46"/>
  <c r="H101" i="46"/>
  <c r="M101" i="46"/>
  <c r="D101" i="46"/>
  <c r="I101" i="46"/>
  <c r="G22" i="46"/>
  <c r="J101" i="46"/>
  <c r="J104" i="46"/>
  <c r="C101" i="46"/>
  <c r="J22" i="46"/>
  <c r="AE11" i="46"/>
  <c r="AE13" i="46"/>
  <c r="AJ11" i="46"/>
  <c r="AJ13" i="46"/>
  <c r="AF11" i="46"/>
  <c r="AA11" i="46"/>
  <c r="AA13" i="46"/>
  <c r="AH11" i="46"/>
  <c r="Z11" i="46"/>
  <c r="Z13" i="46"/>
  <c r="Y11" i="46"/>
  <c r="Y13" i="46"/>
  <c r="AG11" i="46"/>
  <c r="AG13" i="46"/>
  <c r="AC11" i="46"/>
  <c r="AC13" i="46"/>
  <c r="E22" i="46"/>
  <c r="N101" i="46"/>
  <c r="Z7" i="46"/>
  <c r="E101" i="46"/>
  <c r="F22" i="46"/>
  <c r="L101" i="46"/>
  <c r="N104" i="45"/>
  <c r="B113" i="46"/>
  <c r="G101" i="46"/>
  <c r="G102" i="46"/>
  <c r="C5" i="46"/>
  <c r="F80" i="46"/>
  <c r="H51" i="46"/>
  <c r="H50" i="46"/>
  <c r="H53" i="46"/>
  <c r="H48" i="46"/>
  <c r="H47" i="46"/>
  <c r="A25" i="51"/>
  <c r="B18" i="63"/>
  <c r="H66" i="46"/>
  <c r="H62" i="46"/>
  <c r="K17" i="4"/>
  <c r="A22" i="51"/>
  <c r="B16" i="63"/>
  <c r="O40" i="9"/>
  <c r="R7" i="54"/>
  <c r="B52" i="63"/>
  <c r="H67" i="40"/>
  <c r="I65" i="40"/>
  <c r="F70" i="39"/>
  <c r="I14" i="66"/>
  <c r="B8" i="66"/>
  <c r="K48" i="35"/>
  <c r="L48" i="35"/>
  <c r="M48" i="35"/>
  <c r="N48" i="35"/>
  <c r="O48" i="35"/>
  <c r="O41" i="9"/>
  <c r="R8" i="54"/>
  <c r="B54" i="63"/>
  <c r="H52" i="37"/>
  <c r="I52" i="37"/>
  <c r="J52" i="37"/>
  <c r="K52" i="37"/>
  <c r="L52" i="37"/>
  <c r="M52" i="37"/>
  <c r="N52" i="37"/>
  <c r="O52" i="37"/>
  <c r="K14" i="1"/>
  <c r="M14" i="1"/>
  <c r="C106" i="46"/>
  <c r="C105" i="46"/>
  <c r="C102" i="46"/>
  <c r="J109" i="46"/>
  <c r="D118" i="46"/>
  <c r="E118" i="46"/>
  <c r="F118" i="46"/>
  <c r="I116" i="46"/>
  <c r="J116" i="46"/>
  <c r="K116" i="46"/>
  <c r="L116" i="46"/>
  <c r="M116" i="46"/>
  <c r="I117" i="46"/>
  <c r="J117" i="46"/>
  <c r="K117" i="46"/>
  <c r="L117" i="46"/>
  <c r="M117" i="46"/>
  <c r="B115" i="46"/>
  <c r="B116" i="46"/>
  <c r="C116" i="46"/>
  <c r="G118" i="46"/>
  <c r="H118" i="46"/>
  <c r="D117" i="46"/>
  <c r="E117" i="46"/>
  <c r="F117" i="46"/>
  <c r="G117" i="46"/>
  <c r="H117" i="46"/>
  <c r="L102" i="46"/>
  <c r="L105" i="46"/>
  <c r="L104" i="46"/>
  <c r="E104" i="46"/>
  <c r="E106" i="46"/>
  <c r="E105" i="46"/>
  <c r="E109" i="46"/>
  <c r="N109" i="46"/>
  <c r="N105" i="46"/>
  <c r="N102" i="46"/>
  <c r="N107" i="46"/>
  <c r="E14" i="6"/>
  <c r="E15" i="6"/>
  <c r="E13" i="6"/>
  <c r="E58" i="21"/>
  <c r="U13" i="21"/>
  <c r="AB13" i="21"/>
  <c r="AB27" i="21"/>
  <c r="U27" i="21"/>
  <c r="W45" i="21"/>
  <c r="AC45" i="21"/>
  <c r="S9" i="21"/>
  <c r="AA9" i="21"/>
  <c r="E58" i="33"/>
  <c r="F58" i="33"/>
  <c r="G58" i="33"/>
  <c r="H58" i="33"/>
  <c r="I58" i="33"/>
  <c r="J58" i="33"/>
  <c r="K58" i="33"/>
  <c r="L58" i="33"/>
  <c r="M58" i="33"/>
  <c r="N58" i="33"/>
  <c r="O58" i="33"/>
  <c r="J7" i="33"/>
  <c r="H7" i="33"/>
  <c r="AC9" i="33"/>
  <c r="W9" i="33"/>
  <c r="S28" i="34"/>
  <c r="AA28" i="34"/>
  <c r="F7" i="36"/>
  <c r="F7" i="34"/>
  <c r="C104" i="46"/>
  <c r="F107" i="46"/>
  <c r="F105" i="46"/>
  <c r="F102" i="46"/>
  <c r="M6" i="1"/>
  <c r="P10" i="1"/>
  <c r="H7" i="37"/>
  <c r="F109" i="46"/>
  <c r="AZ526" i="3"/>
  <c r="AZ484" i="3"/>
  <c r="BL5" i="3"/>
  <c r="AC26" i="33"/>
  <c r="W26" i="33"/>
  <c r="AC23" i="36"/>
  <c r="W23" i="36"/>
  <c r="F7" i="37"/>
  <c r="J7" i="36"/>
  <c r="H7" i="36"/>
  <c r="H7" i="35"/>
  <c r="J7" i="35"/>
  <c r="H7" i="34"/>
  <c r="J7" i="34"/>
  <c r="A17" i="51"/>
  <c r="B13" i="63"/>
  <c r="AB11" i="46"/>
  <c r="AB13" i="46"/>
  <c r="D5" i="46"/>
  <c r="W32" i="40"/>
  <c r="S33" i="40"/>
  <c r="AC14" i="40"/>
  <c r="F71" i="9"/>
  <c r="F66" i="9"/>
  <c r="P72" i="9"/>
  <c r="AA36" i="35"/>
  <c r="AB15" i="37"/>
  <c r="U12" i="37"/>
  <c r="AA23" i="37"/>
  <c r="AC23" i="37"/>
  <c r="AC28" i="33"/>
  <c r="AB30" i="21"/>
  <c r="U30" i="33"/>
  <c r="H45" i="21"/>
  <c r="F45" i="21"/>
  <c r="F31" i="21"/>
  <c r="H31" i="21"/>
  <c r="F29" i="21"/>
  <c r="H29" i="21"/>
  <c r="F27" i="21"/>
  <c r="J27" i="21"/>
  <c r="F13" i="21"/>
  <c r="J13" i="21"/>
  <c r="W8" i="34"/>
  <c r="AA39" i="37"/>
  <c r="C29" i="39"/>
  <c r="AC40" i="21"/>
  <c r="W8" i="21"/>
  <c r="F26" i="33"/>
  <c r="H9" i="21"/>
  <c r="F9" i="33"/>
  <c r="H9" i="33"/>
  <c r="J12" i="35"/>
  <c r="J34" i="35"/>
  <c r="H34" i="35"/>
  <c r="F34" i="35"/>
  <c r="H12" i="36"/>
  <c r="F23" i="36"/>
  <c r="H25" i="37"/>
  <c r="J25" i="37"/>
  <c r="F25" i="37"/>
  <c r="G536" i="3"/>
  <c r="G524" i="3"/>
  <c r="G512" i="3"/>
  <c r="G489" i="3"/>
  <c r="G481" i="3"/>
  <c r="AZ389" i="3"/>
  <c r="AZ400" i="3"/>
  <c r="AZ404" i="3"/>
  <c r="AZ416" i="3"/>
  <c r="AZ421" i="3"/>
  <c r="AZ435" i="3"/>
  <c r="AZ440" i="3"/>
  <c r="AZ453" i="3"/>
  <c r="AZ460" i="3"/>
  <c r="AZ464" i="3"/>
  <c r="AZ476" i="3"/>
  <c r="AZ480" i="3"/>
  <c r="AZ368" i="3"/>
  <c r="AZ384" i="3"/>
  <c r="AZ386" i="3"/>
  <c r="AZ214" i="3"/>
  <c r="AZ218" i="3"/>
  <c r="AZ230" i="3"/>
  <c r="AZ234" i="3"/>
  <c r="AZ246" i="3"/>
  <c r="AZ250" i="3"/>
  <c r="AZ262" i="3"/>
  <c r="AZ266" i="3"/>
  <c r="AZ277" i="3"/>
  <c r="AZ280" i="3"/>
  <c r="AZ291" i="3"/>
  <c r="AZ156" i="3"/>
  <c r="AZ25" i="3"/>
  <c r="AZ30" i="3"/>
  <c r="AZ41" i="3"/>
  <c r="AZ46" i="3"/>
  <c r="AZ57" i="3"/>
  <c r="AZ62" i="3"/>
  <c r="AZ65" i="3"/>
  <c r="AZ68" i="3"/>
  <c r="AZ75" i="3"/>
  <c r="AZ81" i="3"/>
  <c r="AZ85" i="3"/>
  <c r="AZ88" i="3"/>
  <c r="AZ95" i="3"/>
  <c r="AZ101" i="3"/>
  <c r="AZ104" i="3"/>
  <c r="AZ111" i="3"/>
  <c r="A30" i="64"/>
  <c r="A30" i="51"/>
  <c r="B22" i="63"/>
  <c r="K13" i="1"/>
  <c r="M13" i="1"/>
  <c r="K12" i="1"/>
  <c r="I21" i="57"/>
  <c r="D1" i="57"/>
  <c r="E10" i="57"/>
  <c r="B54" i="46"/>
  <c r="C27" i="40"/>
  <c r="S27" i="40"/>
  <c r="S21" i="34"/>
  <c r="X14" i="59"/>
  <c r="B15" i="59"/>
  <c r="B16" i="59"/>
  <c r="B17" i="59"/>
  <c r="S17" i="59"/>
  <c r="X3" i="59"/>
  <c r="X11" i="59"/>
  <c r="X13" i="59"/>
  <c r="AB18" i="59"/>
  <c r="F19" i="59"/>
  <c r="F20" i="59"/>
  <c r="F21" i="59"/>
  <c r="V21" i="59"/>
  <c r="X22" i="59"/>
  <c r="B23" i="59"/>
  <c r="B24" i="59"/>
  <c r="B25" i="59"/>
  <c r="S25" i="59"/>
  <c r="E52" i="59"/>
  <c r="P53" i="59"/>
  <c r="U61" i="59"/>
  <c r="E60" i="59"/>
  <c r="E59" i="59"/>
  <c r="B12" i="59"/>
  <c r="B11" i="59"/>
  <c r="S13" i="59"/>
  <c r="C37" i="59"/>
  <c r="C51" i="59"/>
  <c r="D52" i="59"/>
  <c r="Q52" i="59"/>
  <c r="D35" i="59"/>
  <c r="AB11" i="59"/>
  <c r="X12" i="59"/>
  <c r="Y14" i="59"/>
  <c r="Z14" i="59"/>
  <c r="C15" i="59"/>
  <c r="X15" i="59"/>
  <c r="AA15" i="59"/>
  <c r="AA10" i="59"/>
  <c r="AA12" i="59"/>
  <c r="X16" i="59"/>
  <c r="X17" i="59"/>
  <c r="C20" i="59"/>
  <c r="AA18" i="59"/>
  <c r="E19" i="59"/>
  <c r="E20" i="59"/>
  <c r="E21" i="59"/>
  <c r="U21" i="59"/>
  <c r="X19" i="59"/>
  <c r="X21" i="59"/>
  <c r="Y22" i="59"/>
  <c r="Z22" i="59"/>
  <c r="C23" i="59"/>
  <c r="C40" i="59"/>
  <c r="C48" i="59"/>
  <c r="N53" i="59"/>
  <c r="B52" i="59"/>
  <c r="S53" i="59"/>
  <c r="V53" i="59"/>
  <c r="Q53" i="59"/>
  <c r="T61" i="59"/>
  <c r="D61" i="59"/>
  <c r="C13" i="59"/>
  <c r="Y9" i="59"/>
  <c r="Z9" i="59"/>
  <c r="Y10" i="59"/>
  <c r="Z10" i="59"/>
  <c r="Y11" i="59"/>
  <c r="Z11" i="59"/>
  <c r="Y12" i="59"/>
  <c r="Z12" i="59"/>
  <c r="Y13" i="59"/>
  <c r="Z13" i="59"/>
  <c r="Y3" i="59"/>
  <c r="Z3" i="59"/>
  <c r="AB9" i="59"/>
  <c r="F13" i="59"/>
  <c r="AB13" i="59"/>
  <c r="AB10" i="59"/>
  <c r="AB12" i="59"/>
  <c r="A28" i="51"/>
  <c r="A28" i="64"/>
  <c r="AB14" i="59"/>
  <c r="Y15" i="59"/>
  <c r="Z15" i="59"/>
  <c r="AB16" i="59"/>
  <c r="Y17" i="59"/>
  <c r="Z17" i="59"/>
  <c r="X18" i="59"/>
  <c r="AA19" i="59"/>
  <c r="X20" i="59"/>
  <c r="AA21" i="59"/>
  <c r="E12" i="59"/>
  <c r="E11" i="59"/>
  <c r="O76" i="9"/>
  <c r="K76" i="9"/>
  <c r="K77" i="9"/>
  <c r="K79" i="9"/>
  <c r="K81" i="9"/>
  <c r="X9" i="59"/>
  <c r="X8" i="59"/>
  <c r="AA7" i="59"/>
  <c r="AA8" i="59"/>
  <c r="AA9" i="59"/>
  <c r="X7" i="59"/>
  <c r="X6" i="59"/>
  <c r="AA6" i="59"/>
  <c r="AH10" i="46"/>
  <c r="AH12" i="46"/>
  <c r="AH13" i="46"/>
  <c r="AD10" i="46"/>
  <c r="AD12" i="46"/>
  <c r="C8" i="59"/>
  <c r="D9" i="59"/>
  <c r="F8" i="59"/>
  <c r="F7" i="59"/>
  <c r="F6" i="59"/>
  <c r="F5" i="59"/>
  <c r="V9" i="59"/>
  <c r="L76" i="9"/>
  <c r="Y7" i="59"/>
  <c r="Z7" i="59"/>
  <c r="Y8" i="59"/>
  <c r="Z8" i="59"/>
  <c r="AB7" i="59"/>
  <c r="AB8" i="59"/>
  <c r="Y6" i="59"/>
  <c r="Z6" i="59"/>
  <c r="AB6" i="59"/>
  <c r="X5" i="59"/>
  <c r="AA5" i="59"/>
  <c r="Y5" i="59"/>
  <c r="Z5" i="59"/>
  <c r="AB5" i="59"/>
  <c r="B6" i="52"/>
  <c r="E7" i="52"/>
  <c r="E6" i="52"/>
  <c r="E4" i="52"/>
  <c r="B7" i="52"/>
  <c r="E5" i="52"/>
  <c r="P21" i="46"/>
  <c r="B6" i="59"/>
  <c r="B5" i="59"/>
  <c r="P22" i="46"/>
  <c r="P23" i="46"/>
  <c r="P25" i="46"/>
  <c r="B73" i="39"/>
  <c r="P24" i="46"/>
  <c r="B68" i="40"/>
  <c r="E22" i="52"/>
  <c r="B22" i="52"/>
  <c r="B10" i="52"/>
  <c r="B11" i="52"/>
  <c r="B4" i="52"/>
  <c r="E9" i="52"/>
  <c r="C8" i="44"/>
  <c r="F63" i="15"/>
  <c r="F67" i="15"/>
  <c r="C4" i="65"/>
  <c r="B39" i="1"/>
  <c r="J60" i="44"/>
  <c r="J54" i="44"/>
  <c r="I55" i="44"/>
  <c r="J58" i="44"/>
  <c r="J56" i="44"/>
  <c r="J59" i="44"/>
  <c r="Q52" i="44"/>
  <c r="L57" i="44"/>
  <c r="J61" i="44"/>
  <c r="Q50" i="44"/>
  <c r="Q72" i="15"/>
  <c r="I1" i="65"/>
  <c r="Q73" i="44"/>
  <c r="F64" i="15"/>
  <c r="L60" i="44"/>
  <c r="L59" i="44"/>
  <c r="C27" i="15"/>
  <c r="F65" i="15"/>
  <c r="F50" i="15"/>
  <c r="L59" i="15"/>
  <c r="L58" i="15"/>
  <c r="F49" i="15"/>
  <c r="M7" i="15"/>
  <c r="J6" i="15"/>
  <c r="C29" i="44"/>
  <c r="F70" i="15"/>
  <c r="M9" i="44"/>
  <c r="J8" i="44"/>
  <c r="C6" i="15"/>
  <c r="J1" i="65"/>
  <c r="E20" i="46"/>
  <c r="I54" i="15"/>
  <c r="J57" i="15"/>
  <c r="J55" i="15"/>
  <c r="J58" i="15"/>
  <c r="Q51" i="15"/>
  <c r="J53" i="15"/>
  <c r="L56" i="15"/>
  <c r="E17" i="52"/>
  <c r="E11" i="52"/>
  <c r="E15" i="52"/>
  <c r="E13" i="52"/>
  <c r="B14" i="52"/>
  <c r="E8" i="52"/>
  <c r="E16" i="52"/>
  <c r="B5" i="52"/>
  <c r="B9" i="52"/>
  <c r="B16" i="52"/>
  <c r="B8" i="52"/>
  <c r="B13" i="52"/>
  <c r="E10" i="52"/>
  <c r="E21" i="52"/>
  <c r="M19" i="44"/>
  <c r="F33" i="44"/>
  <c r="M17" i="15"/>
  <c r="F58" i="15"/>
  <c r="F31" i="15"/>
  <c r="C18" i="44"/>
  <c r="C16" i="15"/>
  <c r="E3" i="65"/>
  <c r="E2" i="65"/>
  <c r="AF13" i="46"/>
  <c r="W9" i="35"/>
  <c r="AC9" i="35"/>
  <c r="AA12" i="33"/>
  <c r="S12" i="33"/>
  <c r="W28" i="34"/>
  <c r="AC28" i="34"/>
  <c r="AA27" i="33"/>
  <c r="S27" i="33"/>
  <c r="U31" i="33"/>
  <c r="AB31" i="33"/>
  <c r="AC40" i="37"/>
  <c r="W40" i="37"/>
  <c r="AA46" i="33"/>
  <c r="S46" i="33"/>
  <c r="W13" i="34"/>
  <c r="AC13" i="34"/>
  <c r="S29" i="34"/>
  <c r="AA29" i="34"/>
  <c r="AB31" i="34"/>
  <c r="U31" i="34"/>
  <c r="W45" i="34"/>
  <c r="AC45" i="34"/>
  <c r="AA47" i="34"/>
  <c r="S47" i="34"/>
  <c r="AC13" i="35"/>
  <c r="W13" i="35"/>
  <c r="AA25" i="36"/>
  <c r="S25" i="36"/>
  <c r="S13" i="37"/>
  <c r="AA13" i="37"/>
  <c r="AC28" i="37"/>
  <c r="W28" i="37"/>
  <c r="AA14" i="37"/>
  <c r="S14" i="37"/>
  <c r="AA24" i="35"/>
  <c r="S24" i="35"/>
  <c r="E11" i="6"/>
  <c r="E12" i="6"/>
  <c r="E10" i="6"/>
  <c r="C45" i="59"/>
  <c r="D44" i="59"/>
  <c r="D28" i="59"/>
  <c r="C29" i="59"/>
  <c r="AZ29" i="3"/>
  <c r="BA5" i="3"/>
  <c r="E27" i="6"/>
  <c r="U12" i="33"/>
  <c r="AB12" i="33"/>
  <c r="AC9" i="21"/>
  <c r="W9" i="21"/>
  <c r="W27" i="33"/>
  <c r="AC27" i="33"/>
  <c r="AC31" i="33"/>
  <c r="W31" i="33"/>
  <c r="AC32" i="36"/>
  <c r="W32" i="36"/>
  <c r="AC14" i="33"/>
  <c r="W14" i="33"/>
  <c r="AB46" i="33"/>
  <c r="U46" i="33"/>
  <c r="AA13" i="34"/>
  <c r="S13" i="34"/>
  <c r="U29" i="34"/>
  <c r="AB29" i="34"/>
  <c r="S31" i="34"/>
  <c r="AA31" i="34"/>
  <c r="S45" i="34"/>
  <c r="AA45" i="34"/>
  <c r="AC47" i="34"/>
  <c r="W47" i="34"/>
  <c r="AB13" i="35"/>
  <c r="U13" i="35"/>
  <c r="AB25" i="36"/>
  <c r="U25" i="36"/>
  <c r="AC13" i="37"/>
  <c r="W13" i="37"/>
  <c r="U28" i="37"/>
  <c r="AB28" i="37"/>
  <c r="AC14" i="37"/>
  <c r="W14" i="37"/>
  <c r="U28" i="34"/>
  <c r="AB28" i="34"/>
  <c r="AB24" i="35"/>
  <c r="U24" i="35"/>
  <c r="F7" i="33"/>
  <c r="AA7" i="33"/>
  <c r="R48" i="33"/>
  <c r="D18" i="9"/>
  <c r="M44" i="9"/>
  <c r="M43" i="9"/>
  <c r="E16" i="6"/>
  <c r="G109" i="46"/>
  <c r="K103" i="46"/>
  <c r="K26" i="6"/>
  <c r="M26" i="6"/>
  <c r="I26" i="6"/>
  <c r="S26" i="6"/>
  <c r="K24" i="6"/>
  <c r="M24" i="6"/>
  <c r="I24" i="6"/>
  <c r="S24" i="6"/>
  <c r="K22" i="6"/>
  <c r="M22" i="6"/>
  <c r="I22" i="6"/>
  <c r="S22" i="6"/>
  <c r="K25" i="6"/>
  <c r="M25" i="6"/>
  <c r="I25" i="6"/>
  <c r="S25" i="6"/>
  <c r="E30" i="6"/>
  <c r="E31" i="6"/>
  <c r="K23" i="6"/>
  <c r="M23" i="6"/>
  <c r="I23" i="6"/>
  <c r="S23" i="6"/>
  <c r="K21" i="6"/>
  <c r="M21" i="6"/>
  <c r="I21" i="6"/>
  <c r="S21" i="6"/>
  <c r="K16" i="1"/>
  <c r="K104" i="46"/>
  <c r="J103" i="46"/>
  <c r="AD13" i="46"/>
  <c r="K105" i="46"/>
  <c r="J102" i="46"/>
  <c r="J105" i="46"/>
  <c r="D22" i="46"/>
  <c r="C109" i="46"/>
  <c r="C103" i="46"/>
  <c r="C107" i="46"/>
  <c r="D106" i="46"/>
  <c r="D105" i="46"/>
  <c r="D107" i="46"/>
  <c r="D102" i="46"/>
  <c r="D104" i="46"/>
  <c r="D109" i="46"/>
  <c r="D103" i="46"/>
  <c r="H102" i="46"/>
  <c r="H107" i="46"/>
  <c r="H103" i="46"/>
  <c r="H104" i="46"/>
  <c r="H106" i="46"/>
  <c r="H109" i="46"/>
  <c r="H105" i="46"/>
  <c r="F106" i="46"/>
  <c r="F103" i="46"/>
  <c r="F104" i="46"/>
  <c r="G106" i="46"/>
  <c r="G103" i="46"/>
  <c r="G105" i="46"/>
  <c r="G107" i="46"/>
  <c r="G104" i="46"/>
  <c r="I115" i="46"/>
  <c r="J115" i="46"/>
  <c r="K115" i="46"/>
  <c r="L115" i="46"/>
  <c r="M115" i="46"/>
  <c r="B117" i="46"/>
  <c r="C117" i="46"/>
  <c r="I118" i="46"/>
  <c r="J118" i="46"/>
  <c r="K118" i="46"/>
  <c r="L118" i="46"/>
  <c r="M118" i="46"/>
  <c r="D115" i="46"/>
  <c r="E115" i="46"/>
  <c r="F115" i="46"/>
  <c r="G115" i="46"/>
  <c r="H115" i="46"/>
  <c r="D116" i="46"/>
  <c r="E116" i="46"/>
  <c r="F116" i="46"/>
  <c r="G116" i="46"/>
  <c r="H116" i="46"/>
  <c r="B118" i="46"/>
  <c r="C118" i="46"/>
  <c r="L106" i="46"/>
  <c r="L109" i="46"/>
  <c r="L107" i="46"/>
  <c r="L103" i="46"/>
  <c r="E103" i="46"/>
  <c r="E102" i="46"/>
  <c r="E107" i="46"/>
  <c r="N104" i="46"/>
  <c r="N103" i="46"/>
  <c r="N106" i="46"/>
  <c r="J107" i="46"/>
  <c r="J106" i="46"/>
  <c r="I105" i="46"/>
  <c r="I104" i="46"/>
  <c r="I103" i="46"/>
  <c r="I106" i="46"/>
  <c r="I102" i="46"/>
  <c r="I107" i="46"/>
  <c r="I109" i="46"/>
  <c r="M107" i="46"/>
  <c r="M102" i="46"/>
  <c r="M109" i="46"/>
  <c r="M106" i="46"/>
  <c r="M104" i="46"/>
  <c r="M103" i="46"/>
  <c r="M105" i="46"/>
  <c r="K107" i="46"/>
  <c r="K106" i="46"/>
  <c r="K102" i="46"/>
  <c r="H81" i="46"/>
  <c r="G81" i="46"/>
  <c r="H80" i="46"/>
  <c r="G80" i="46"/>
  <c r="H84" i="46"/>
  <c r="G84" i="46"/>
  <c r="H82" i="46"/>
  <c r="G82" i="46"/>
  <c r="H87" i="46"/>
  <c r="G87" i="46"/>
  <c r="H83" i="46"/>
  <c r="G83" i="46"/>
  <c r="H86" i="46"/>
  <c r="G86" i="46"/>
  <c r="H85" i="46"/>
  <c r="G85" i="46"/>
  <c r="J7" i="37"/>
  <c r="W7" i="37"/>
  <c r="I67" i="40"/>
  <c r="J65" i="40"/>
  <c r="G70" i="39"/>
  <c r="F72" i="39"/>
  <c r="C7" i="59"/>
  <c r="D8" i="59"/>
  <c r="D40" i="59"/>
  <c r="C41" i="59"/>
  <c r="D15" i="59"/>
  <c r="C16" i="59"/>
  <c r="D37" i="59"/>
  <c r="T37" i="59"/>
  <c r="O13" i="1"/>
  <c r="P13" i="1"/>
  <c r="AZ5" i="3"/>
  <c r="G5" i="3"/>
  <c r="B3" i="3"/>
  <c r="E481" i="3"/>
  <c r="W25" i="37"/>
  <c r="AC25" i="37"/>
  <c r="AA23" i="36"/>
  <c r="S23" i="36"/>
  <c r="S34" i="35"/>
  <c r="AA34" i="35"/>
  <c r="AC34" i="35"/>
  <c r="W34" i="35"/>
  <c r="AB9" i="33"/>
  <c r="U9" i="33"/>
  <c r="AB9" i="21"/>
  <c r="U9" i="21"/>
  <c r="AA13" i="21"/>
  <c r="S13" i="21"/>
  <c r="AA27" i="21"/>
  <c r="S27" i="21"/>
  <c r="S29" i="21"/>
  <c r="AA29" i="21"/>
  <c r="S31" i="21"/>
  <c r="AA31" i="21"/>
  <c r="U45" i="21"/>
  <c r="AB45" i="21"/>
  <c r="U7" i="34"/>
  <c r="AB7" i="34"/>
  <c r="T49" i="34"/>
  <c r="G49" i="34"/>
  <c r="AB7" i="35"/>
  <c r="T38" i="35"/>
  <c r="G38" i="35"/>
  <c r="U7" i="35"/>
  <c r="AC7" i="36"/>
  <c r="V36" i="36"/>
  <c r="I36" i="36"/>
  <c r="W7" i="36"/>
  <c r="AB7" i="37"/>
  <c r="T42" i="37"/>
  <c r="G42" i="37"/>
  <c r="U7" i="37"/>
  <c r="O6" i="1"/>
  <c r="P6" i="1"/>
  <c r="AA7" i="36"/>
  <c r="R36" i="36"/>
  <c r="S7" i="36"/>
  <c r="S7" i="33"/>
  <c r="F58" i="21"/>
  <c r="E67" i="39"/>
  <c r="E62" i="40"/>
  <c r="C115" i="46"/>
  <c r="D113" i="46"/>
  <c r="AC7" i="37"/>
  <c r="V42" i="37"/>
  <c r="I42" i="37"/>
  <c r="B21" i="63"/>
  <c r="N4" i="63"/>
  <c r="V13" i="59"/>
  <c r="F12" i="59"/>
  <c r="F11" i="59"/>
  <c r="T13" i="59"/>
  <c r="C12" i="59"/>
  <c r="D13" i="59"/>
  <c r="B51" i="59"/>
  <c r="N52" i="59"/>
  <c r="D48" i="59"/>
  <c r="C49" i="59"/>
  <c r="D23" i="59"/>
  <c r="C24" i="59"/>
  <c r="D20" i="59"/>
  <c r="C21" i="59"/>
  <c r="O51" i="59"/>
  <c r="O50" i="59"/>
  <c r="D51" i="59"/>
  <c r="E51" i="59"/>
  <c r="P52" i="59"/>
  <c r="M12" i="1"/>
  <c r="AA25" i="37"/>
  <c r="S25" i="37"/>
  <c r="U25" i="37"/>
  <c r="AB25" i="37"/>
  <c r="U12" i="36"/>
  <c r="AB12" i="36"/>
  <c r="AB34" i="35"/>
  <c r="U34" i="35"/>
  <c r="W12" i="35"/>
  <c r="AC12" i="35"/>
  <c r="AA9" i="33"/>
  <c r="S9" i="33"/>
  <c r="AA26" i="33"/>
  <c r="S26" i="33"/>
  <c r="AC13" i="21"/>
  <c r="W13" i="21"/>
  <c r="W27" i="21"/>
  <c r="AC27" i="21"/>
  <c r="U29" i="21"/>
  <c r="AB29" i="21"/>
  <c r="U31" i="21"/>
  <c r="AB31" i="21"/>
  <c r="AA45" i="21"/>
  <c r="S45" i="21"/>
  <c r="W7" i="34"/>
  <c r="AC7" i="34"/>
  <c r="V49" i="34"/>
  <c r="I49" i="34"/>
  <c r="W7" i="35"/>
  <c r="AC7" i="35"/>
  <c r="V38" i="35"/>
  <c r="I38" i="35"/>
  <c r="AB7" i="36"/>
  <c r="T36" i="36"/>
  <c r="G36" i="36"/>
  <c r="U7" i="36"/>
  <c r="AA7" i="37"/>
  <c r="R42" i="37"/>
  <c r="S7" i="37"/>
  <c r="Q16" i="1"/>
  <c r="S7" i="34"/>
  <c r="AA7" i="34"/>
  <c r="R49" i="34"/>
  <c r="U7" i="33"/>
  <c r="AB7" i="33"/>
  <c r="T48" i="33"/>
  <c r="G48" i="33"/>
  <c r="W7" i="33"/>
  <c r="AC7" i="33"/>
  <c r="V48" i="33"/>
  <c r="I48" i="33"/>
  <c r="E60" i="40"/>
  <c r="E65" i="39"/>
  <c r="E61" i="40"/>
  <c r="E66" i="39"/>
  <c r="O14" i="1"/>
  <c r="P14" i="1"/>
  <c r="F7" i="35"/>
  <c r="K34" i="9"/>
  <c r="C48" i="15"/>
  <c r="F17" i="11"/>
  <c r="C17" i="11"/>
  <c r="B40" i="1"/>
  <c r="O17" i="46"/>
  <c r="P17" i="46"/>
  <c r="G20" i="46"/>
  <c r="M17" i="46"/>
  <c r="N17" i="46"/>
  <c r="Q61" i="15"/>
  <c r="Q74" i="15"/>
  <c r="Q76" i="44"/>
  <c r="Q63" i="44"/>
  <c r="Q54" i="44"/>
  <c r="F1" i="44"/>
  <c r="F13" i="44"/>
  <c r="C12" i="44"/>
  <c r="C7" i="44"/>
  <c r="M11" i="15"/>
  <c r="J10" i="15"/>
  <c r="J5" i="15"/>
  <c r="F11" i="15"/>
  <c r="M13" i="44"/>
  <c r="J12" i="44"/>
  <c r="J7" i="44"/>
  <c r="F1" i="15"/>
  <c r="Q53" i="15"/>
  <c r="Q75" i="15"/>
  <c r="Q62" i="15"/>
  <c r="Q75" i="44"/>
  <c r="Q62" i="44"/>
  <c r="AE6" i="1"/>
  <c r="F45" i="44"/>
  <c r="H16" i="1"/>
  <c r="G6" i="1"/>
  <c r="G16" i="1"/>
  <c r="H12" i="39"/>
  <c r="AP6" i="1"/>
  <c r="AP16" i="1"/>
  <c r="F22" i="11"/>
  <c r="D45" i="59"/>
  <c r="T45" i="59"/>
  <c r="E64" i="39"/>
  <c r="E59" i="40"/>
  <c r="K20" i="6"/>
  <c r="M20" i="6"/>
  <c r="I20" i="6"/>
  <c r="S20" i="6"/>
  <c r="K19" i="6"/>
  <c r="D29" i="59"/>
  <c r="T29" i="59"/>
  <c r="E58" i="40"/>
  <c r="E63" i="39"/>
  <c r="E524" i="3"/>
  <c r="C23" i="46"/>
  <c r="S7" i="46"/>
  <c r="S5" i="46"/>
  <c r="S4" i="46"/>
  <c r="C21" i="46"/>
  <c r="S6" i="46"/>
  <c r="S3" i="46"/>
  <c r="S2" i="46"/>
  <c r="E489" i="3"/>
  <c r="E512" i="3"/>
  <c r="E41" i="46"/>
  <c r="C41" i="46"/>
  <c r="C20" i="46"/>
  <c r="K85" i="46"/>
  <c r="J85" i="46"/>
  <c r="D85" i="46"/>
  <c r="M85" i="46"/>
  <c r="N85" i="46"/>
  <c r="K83" i="46"/>
  <c r="M83" i="46"/>
  <c r="N83" i="46"/>
  <c r="K82" i="46"/>
  <c r="M82" i="46"/>
  <c r="N82" i="46"/>
  <c r="M80" i="46"/>
  <c r="N80" i="46"/>
  <c r="K80" i="46"/>
  <c r="M86" i="46"/>
  <c r="N86" i="46"/>
  <c r="K86" i="46"/>
  <c r="M87" i="46"/>
  <c r="N87" i="46"/>
  <c r="K87" i="46"/>
  <c r="K84" i="46"/>
  <c r="M84" i="46"/>
  <c r="N84" i="46"/>
  <c r="M81" i="46"/>
  <c r="N81" i="46"/>
  <c r="K81" i="46"/>
  <c r="G72" i="39"/>
  <c r="H70" i="39"/>
  <c r="J67" i="40"/>
  <c r="K65" i="40"/>
  <c r="AA7" i="35"/>
  <c r="R38" i="35"/>
  <c r="S7" i="35"/>
  <c r="I42" i="35"/>
  <c r="J42" i="35"/>
  <c r="I53" i="34"/>
  <c r="J53" i="34"/>
  <c r="O12" i="1"/>
  <c r="P12" i="1"/>
  <c r="P16" i="1"/>
  <c r="C13" i="12"/>
  <c r="P51" i="59"/>
  <c r="P50" i="59"/>
  <c r="T21" i="59"/>
  <c r="D21" i="59"/>
  <c r="D24" i="59"/>
  <c r="C25" i="59"/>
  <c r="D49" i="59"/>
  <c r="T49" i="59"/>
  <c r="G58" i="21"/>
  <c r="E36" i="36"/>
  <c r="R37" i="36"/>
  <c r="G53" i="34"/>
  <c r="H53" i="34"/>
  <c r="G54" i="34"/>
  <c r="H54" i="34"/>
  <c r="E536" i="3"/>
  <c r="E3" i="6"/>
  <c r="AY6" i="3"/>
  <c r="D7" i="59"/>
  <c r="C6" i="59"/>
  <c r="I52" i="33"/>
  <c r="J52" i="33"/>
  <c r="G52" i="33"/>
  <c r="H52" i="33"/>
  <c r="G53" i="33"/>
  <c r="H53" i="33"/>
  <c r="R50" i="34"/>
  <c r="E49" i="34"/>
  <c r="I54" i="34"/>
  <c r="J54" i="34"/>
  <c r="F24" i="43"/>
  <c r="C26" i="43"/>
  <c r="D24" i="43"/>
  <c r="F18" i="11"/>
  <c r="C18" i="11"/>
  <c r="C19" i="11"/>
  <c r="C20" i="11"/>
  <c r="C21" i="11"/>
  <c r="E42" i="37"/>
  <c r="I47" i="37"/>
  <c r="J47" i="37"/>
  <c r="R43" i="37"/>
  <c r="G40" i="36"/>
  <c r="H40" i="36"/>
  <c r="G41" i="36"/>
  <c r="H41" i="36"/>
  <c r="N51" i="59"/>
  <c r="N50" i="59"/>
  <c r="C11" i="59"/>
  <c r="D11" i="59"/>
  <c r="D12" i="59"/>
  <c r="I46" i="37"/>
  <c r="J46" i="37"/>
  <c r="R49" i="33"/>
  <c r="E48" i="33"/>
  <c r="I53" i="33"/>
  <c r="J53" i="33"/>
  <c r="M16" i="1"/>
  <c r="G47" i="37"/>
  <c r="H47" i="37"/>
  <c r="G46" i="37"/>
  <c r="H46" i="37"/>
  <c r="I41" i="36"/>
  <c r="J41" i="36"/>
  <c r="I40" i="36"/>
  <c r="J40" i="36"/>
  <c r="G42" i="35"/>
  <c r="H42" i="35"/>
  <c r="G43" i="35"/>
  <c r="H43" i="35"/>
  <c r="E413"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297" i="3"/>
  <c r="M6" i="3"/>
  <c r="E475" i="3"/>
  <c r="E241"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13" i="3"/>
  <c r="E490"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384" i="3"/>
  <c r="E371" i="3"/>
  <c r="E310" i="3"/>
  <c r="E567" i="3"/>
  <c r="E487" i="3"/>
  <c r="E329" i="3"/>
  <c r="AB6" i="3"/>
  <c r="E26" i="3"/>
  <c r="S6" i="3"/>
  <c r="E322" i="3"/>
  <c r="E511" i="3"/>
  <c r="E17" i="3"/>
  <c r="E377" i="3"/>
  <c r="E18" i="3"/>
  <c r="E358" i="3"/>
  <c r="E509" i="3"/>
  <c r="E20" i="3"/>
  <c r="E564" i="3"/>
  <c r="E561" i="3"/>
  <c r="E68" i="3"/>
  <c r="E192" i="3"/>
  <c r="E135"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571" i="3"/>
  <c r="D16" i="59"/>
  <c r="C17" i="59"/>
  <c r="D41" i="59"/>
  <c r="T41" i="59"/>
  <c r="J28" i="44"/>
  <c r="J26" i="44"/>
  <c r="J20" i="44"/>
  <c r="F21" i="43"/>
  <c r="C23" i="43"/>
  <c r="D21" i="43"/>
  <c r="F24" i="15"/>
  <c r="C24" i="15"/>
  <c r="F26" i="44"/>
  <c r="C26" i="44"/>
  <c r="F26" i="12"/>
  <c r="C34" i="44"/>
  <c r="C40" i="44"/>
  <c r="C52" i="15"/>
  <c r="C47" i="15"/>
  <c r="C10" i="15"/>
  <c r="C5" i="15"/>
  <c r="J26" i="15"/>
  <c r="J24" i="15"/>
  <c r="J18" i="15"/>
  <c r="F33" i="12"/>
  <c r="F46" i="44"/>
  <c r="F41" i="15"/>
  <c r="L52" i="44"/>
  <c r="J31" i="44"/>
  <c r="Q49" i="44"/>
  <c r="Q55" i="44"/>
  <c r="H12" i="40"/>
  <c r="U12" i="40"/>
  <c r="J12" i="39"/>
  <c r="W12" i="39"/>
  <c r="F12" i="39"/>
  <c r="S12" i="39"/>
  <c r="F12" i="40"/>
  <c r="S12" i="40"/>
  <c r="J12" i="40"/>
  <c r="AC12" i="40"/>
  <c r="C22" i="11"/>
  <c r="C23" i="11"/>
  <c r="B2" i="11"/>
  <c r="B5" i="11"/>
  <c r="J87" i="46"/>
  <c r="D87" i="46"/>
  <c r="S6" i="1"/>
  <c r="K27" i="6"/>
  <c r="M19" i="6"/>
  <c r="J83" i="46"/>
  <c r="D83" i="46"/>
  <c r="C34" i="12"/>
  <c r="D33" i="12"/>
  <c r="F68" i="15"/>
  <c r="J29" i="15"/>
  <c r="H6" i="3"/>
  <c r="AC6" i="3"/>
  <c r="O16" i="1"/>
  <c r="J81" i="46"/>
  <c r="D81" i="46"/>
  <c r="J86" i="46"/>
  <c r="D86" i="46"/>
  <c r="J80" i="46"/>
  <c r="D80" i="46"/>
  <c r="J84" i="46"/>
  <c r="D84" i="46"/>
  <c r="J82" i="46"/>
  <c r="D82" i="46"/>
  <c r="L65" i="40"/>
  <c r="K67" i="40"/>
  <c r="H72" i="39"/>
  <c r="I70" i="39"/>
  <c r="C14" i="12"/>
  <c r="C17" i="12"/>
  <c r="E52" i="33"/>
  <c r="F52" i="33"/>
  <c r="E53" i="33"/>
  <c r="F53" i="33"/>
  <c r="C42" i="37"/>
  <c r="C43" i="37"/>
  <c r="B3" i="37"/>
  <c r="B2" i="37"/>
  <c r="C50" i="34"/>
  <c r="B3" i="34"/>
  <c r="B2" i="34"/>
  <c r="C49" i="34"/>
  <c r="D16" i="43"/>
  <c r="C16" i="43"/>
  <c r="C21" i="4"/>
  <c r="O5" i="54"/>
  <c r="B45" i="63"/>
  <c r="D10" i="11"/>
  <c r="E6" i="6"/>
  <c r="D45" i="9"/>
  <c r="L38" i="9"/>
  <c r="B14" i="66"/>
  <c r="B1" i="66"/>
  <c r="D46" i="9"/>
  <c r="E41" i="36"/>
  <c r="F41" i="36"/>
  <c r="E40" i="36"/>
  <c r="F40" i="36"/>
  <c r="H58" i="21"/>
  <c r="D25" i="59"/>
  <c r="T25" i="59"/>
  <c r="AC12" i="39"/>
  <c r="AB12" i="40"/>
  <c r="R39" i="35"/>
  <c r="E38" i="35"/>
  <c r="D17" i="59"/>
  <c r="T17" i="59"/>
  <c r="E6" i="3"/>
  <c r="L16" i="1"/>
  <c r="N16" i="1"/>
  <c r="C29" i="43"/>
  <c r="C13" i="43"/>
  <c r="C49" i="33"/>
  <c r="B3" i="33"/>
  <c r="B2" i="33"/>
  <c r="C48" i="33"/>
  <c r="E46" i="37"/>
  <c r="F46" i="37"/>
  <c r="E47" i="37"/>
  <c r="F47" i="37"/>
  <c r="E54" i="34"/>
  <c r="F54" i="34"/>
  <c r="E53" i="34"/>
  <c r="F53" i="34"/>
  <c r="C5" i="59"/>
  <c r="D6" i="59"/>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C36" i="36"/>
  <c r="C37" i="36"/>
  <c r="B3" i="36"/>
  <c r="B2" i="36"/>
  <c r="W12" i="40"/>
  <c r="AB12" i="39"/>
  <c r="U12" i="39"/>
  <c r="Q69" i="44"/>
  <c r="L58" i="44"/>
  <c r="L61" i="44"/>
  <c r="L47" i="44"/>
  <c r="C32" i="15"/>
  <c r="C38" i="15"/>
  <c r="C59" i="15"/>
  <c r="C65" i="15"/>
  <c r="C27" i="12"/>
  <c r="D26" i="12"/>
  <c r="C32" i="12"/>
  <c r="D30" i="12"/>
  <c r="D16" i="12"/>
  <c r="C17" i="15"/>
  <c r="C19" i="44"/>
  <c r="Q67" i="44"/>
  <c r="Q58" i="44"/>
  <c r="AA12" i="39"/>
  <c r="B3" i="11"/>
  <c r="AA12" i="40"/>
  <c r="B4" i="11"/>
  <c r="M27" i="6"/>
  <c r="I19" i="6"/>
  <c r="S16" i="1"/>
  <c r="T6" i="1"/>
  <c r="E80" i="46"/>
  <c r="B78" i="46"/>
  <c r="C24" i="46"/>
  <c r="I72" i="39"/>
  <c r="J70" i="39"/>
  <c r="L67" i="40"/>
  <c r="M65" i="40"/>
  <c r="E63" i="40"/>
  <c r="C22" i="4"/>
  <c r="D19" i="6"/>
  <c r="D21" i="6"/>
  <c r="D25" i="6"/>
  <c r="D10" i="6"/>
  <c r="D13" i="6"/>
  <c r="H21" i="6"/>
  <c r="H24" i="6"/>
  <c r="D6" i="6"/>
  <c r="D23" i="6"/>
  <c r="D14" i="6"/>
  <c r="D28" i="6"/>
  <c r="D20" i="6"/>
  <c r="D8" i="6"/>
  <c r="H23" i="6"/>
  <c r="H19" i="6"/>
  <c r="D24" i="6"/>
  <c r="D22" i="6"/>
  <c r="D12" i="6"/>
  <c r="H25" i="6"/>
  <c r="D5" i="6"/>
  <c r="H22" i="6"/>
  <c r="D15" i="6"/>
  <c r="E68" i="39"/>
  <c r="K38" i="9"/>
  <c r="C14" i="66"/>
  <c r="B2" i="66"/>
  <c r="D26" i="6"/>
  <c r="D11" i="6"/>
  <c r="H20" i="6"/>
  <c r="D9" i="6"/>
  <c r="D29" i="6"/>
  <c r="H26" i="6"/>
  <c r="E46" i="9"/>
  <c r="F46" i="9"/>
  <c r="E45" i="9"/>
  <c r="F45" i="9"/>
  <c r="C14" i="43"/>
  <c r="C17" i="43"/>
  <c r="E43" i="35"/>
  <c r="F43" i="35"/>
  <c r="E42" i="35"/>
  <c r="F42" i="35"/>
  <c r="I43" i="35"/>
  <c r="J43" i="35"/>
  <c r="D13" i="11"/>
  <c r="C13" i="11"/>
  <c r="D5" i="59"/>
  <c r="M20" i="46"/>
  <c r="C19" i="46"/>
  <c r="C38" i="35"/>
  <c r="C39" i="35"/>
  <c r="B3" i="35"/>
  <c r="B2" i="35"/>
  <c r="I58" i="21"/>
  <c r="C7" i="66"/>
  <c r="C8" i="66"/>
  <c r="D19" i="12"/>
  <c r="C19" i="12"/>
  <c r="C16" i="12"/>
  <c r="C18" i="12"/>
  <c r="J59" i="15"/>
  <c r="J60" i="15"/>
  <c r="Q49" i="15"/>
  <c r="C33" i="15"/>
  <c r="Q68" i="44"/>
  <c r="Q59" i="44"/>
  <c r="D22" i="12"/>
  <c r="C14" i="15"/>
  <c r="Q77" i="44"/>
  <c r="Q64" i="44"/>
  <c r="C18" i="15"/>
  <c r="C15" i="15"/>
  <c r="S19" i="6"/>
  <c r="S27" i="6"/>
  <c r="I27" i="6"/>
  <c r="T13" i="1"/>
  <c r="T7" i="1"/>
  <c r="T11" i="1"/>
  <c r="T10" i="1"/>
  <c r="T9" i="1"/>
  <c r="T12" i="1"/>
  <c r="T8" i="1"/>
  <c r="R24" i="6"/>
  <c r="C22" i="12"/>
  <c r="C20" i="12"/>
  <c r="H27" i="6"/>
  <c r="D16" i="6"/>
  <c r="D30" i="6"/>
  <c r="R26" i="6"/>
  <c r="C18" i="43"/>
  <c r="C19" i="43"/>
  <c r="C25" i="43"/>
  <c r="C24" i="43"/>
  <c r="M67" i="40"/>
  <c r="N65" i="40"/>
  <c r="N67" i="40"/>
  <c r="J72" i="39"/>
  <c r="K70" i="39"/>
  <c r="J9" i="40"/>
  <c r="C35" i="46"/>
  <c r="T12" i="46"/>
  <c r="V12" i="46"/>
  <c r="T3" i="46"/>
  <c r="V3" i="46"/>
  <c r="C33" i="46"/>
  <c r="T16" i="46"/>
  <c r="V16" i="46"/>
  <c r="C36" i="46"/>
  <c r="T4" i="46"/>
  <c r="V4" i="46"/>
  <c r="T11" i="46"/>
  <c r="V11" i="46"/>
  <c r="T14" i="46"/>
  <c r="V14" i="46"/>
  <c r="T6" i="46"/>
  <c r="V6" i="46"/>
  <c r="C29" i="46"/>
  <c r="C39" i="46"/>
  <c r="T7" i="46"/>
  <c r="V7" i="46"/>
  <c r="T9" i="46"/>
  <c r="V9" i="46"/>
  <c r="C37" i="46"/>
  <c r="T8" i="46"/>
  <c r="V8" i="46"/>
  <c r="T13" i="46"/>
  <c r="V13" i="46"/>
  <c r="C34" i="46"/>
  <c r="T15" i="46"/>
  <c r="V15" i="46"/>
  <c r="T5" i="46"/>
  <c r="V5" i="46"/>
  <c r="T10" i="46"/>
  <c r="V10" i="46"/>
  <c r="T2" i="46"/>
  <c r="V2" i="46"/>
  <c r="C38" i="46"/>
  <c r="C23" i="12"/>
  <c r="J58" i="21"/>
  <c r="D7" i="66"/>
  <c r="D8" i="66"/>
  <c r="R23" i="6"/>
  <c r="R25" i="6"/>
  <c r="R19" i="6"/>
  <c r="D27" i="6"/>
  <c r="R22" i="6"/>
  <c r="R20" i="6"/>
  <c r="R21" i="6"/>
  <c r="A6" i="51"/>
  <c r="B7" i="63"/>
  <c r="A20" i="64"/>
  <c r="A20" i="51"/>
  <c r="B15" i="63"/>
  <c r="N5" i="54"/>
  <c r="B43" i="63"/>
  <c r="A6" i="64"/>
  <c r="C16" i="44"/>
  <c r="C19" i="15"/>
  <c r="C20" i="44"/>
  <c r="C17" i="44"/>
  <c r="T16" i="1"/>
  <c r="C20" i="15"/>
  <c r="C26" i="15"/>
  <c r="D31" i="6"/>
  <c r="R27" i="6"/>
  <c r="R6" i="1"/>
  <c r="C22" i="43"/>
  <c r="C21" i="43"/>
  <c r="C28" i="43"/>
  <c r="C30" i="43"/>
  <c r="C32" i="43"/>
  <c r="B2" i="43"/>
  <c r="B5" i="43"/>
  <c r="AC9" i="40"/>
  <c r="V44" i="40"/>
  <c r="I44" i="40"/>
  <c r="I48" i="40"/>
  <c r="J48" i="40"/>
  <c r="W9" i="40"/>
  <c r="F9" i="40"/>
  <c r="H9" i="40"/>
  <c r="K72" i="39"/>
  <c r="L70" i="39"/>
  <c r="K58" i="21"/>
  <c r="E34" i="46"/>
  <c r="G34" i="46"/>
  <c r="I34" i="46"/>
  <c r="G39" i="46"/>
  <c r="I39" i="46"/>
  <c r="E39" i="46"/>
  <c r="G36" i="46"/>
  <c r="I36" i="46"/>
  <c r="E36" i="46"/>
  <c r="E33" i="46"/>
  <c r="G33" i="46"/>
  <c r="I33" i="46"/>
  <c r="I6" i="6"/>
  <c r="I5" i="6"/>
  <c r="E38" i="46"/>
  <c r="G38" i="46"/>
  <c r="I38" i="46"/>
  <c r="G37" i="46"/>
  <c r="I37" i="46"/>
  <c r="E37" i="46"/>
  <c r="E29" i="46"/>
  <c r="C30" i="46"/>
  <c r="E30" i="46"/>
  <c r="E35" i="46"/>
  <c r="G35" i="46"/>
  <c r="I35" i="46"/>
  <c r="L57" i="15"/>
  <c r="L60" i="15"/>
  <c r="L46" i="15"/>
  <c r="F37" i="44"/>
  <c r="M23" i="44"/>
  <c r="M21" i="15"/>
  <c r="F7" i="67"/>
  <c r="F35" i="15"/>
  <c r="J22" i="44"/>
  <c r="C36" i="44"/>
  <c r="C21" i="44"/>
  <c r="C23" i="15"/>
  <c r="C29" i="15"/>
  <c r="C36" i="15"/>
  <c r="C22" i="44"/>
  <c r="C25" i="44"/>
  <c r="J20" i="15"/>
  <c r="F62" i="15"/>
  <c r="C61" i="15"/>
  <c r="C34" i="15"/>
  <c r="C31" i="15"/>
  <c r="R16" i="1"/>
  <c r="B4" i="43"/>
  <c r="B3" i="43"/>
  <c r="S9" i="40"/>
  <c r="AA9" i="40"/>
  <c r="R44" i="40"/>
  <c r="L72" i="39"/>
  <c r="M70" i="39"/>
  <c r="U9" i="40"/>
  <c r="AB9" i="40"/>
  <c r="T44" i="40"/>
  <c r="G44" i="40"/>
  <c r="E4" i="67"/>
  <c r="C26" i="46"/>
  <c r="C27" i="46"/>
  <c r="L58" i="21"/>
  <c r="Q58" i="15"/>
  <c r="Q67" i="15"/>
  <c r="E7" i="67"/>
  <c r="C28" i="44"/>
  <c r="Q50" i="15"/>
  <c r="C31" i="44"/>
  <c r="Q51" i="44"/>
  <c r="C56" i="15"/>
  <c r="C63" i="15"/>
  <c r="J19" i="15"/>
  <c r="J17" i="15"/>
  <c r="C13" i="15"/>
  <c r="C37" i="15"/>
  <c r="C30" i="15"/>
  <c r="C39" i="15"/>
  <c r="J14" i="15"/>
  <c r="J22" i="15"/>
  <c r="C60" i="15"/>
  <c r="C58" i="15"/>
  <c r="G49" i="40"/>
  <c r="H49" i="40"/>
  <c r="G48" i="40"/>
  <c r="H48" i="40"/>
  <c r="M72" i="39"/>
  <c r="N70" i="39"/>
  <c r="N72" i="39"/>
  <c r="E44" i="40"/>
  <c r="R45" i="40"/>
  <c r="J9" i="39"/>
  <c r="E3" i="67"/>
  <c r="M58" i="21"/>
  <c r="B2" i="46"/>
  <c r="B7" i="67"/>
  <c r="C19" i="9"/>
  <c r="C15" i="44"/>
  <c r="C43" i="44"/>
  <c r="J13" i="15"/>
  <c r="J23" i="15"/>
  <c r="J16" i="44"/>
  <c r="J24" i="44"/>
  <c r="J21" i="44"/>
  <c r="J19" i="44"/>
  <c r="C38" i="44"/>
  <c r="C35" i="44"/>
  <c r="C33" i="44"/>
  <c r="J35" i="15"/>
  <c r="J39" i="15"/>
  <c r="J40" i="15"/>
  <c r="Q71" i="15"/>
  <c r="C55" i="15"/>
  <c r="C64" i="15"/>
  <c r="C57" i="15"/>
  <c r="C66" i="15"/>
  <c r="C67" i="15"/>
  <c r="C70" i="15"/>
  <c r="J16" i="15"/>
  <c r="J25" i="15"/>
  <c r="C40" i="15"/>
  <c r="C43" i="15"/>
  <c r="Q70" i="15"/>
  <c r="L43" i="9"/>
  <c r="C45" i="40"/>
  <c r="C44" i="40"/>
  <c r="W9" i="39"/>
  <c r="AC9" i="39"/>
  <c r="V49" i="39"/>
  <c r="I49" i="39"/>
  <c r="E49" i="40"/>
  <c r="F49" i="40"/>
  <c r="I49" i="40"/>
  <c r="J49" i="40"/>
  <c r="E48" i="40"/>
  <c r="F48" i="40"/>
  <c r="H9" i="39"/>
  <c r="F9" i="39"/>
  <c r="B2" i="67"/>
  <c r="D4" i="46"/>
  <c r="B3" i="46"/>
  <c r="B4" i="46"/>
  <c r="N58" i="21"/>
  <c r="O58" i="21"/>
  <c r="J7" i="21"/>
  <c r="H7" i="21"/>
  <c r="F7" i="21"/>
  <c r="C20" i="9"/>
  <c r="L51" i="15"/>
  <c r="C21" i="9"/>
  <c r="Q72" i="44"/>
  <c r="J15" i="44"/>
  <c r="J25" i="44"/>
  <c r="C39" i="44"/>
  <c r="C32" i="44"/>
  <c r="C42" i="44"/>
  <c r="Q69" i="15"/>
  <c r="Q48" i="15"/>
  <c r="Q54" i="15"/>
  <c r="B2" i="15"/>
  <c r="Q66" i="15"/>
  <c r="Q76" i="15"/>
  <c r="C46" i="15"/>
  <c r="Q57" i="15"/>
  <c r="Q63" i="15"/>
  <c r="J42" i="15"/>
  <c r="J43" i="15"/>
  <c r="Q68" i="15"/>
  <c r="J18" i="44"/>
  <c r="J27" i="44"/>
  <c r="U9" i="39"/>
  <c r="AB9" i="39"/>
  <c r="T49" i="39"/>
  <c r="G49" i="39"/>
  <c r="I53" i="39"/>
  <c r="J53" i="39"/>
  <c r="AA9" i="39"/>
  <c r="R49" i="39"/>
  <c r="S9" i="39"/>
  <c r="B55" i="40"/>
  <c r="F55" i="40"/>
  <c r="B61" i="40"/>
  <c r="F61" i="40"/>
  <c r="B58" i="40"/>
  <c r="F58" i="40"/>
  <c r="B59" i="40"/>
  <c r="F59" i="40"/>
  <c r="B56" i="40"/>
  <c r="F56" i="40"/>
  <c r="B54" i="40"/>
  <c r="F54" i="40"/>
  <c r="B62" i="40"/>
  <c r="F62" i="40"/>
  <c r="B53" i="40"/>
  <c r="F53" i="40"/>
  <c r="B57" i="40"/>
  <c r="F57" i="40"/>
  <c r="F63" i="40"/>
  <c r="B2" i="40"/>
  <c r="B60" i="40"/>
  <c r="F60" i="40"/>
  <c r="S7" i="21"/>
  <c r="AA7" i="21"/>
  <c r="R48" i="21"/>
  <c r="AC7" i="21"/>
  <c r="V48" i="21"/>
  <c r="I48" i="21"/>
  <c r="W7" i="21"/>
  <c r="U7" i="21"/>
  <c r="AB7" i="21"/>
  <c r="T48" i="21"/>
  <c r="G48" i="21"/>
  <c r="B3" i="67"/>
  <c r="B4" i="67"/>
  <c r="Q71" i="44"/>
  <c r="Q70" i="44"/>
  <c r="C44" i="44"/>
  <c r="C45" i="44"/>
  <c r="B2" i="44"/>
  <c r="C10" i="12"/>
  <c r="C6" i="12"/>
  <c r="B3" i="15"/>
  <c r="C8" i="12"/>
  <c r="B3" i="44"/>
  <c r="B5" i="44"/>
  <c r="B4" i="44"/>
  <c r="R50" i="39"/>
  <c r="E49" i="39"/>
  <c r="B3" i="40"/>
  <c r="B4" i="40"/>
  <c r="B5" i="40"/>
  <c r="G53" i="39"/>
  <c r="H53" i="39"/>
  <c r="G54" i="39"/>
  <c r="H54" i="39"/>
  <c r="G52" i="21"/>
  <c r="H52" i="21"/>
  <c r="G53" i="21"/>
  <c r="H53" i="21"/>
  <c r="E48" i="21"/>
  <c r="R49" i="21"/>
  <c r="I52" i="21"/>
  <c r="J52" i="21"/>
  <c r="I53" i="21"/>
  <c r="J53" i="21"/>
  <c r="C24" i="12"/>
  <c r="C28" i="12"/>
  <c r="C26" i="12"/>
  <c r="C29" i="12"/>
  <c r="C31" i="12"/>
  <c r="C30" i="12"/>
  <c r="C49" i="39"/>
  <c r="C50" i="39"/>
  <c r="E54" i="39"/>
  <c r="F54" i="39"/>
  <c r="E53" i="39"/>
  <c r="F53" i="39"/>
  <c r="I54" i="39"/>
  <c r="J54" i="39"/>
  <c r="C49" i="21"/>
  <c r="B3" i="21"/>
  <c r="B2" i="21"/>
  <c r="C48" i="21"/>
  <c r="E53" i="21"/>
  <c r="F53" i="21"/>
  <c r="E52" i="21"/>
  <c r="F52" i="21"/>
  <c r="C35" i="12"/>
  <c r="C33" i="12"/>
  <c r="C36" i="12"/>
  <c r="B2" i="12"/>
  <c r="B65" i="39"/>
  <c r="F65" i="39"/>
  <c r="B60" i="39"/>
  <c r="F60" i="39"/>
  <c r="B63" i="39"/>
  <c r="F63" i="39"/>
  <c r="B62" i="39"/>
  <c r="F62" i="39"/>
  <c r="B64" i="39"/>
  <c r="F64" i="39"/>
  <c r="F68" i="39"/>
  <c r="B2" i="39"/>
  <c r="B66" i="39"/>
  <c r="F66" i="39"/>
  <c r="B58" i="39"/>
  <c r="F58" i="39"/>
  <c r="B61" i="39"/>
  <c r="F61" i="39"/>
  <c r="B59" i="39"/>
  <c r="F59" i="39"/>
  <c r="B67" i="39"/>
  <c r="F67" i="39"/>
  <c r="D19" i="9"/>
  <c r="L44" i="9"/>
  <c r="G19" i="9"/>
  <c r="D22" i="9"/>
  <c r="B5" i="39"/>
  <c r="B3" i="39"/>
  <c r="B4" i="39"/>
  <c r="B4" i="12"/>
  <c r="B5" i="12"/>
  <c r="B3" i="12"/>
  <c r="D20" i="9"/>
  <c r="D21" i="9"/>
  <c r="G20" i="9"/>
  <c r="G21" i="9"/>
  <c r="C32" i="9"/>
  <c r="N43" i="9"/>
  <c r="G22" i="9"/>
  <c r="C35" i="9"/>
  <c r="F42" i="9"/>
  <c r="C42" i="9"/>
  <c r="C34" i="9"/>
  <c r="C33" i="9"/>
  <c r="O38" i="9"/>
  <c r="O43" i="9"/>
  <c r="K25" i="9"/>
  <c r="K26" i="9"/>
  <c r="E42" i="9"/>
  <c r="P5" i="54"/>
  <c r="B46" i="63"/>
  <c r="M38" i="9"/>
  <c r="K27" i="9"/>
  <c r="D42" i="9"/>
  <c r="Q5" i="54"/>
  <c r="B47" i="63"/>
  <c r="N38" i="9"/>
  <c r="K28" i="9"/>
  <c r="R5" i="54"/>
  <c r="B48" i="63"/>
  <c r="D14" i="66"/>
  <c r="N68" i="9"/>
  <c r="C44" i="9"/>
  <c r="D63" i="9"/>
  <c r="N69" i="9"/>
  <c r="O39" i="9"/>
  <c r="F44" i="9"/>
  <c r="G14" i="66"/>
  <c r="E44" i="9"/>
  <c r="D44" i="9"/>
  <c r="E14" i="66"/>
  <c r="F14" i="66"/>
  <c r="C111" i="9"/>
  <c r="C104" i="9"/>
  <c r="C96" i="9"/>
  <c r="C91" i="9"/>
  <c r="C90" i="9"/>
  <c r="C103" i="9"/>
  <c r="D77" i="9"/>
  <c r="N75" i="9"/>
  <c r="C82" i="9"/>
  <c r="C81" i="9"/>
  <c r="C85" i="9"/>
  <c r="C86" i="9"/>
  <c r="D72" i="9"/>
  <c r="D70" i="9"/>
  <c r="D71" i="9"/>
  <c r="D66" i="9"/>
  <c r="N72" i="9"/>
  <c r="C113" i="9"/>
  <c r="C114" i="9"/>
  <c r="E114" i="9"/>
  <c r="E115" i="9"/>
  <c r="C97" i="9"/>
  <c r="C98" i="9"/>
  <c r="E98" i="9"/>
  <c r="E99" i="9"/>
  <c r="R6" i="54"/>
  <c r="B50" i="63"/>
  <c r="K29" i="9"/>
  <c r="K30" i="9"/>
  <c r="M86" i="9"/>
  <c r="N86" i="9"/>
  <c r="M84" i="9"/>
  <c r="N84" i="9"/>
  <c r="M88" i="9"/>
  <c r="N88" i="9"/>
  <c r="M87" i="9"/>
  <c r="N87" i="9"/>
  <c r="M85" i="9"/>
  <c r="N85" i="9"/>
  <c r="M83" i="9"/>
  <c r="N83" i="9"/>
  <c r="C99" i="9"/>
  <c r="C115" i="9"/>
  <c r="D76" i="9"/>
  <c r="D74" i="9"/>
  <c r="N74" i="9"/>
  <c r="O77" i="9"/>
  <c r="O78" i="9"/>
  <c r="N89" i="9"/>
  <c r="O89" i="9"/>
  <c r="O79" i="9"/>
  <c r="O80" i="9"/>
  <c r="Q77" i="9"/>
  <c r="O81" i="9"/>
  <c r="D15" i="66"/>
  <c r="G15" i="66"/>
  <c r="B6" i="66"/>
  <c r="E15" i="66"/>
  <c r="B5" i="66"/>
  <c r="F15" i="66"/>
  <c r="C5" i="66"/>
  <c r="D5"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<sst xmlns="http://schemas.openxmlformats.org/spreadsheetml/2006/main" count="6865" uniqueCount="3035">
  <si>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</si>
  <si>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</si>
  <si>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</si>
  <si>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</si>
  <si>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</si>
  <si>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</si>
  <si>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</si>
  <si>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</si>
  <si>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</si>
  <si>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</si>
  <si>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</si>
  <si>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</si>
  <si>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</si>
  <si>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</si>
  <si>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</si>
  <si>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</si>
  <si>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</si>
  <si>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</si>
  <si>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</si>
  <si>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</si>
  <si>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</si>
  <si>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</si>
  <si>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</si>
  <si>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</si>
  <si>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</si>
  <si>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</si>
  <si>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</si>
  <si>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</si>
  <si>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</si>
  <si>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</si>
  <si>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</si>
  <si>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</si>
  <si>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</si>
  <si>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</si>
  <si>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</si>
  <si>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</si>
  <si>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</si>
  <si>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</si>
  <si>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</si>
  <si>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</si>
  <si>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</si>
  <si>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</si>
  <si>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</si>
  <si>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</si>
  <si>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</si>
  <si>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</si>
  <si>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</si>
  <si>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</si>
  <si>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</si>
  <si>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</si>
  <si>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</si>
  <si>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</si>
  <si>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</si>
  <si>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</si>
  <si>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</si>
  <si>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</si>
  <si>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</si>
  <si>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</si>
  <si>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</si>
  <si>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</si>
  <si>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</si>
  <si>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</si>
  <si>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</si>
  <si>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</si>
  <si>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</si>
  <si>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</si>
  <si>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</si>
  <si>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</si>
  <si>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</si>
  <si>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</si>
  <si>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</si>
  <si>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</si>
  <si>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</si>
  <si>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</si>
  <si>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</si>
  <si>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</si>
  <si>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</si>
  <si>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</si>
  <si>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</si>
  <si>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</si>
  <si>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</si>
  <si>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</si>
  <si>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</si>
  <si>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</si>
  <si>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</si>
  <si>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</si>
  <si>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</si>
  <si>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</si>
  <si>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</si>
  <si>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</si>
  <si>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</si>
  <si>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</si>
  <si>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</si>
  <si>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</si>
  <si>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</si>
  <si>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</si>
  <si>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</si>
  <si>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</si>
  <si>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</si>
  <si>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</si>
  <si>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</si>
  <si>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</si>
  <si>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</si>
  <si>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</si>
  <si>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</si>
  <si>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</si>
  <si>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</si>
  <si>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</si>
  <si>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</si>
  <si>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</si>
  <si>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</si>
  <si>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</si>
  <si>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</si>
  <si>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</si>
  <si>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</si>
  <si>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</si>
  <si>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</si>
  <si>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</si>
  <si>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</si>
  <si>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</si>
  <si>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</si>
  <si>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</si>
  <si>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</si>
  <si>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</si>
  <si>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</si>
  <si>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</si>
  <si>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</si>
  <si>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</si>
  <si>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</si>
  <si>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</si>
  <si>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</si>
  <si>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</si>
  <si>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</si>
  <si>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</si>
  <si>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</si>
  <si>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</si>
  <si>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</si>
  <si>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</si>
  <si>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</si>
  <si>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</si>
  <si>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</si>
  <si>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</si>
  <si>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</si>
  <si>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</si>
  <si>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</si>
  <si>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</si>
  <si>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</si>
  <si>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</si>
  <si>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</si>
  <si>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</si>
  <si>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</si>
  <si>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</si>
  <si>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</si>
  <si>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</si>
  <si>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</si>
  <si>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</si>
  <si>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</si>
  <si>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</si>
  <si>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</si>
  <si>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</si>
  <si>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</si>
  <si>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</si>
  <si>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</si>
  <si>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</si>
  <si>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</si>
  <si>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</si>
  <si>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</si>
  <si>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</si>
  <si>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</si>
  <si>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</si>
  <si>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</si>
  <si>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</si>
  <si>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</si>
  <si>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</si>
  <si>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</si>
  <si>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</si>
  <si>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</si>
  <si>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</si>
  <si>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</si>
  <si>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</si>
  <si>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</si>
  <si>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</si>
  <si>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</si>
  <si>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</si>
  <si>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</si>
  <si>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</si>
  <si>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</si>
  <si>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</si>
  <si>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</si>
  <si>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</si>
  <si>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</si>
  <si>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</si>
  <si>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</si>
  <si>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</si>
  <si>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</si>
  <si>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</si>
  <si>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</si>
  <si>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</si>
  <si>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</si>
  <si>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</si>
  <si>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</si>
  <si>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</si>
  <si>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</si>
  <si>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</si>
  <si>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</si>
  <si>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</si>
  <si>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</si>
  <si>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</si>
  <si>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</si>
  <si>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</si>
  <si>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</si>
  <si>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</si>
  <si>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</si>
  <si>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</si>
  <si>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</si>
  <si>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</si>
  <si>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</si>
  <si>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</si>
  <si>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</si>
  <si>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</si>
  <si>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</si>
  <si>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</si>
  <si>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</si>
  <si>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</si>
  <si>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</si>
  <si>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</si>
  <si>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</si>
  <si>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</si>
  <si>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</si>
  <si>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</si>
  <si>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</si>
  <si>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</si>
  <si>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</si>
  <si>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</si>
  <si>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</si>
  <si>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</si>
  <si>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</si>
  <si>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</si>
  <si>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</si>
  <si>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</si>
  <si>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</si>
  <si>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</si>
  <si>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</si>
  <si>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</si>
  <si>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</si>
  <si>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</si>
  <si>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</si>
  <si>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</si>
  <si>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</si>
  <si>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</si>
  <si>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</si>
  <si>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</si>
  <si>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</si>
  <si>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</si>
  <si>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</si>
  <si>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</si>
  <si>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</si>
  <si>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</si>
  <si>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</si>
  <si>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</si>
  <si>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</si>
  <si>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</si>
  <si>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</si>
  <si>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</si>
  <si>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</si>
  <si>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</si>
  <si>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</si>
  <si>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</si>
  <si>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</si>
  <si>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</si>
  <si>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</si>
  <si>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</si>
  <si>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</si>
  <si>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</si>
  <si>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</si>
  <si>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</si>
  <si>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</si>
  <si>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</si>
  <si>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</si>
  <si>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</si>
  <si>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</si>
  <si>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</si>
  <si>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</si>
  <si>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</si>
  <si>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</si>
  <si>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</si>
  <si>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</si>
  <si>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</si>
  <si>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</si>
  <si>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</si>
  <si>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</si>
  <si>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</si>
  <si>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</si>
  <si>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</si>
  <si>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</si>
  <si>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</si>
  <si>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</si>
  <si>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</si>
  <si>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</si>
  <si>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</si>
  <si>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</si>
  <si>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</si>
  <si>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</si>
  <si>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</si>
  <si>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</si>
  <si>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</si>
  <si>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</si>
  <si>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</si>
  <si>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</si>
  <si>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</si>
  <si>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</si>
  <si>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</si>
  <si>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</si>
  <si>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</si>
  <si>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</si>
  <si>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</si>
  <si>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</si>
  <si>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</si>
  <si>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</si>
  <si>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</si>
  <si>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</si>
  <si>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</si>
  <si>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</si>
  <si>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</si>
  <si>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</si>
  <si>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</si>
  <si>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</si>
  <si>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</si>
  <si>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</si>
  <si>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</si>
  <si>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</si>
  <si>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</si>
  <si>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</si>
  <si>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</si>
  <si>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</si>
  <si>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</si>
  <si>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</si>
  <si>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</si>
  <si>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</si>
  <si>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</si>
  <si>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</si>
  <si>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</si>
  <si>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</si>
  <si>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</si>
  <si>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</si>
  <si>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</si>
  <si>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</si>
  <si>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</si>
  <si>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</si>
  <si>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</si>
  <si>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</si>
  <si>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</si>
  <si>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</si>
  <si>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</si>
  <si>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</si>
  <si>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</si>
  <si>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</si>
  <si>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</si>
  <si>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</si>
  <si>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</si>
  <si>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</si>
  <si>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</si>
  <si>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</si>
  <si>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</si>
  <si>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</si>
  <si>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</si>
  <si>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</si>
  <si>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</si>
  <si>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</si>
  <si>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</si>
  <si>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</si>
  <si>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</si>
  <si>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</si>
  <si>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</si>
  <si>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</si>
  <si>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</si>
  <si>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</si>
  <si>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</si>
  <si>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</si>
  <si>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</si>
  <si>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</si>
  <si>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</si>
  <si>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</si>
  <si>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</si>
  <si>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</si>
  <si>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</si>
  <si>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</si>
  <si>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</si>
  <si>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</si>
  <si>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</si>
  <si>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</si>
  <si>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</si>
  <si>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</si>
  <si>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</si>
  <si>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</si>
  <si>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</si>
  <si>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</si>
  <si>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</si>
  <si>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</si>
  <si>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</si>
  <si>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</si>
  <si>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</si>
  <si>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</si>
  <si>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</si>
  <si>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</si>
  <si>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</si>
  <si>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</si>
  <si>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</si>
  <si>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</si>
  <si>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</si>
  <si>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</si>
  <si>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</si>
  <si>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</si>
  <si>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</si>
  <si>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</si>
  <si>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</si>
  <si>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</si>
  <si>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</si>
  <si>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</si>
  <si>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</si>
  <si>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</si>
  <si>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</si>
  <si>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</si>
  <si>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</si>
  <si>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</si>
  <si>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</si>
  <si>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</si>
  <si>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</si>
  <si>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</si>
  <si>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</si>
  <si>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</si>
  <si>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</si>
  <si>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</si>
  <si>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</si>
  <si>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</si>
  <si>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</si>
  <si>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</si>
  <si>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</si>
  <si>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</si>
  <si>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</si>
  <si>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</si>
  <si>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</si>
  <si>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</si>
  <si>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</si>
  <si>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</si>
  <si>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</si>
  <si>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</si>
  <si>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</si>
  <si>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</si>
  <si>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</si>
  <si>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</si>
  <si>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</si>
  <si>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</si>
  <si>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</si>
  <si>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</si>
  <si>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</si>
  <si>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</si>
  <si>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</si>
  <si>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</si>
  <si>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</si>
  <si>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</si>
  <si>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</si>
  <si>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</si>
  <si>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</si>
  <si>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</si>
  <si>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</si>
  <si>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</si>
  <si>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</si>
  <si>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</si>
  <si>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</si>
  <si>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</si>
  <si>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</si>
  <si>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</si>
  <si>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</si>
  <si>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</si>
  <si>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</si>
  <si>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</si>
  <si>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</si>
  <si>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</si>
  <si>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</si>
  <si>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</si>
  <si>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</si>
  <si>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</si>
  <si>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</si>
  <si>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</si>
  <si>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</si>
  <si>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</si>
  <si>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</si>
  <si>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</si>
  <si>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</si>
  <si>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</si>
  <si>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</si>
  <si>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</si>
  <si>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</si>
  <si>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</si>
  <si>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</si>
  <si>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</si>
  <si>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</si>
  <si>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</si>
  <si>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</si>
  <si>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</si>
  <si>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</si>
  <si>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</si>
  <si>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</si>
  <si>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</si>
  <si>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</si>
  <si>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</si>
  <si>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</si>
  <si>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</si>
  <si>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</si>
  <si>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</si>
  <si>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</si>
  <si>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</si>
  <si>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</si>
  <si>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</si>
  <si>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</si>
  <si>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</si>
  <si>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</si>
  <si>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</si>
  <si>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</si>
  <si>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</si>
  <si>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</si>
  <si>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</si>
  <si>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</si>
  <si>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</si>
  <si>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</si>
  <si>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</si>
  <si>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</si>
  <si>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</si>
  <si>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</si>
  <si>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</si>
  <si>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</si>
  <si>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</si>
  <si>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</si>
  <si>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</si>
  <si>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</si>
  <si>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</si>
  <si>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</si>
  <si>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</si>
  <si>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</si>
  <si>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</si>
  <si>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</si>
  <si>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</si>
  <si>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</si>
  <si>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</si>
  <si>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</si>
  <si>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</si>
  <si>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</si>
  <si>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</si>
  <si>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</si>
  <si>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</si>
  <si>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</si>
  <si>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</si>
  <si>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</si>
  <si>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</si>
  <si>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</si>
  <si>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</si>
  <si>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</si>
  <si>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</si>
  <si>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</si>
  <si>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</si>
  <si>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</si>
  <si>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</si>
  <si>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</si>
  <si>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</si>
  <si>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</si>
  <si>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</si>
  <si>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</si>
  <si>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</si>
  <si>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</si>
  <si>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</si>
  <si>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</si>
  <si>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</si>
  <si>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</si>
  <si>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</si>
  <si>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</si>
  <si>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</si>
  <si>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</si>
  <si>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</si>
  <si>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</si>
  <si>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</si>
  <si>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</si>
  <si>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</si>
  <si>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</si>
  <si>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</si>
  <si>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</si>
  <si>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</si>
  <si>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</si>
  <si>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</si>
  <si>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</si>
  <si>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</si>
  <si>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</si>
  <si>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</si>
  <si>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</si>
  <si>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</si>
  <si>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</si>
  <si>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</si>
  <si>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</si>
  <si>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</si>
  <si>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</si>
  <si>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</si>
  <si>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</si>
  <si>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</si>
  <si>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</si>
  <si>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</si>
  <si>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</si>
  <si>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</si>
  <si>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</si>
  <si>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</si>
  <si>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</si>
  <si>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</si>
  <si>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</si>
  <si>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</si>
  <si>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</si>
  <si>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</si>
  <si>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</si>
  <si>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</si>
  <si>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</si>
  <si>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</si>
  <si>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</si>
  <si>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</si>
  <si>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</si>
  <si>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</si>
  <si>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</si>
  <si>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</si>
  <si>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</si>
  <si>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</si>
  <si>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</si>
  <si>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</si>
  <si>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</si>
  <si>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</si>
  <si>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</si>
  <si>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</si>
  <si>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</si>
  <si>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</si>
  <si>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</si>
  <si>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</si>
  <si>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</si>
  <si>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</si>
  <si>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</si>
  <si>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</si>
  <si>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</si>
  <si>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</si>
  <si>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</si>
  <si>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</si>
  <si>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</si>
  <si>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</si>
  <si>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</si>
  <si>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</si>
  <si>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</si>
  <si>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</si>
  <si>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</si>
  <si>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</si>
  <si>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</si>
  <si>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</si>
  <si>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</si>
  <si>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</si>
  <si>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</si>
  <si>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</si>
  <si>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</si>
  <si>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</si>
  <si>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</si>
  <si>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</si>
  <si>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</si>
  <si>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</si>
  <si>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</si>
  <si>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</si>
  <si>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</si>
  <si>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</si>
  <si>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</si>
  <si>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</si>
  <si>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</si>
  <si>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</si>
  <si>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</si>
  <si>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</si>
  <si>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</si>
  <si>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</si>
  <si>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</si>
  <si>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</si>
  <si>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</si>
  <si>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</si>
  <si>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</si>
  <si>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</si>
  <si>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</si>
  <si>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</si>
  <si>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</si>
  <si>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</si>
  <si>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</si>
  <si>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</si>
  <si>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</si>
  <si>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</si>
  <si>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</si>
  <si>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</si>
  <si>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</si>
  <si>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</si>
  <si>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</si>
  <si>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</si>
  <si>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</si>
  <si>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</si>
  <si>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</si>
  <si>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</si>
  <si>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</si>
  <si>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</si>
  <si>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</si>
  <si>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</si>
  <si>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</si>
  <si>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</si>
  <si>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</si>
  <si>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</si>
  <si>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</si>
  <si>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</si>
  <si>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</si>
  <si>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</si>
  <si>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</si>
  <si>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</si>
  <si>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</si>
  <si>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</si>
  <si>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</si>
  <si>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</si>
  <si>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</si>
  <si>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</si>
  <si>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</si>
  <si>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</si>
  <si>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</si>
  <si>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</si>
  <si>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</si>
  <si>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</si>
  <si>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</si>
  <si>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</si>
  <si>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</si>
  <si>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</si>
  <si>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</si>
  <si>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</si>
  <si>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</si>
  <si>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</si>
  <si>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</si>
  <si>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</si>
  <si>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</si>
  <si>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</si>
  <si>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</si>
  <si>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</si>
  <si>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</si>
  <si>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</si>
  <si>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</si>
  <si>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</si>
  <si>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</si>
  <si>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</si>
  <si>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</si>
  <si>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</si>
  <si>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</si>
  <si>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</si>
  <si>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</si>
  <si>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</si>
  <si>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</si>
  <si>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</si>
  <si>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</si>
  <si>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</si>
  <si>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</si>
  <si>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</si>
  <si>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</si>
  <si>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</si>
  <si>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</si>
  <si>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</si>
  <si>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</si>
  <si>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</si>
  <si>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</si>
  <si>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</si>
  <si>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</si>
  <si>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</si>
  <si>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</si>
  <si>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</si>
  <si>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</si>
  <si>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</si>
  <si>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</si>
  <si>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</si>
  <si>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</si>
  <si>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</si>
  <si>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</si>
  <si>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</si>
  <si>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</si>
  <si>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</si>
  <si>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</si>
  <si>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</si>
  <si>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</si>
  <si>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</si>
  <si>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</si>
  <si>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</si>
  <si>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</si>
  <si>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</si>
  <si>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</si>
  <si>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</si>
  <si>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</si>
  <si>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</si>
  <si>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</si>
  <si>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</si>
  <si>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</si>
  <si>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</si>
  <si>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</si>
  <si>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</si>
  <si>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</si>
  <si>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</si>
  <si>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</si>
  <si>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</si>
  <si>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</si>
  <si>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</si>
  <si>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</si>
  <si>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</si>
  <si>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</si>
  <si>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</si>
  <si>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</si>
  <si>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</si>
  <si>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</si>
  <si>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</si>
  <si>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</si>
  <si>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</si>
  <si>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</si>
  <si>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</si>
  <si>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</si>
  <si>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</si>
  <si>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</si>
  <si>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</si>
  <si>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</si>
  <si>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</si>
  <si>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</si>
  <si>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</si>
  <si>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</si>
  <si>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</si>
  <si>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</si>
  <si>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</si>
  <si>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</si>
  <si>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</si>
  <si>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</si>
  <si>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</si>
  <si>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</si>
  <si>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</si>
  <si>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</si>
  <si>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</si>
  <si>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</si>
  <si>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</si>
  <si>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</si>
  <si>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</si>
  <si>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</si>
  <si>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</si>
  <si>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</si>
  <si>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</si>
  <si>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</si>
  <si>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</si>
  <si>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</si>
  <si>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</si>
  <si>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</si>
  <si>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</si>
  <si>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</si>
  <si>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</si>
  <si>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</si>
  <si>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</si>
  <si>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</si>
  <si>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</si>
  <si>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</si>
  <si>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</si>
  <si>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</si>
  <si>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</si>
  <si>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</si>
  <si>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</si>
  <si>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</si>
  <si>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</si>
  <si>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</si>
  <si>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</si>
  <si>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</si>
  <si>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</si>
  <si>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</si>
  <si>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</si>
  <si>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</si>
  <si>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</si>
  <si>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</si>
  <si>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</si>
  <si>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</si>
  <si>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</si>
  <si>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</si>
  <si>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</si>
  <si>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</si>
  <si>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</si>
  <si>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</si>
  <si>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</si>
  <si>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</si>
  <si>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</si>
  <si>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</si>
  <si>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</si>
  <si>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</si>
  <si>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</si>
  <si>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</si>
  <si>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</si>
  <si>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</si>
  <si>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</si>
  <si>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</si>
  <si>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</si>
  <si>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</si>
  <si>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</si>
  <si>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</si>
  <si>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</si>
  <si>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</si>
  <si>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</si>
  <si>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</si>
  <si>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</si>
  <si>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</si>
  <si>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</si>
  <si>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</si>
  <si>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</si>
  <si>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</si>
  <si>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</si>
  <si>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</si>
  <si>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</si>
  <si>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</si>
  <si>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</si>
  <si>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</si>
  <si>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</si>
  <si>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</si>
  <si>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</si>
  <si>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</si>
  <si>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</si>
  <si>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</si>
  <si>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</si>
  <si>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</si>
  <si>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</si>
  <si>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</si>
  <si>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</si>
  <si>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</si>
  <si>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</si>
  <si>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</si>
  <si>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</si>
  <si>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</si>
  <si>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</si>
  <si>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</si>
  <si>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</si>
  <si>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</si>
  <si>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</si>
  <si>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</si>
  <si>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</si>
  <si>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</si>
  <si>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</si>
  <si>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</si>
  <si>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</si>
  <si>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</si>
  <si>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</si>
  <si>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</si>
  <si>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</si>
  <si>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</si>
  <si>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</si>
  <si>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</si>
  <si>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</si>
  <si>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</si>
  <si>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</si>
  <si>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</si>
  <si>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</si>
  <si>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</si>
  <si>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</si>
  <si>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</si>
  <si>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</si>
  <si>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</si>
  <si>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</si>
  <si>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</si>
  <si>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</si>
  <si>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</si>
  <si>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</si>
  <si>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</si>
  <si>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</si>
  <si>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</si>
  <si>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</si>
  <si>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</si>
  <si>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</si>
  <si>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</si>
  <si>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</si>
  <si>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</si>
  <si>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</si>
  <si>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</si>
  <si>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</si>
  <si>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</si>
  <si>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</si>
  <si>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</si>
  <si>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</si>
  <si>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</si>
  <si>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</si>
  <si>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</si>
  <si>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</si>
  <si>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</si>
  <si>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</si>
  <si>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</si>
  <si>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</si>
  <si>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</si>
  <si>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</si>
  <si>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</si>
  <si>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</si>
  <si>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</si>
  <si>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</si>
  <si>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</si>
  <si>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</si>
  <si>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</si>
  <si>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</si>
  <si>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</si>
  <si>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</si>
  <si>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</si>
  <si>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</si>
  <si>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</si>
  <si>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</si>
  <si>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</si>
  <si>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</si>
  <si>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</si>
  <si>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</si>
  <si>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</si>
  <si>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</si>
  <si>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</si>
  <si>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</si>
  <si>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</si>
  <si>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</si>
  <si>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</si>
  <si>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</si>
  <si>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</si>
  <si>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</si>
  <si>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</si>
  <si>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</si>
  <si>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</si>
  <si>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</si>
  <si>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</si>
  <si>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</si>
  <si>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</si>
  <si>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</si>
  <si>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</si>
  <si>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</si>
  <si>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</si>
  <si>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</si>
  <si>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</si>
  <si>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</si>
  <si>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</si>
  <si>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</si>
  <si>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</si>
  <si>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</si>
  <si>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</si>
  <si>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</si>
  <si>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</si>
  <si>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</si>
  <si>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</si>
  <si>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</si>
  <si>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</si>
  <si>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</si>
  <si>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</si>
  <si>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</si>
  <si>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</si>
  <si>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</si>
  <si>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</si>
  <si>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</si>
  <si>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</si>
  <si>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</si>
  <si>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</si>
  <si>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</si>
  <si>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</si>
  <si>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</si>
  <si>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</si>
  <si>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</si>
  <si>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</si>
  <si>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</si>
  <si>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</si>
  <si>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</si>
  <si>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</si>
  <si>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</si>
  <si>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</si>
  <si>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</si>
  <si>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</si>
  <si>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</si>
  <si>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</si>
  <si>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</si>
  <si>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</si>
  <si>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</si>
  <si>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</si>
  <si>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</si>
  <si>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</si>
  <si>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</si>
  <si>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</si>
  <si>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</si>
  <si>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</si>
  <si>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</si>
  <si>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</si>
  <si>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</si>
  <si>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</si>
  <si>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</si>
  <si>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</si>
  <si>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</si>
  <si>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</si>
  <si>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</si>
  <si>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</si>
  <si>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</si>
  <si>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</si>
  <si>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</si>
  <si>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</si>
  <si>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</si>
  <si>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</si>
  <si>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</si>
  <si>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</si>
  <si>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</si>
  <si>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</si>
  <si>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</si>
  <si>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</si>
  <si>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</si>
  <si>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</si>
  <si>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</si>
  <si>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</si>
  <si>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</si>
  <si>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</si>
  <si>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</si>
  <si>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</si>
  <si>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</si>
  <si>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</si>
  <si>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</si>
  <si>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</si>
  <si>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</si>
  <si>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</si>
  <si>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</si>
  <si>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</si>
  <si>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</si>
  <si>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</si>
  <si>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</si>
  <si>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</si>
  <si>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</si>
  <si>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</si>
  <si>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</si>
  <si>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</si>
  <si>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</si>
  <si>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</si>
  <si>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</si>
  <si>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</si>
  <si>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</si>
  <si>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</si>
  <si>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</si>
  <si>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</si>
  <si>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</si>
  <si>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</si>
  <si>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</si>
  <si>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</si>
  <si>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</si>
  <si>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</si>
  <si>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</si>
  <si>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</si>
  <si>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</si>
  <si>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</si>
  <si>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</si>
  <si>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</si>
  <si>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</si>
  <si>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</si>
  <si>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</si>
  <si>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</si>
  <si>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</si>
  <si>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</si>
  <si>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</si>
  <si>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</si>
  <si>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</si>
  <si>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</si>
  <si>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</si>
  <si>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</si>
  <si>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</si>
  <si>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</si>
  <si>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</si>
  <si>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</si>
  <si>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</si>
  <si>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</si>
  <si>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</si>
  <si>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</si>
  <si>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</si>
  <si>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</si>
  <si>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</si>
  <si>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</si>
  <si>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</si>
  <si>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</si>
  <si>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</si>
  <si>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</si>
  <si>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</si>
  <si>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</si>
  <si>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</si>
  <si>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</si>
  <si>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</si>
  <si>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</si>
  <si>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</si>
  <si>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</si>
  <si>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</si>
  <si>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</si>
  <si>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</si>
  <si>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</si>
  <si>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</si>
  <si>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</si>
  <si>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</si>
  <si>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</si>
  <si>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</si>
  <si>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</si>
  <si>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</si>
  <si>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</si>
  <si>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</si>
  <si>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</si>
  <si>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</si>
  <si>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</si>
  <si>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</si>
  <si>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</si>
  <si>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</si>
  <si>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</si>
  <si>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</si>
  <si>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</si>
  <si>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</si>
  <si>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</si>
  <si>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</si>
  <si>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</si>
  <si>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</si>
  <si>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</si>
  <si>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</si>
  <si>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</si>
  <si>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</si>
  <si>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</si>
  <si>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</si>
  <si>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</si>
  <si>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</si>
  <si>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</si>
  <si>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</si>
  <si>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</si>
  <si>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</si>
  <si>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</si>
  <si>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</si>
  <si>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</si>
  <si>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</si>
  <si>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</si>
  <si>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</si>
  <si>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</si>
  <si>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</si>
  <si>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</si>
  <si>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</si>
  <si>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</si>
  <si>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</si>
  <si>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</si>
  <si>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</si>
  <si>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</si>
  <si>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</si>
  <si>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</si>
  <si>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</si>
  <si>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</si>
  <si>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</si>
  <si>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</si>
  <si>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</si>
  <si>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</si>
  <si>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</si>
  <si>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</si>
  <si>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</si>
  <si>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</si>
  <si>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</si>
  <si>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</si>
  <si>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</si>
  <si>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</si>
  <si>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</si>
  <si>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</si>
  <si>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</si>
  <si>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</si>
  <si>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</si>
  <si>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</si>
  <si>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</si>
  <si>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</si>
  <si>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</si>
  <si>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</si>
  <si>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</si>
  <si>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</si>
  <si>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</si>
  <si>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</si>
  <si>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</si>
  <si>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</si>
  <si>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</si>
  <si>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</si>
  <si>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</si>
  <si>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</si>
  <si>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</si>
  <si>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</si>
  <si>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</si>
  <si>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</si>
  <si>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</si>
  <si>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</si>
  <si>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</si>
  <si>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</si>
  <si>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</si>
  <si>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</si>
  <si>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</si>
  <si>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</si>
  <si>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</si>
  <si>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</si>
  <si>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</si>
  <si>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</si>
  <si>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</si>
  <si>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</si>
  <si>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</si>
  <si>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</si>
  <si>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</si>
  <si>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</si>
  <si>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</si>
  <si>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</si>
  <si>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</si>
  <si>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</si>
  <si>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</si>
  <si>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</si>
  <si>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</si>
  <si>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</si>
  <si>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</si>
  <si>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</si>
  <si>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</si>
  <si>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</si>
  <si>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</si>
  <si>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</si>
  <si>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</si>
  <si>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</si>
  <si>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</si>
  <si>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</si>
  <si>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</si>
  <si>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</si>
  <si>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</si>
  <si>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</si>
  <si>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</si>
  <si>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</si>
  <si>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</si>
  <si>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</si>
  <si>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</si>
  <si>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</si>
  <si>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</si>
  <si>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</si>
  <si>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</si>
  <si>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</si>
  <si>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</si>
  <si>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</si>
  <si>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</si>
  <si>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</si>
  <si>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</si>
  <si>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</si>
  <si>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</si>
  <si>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</si>
  <si>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</si>
  <si>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</si>
  <si>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</si>
  <si>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</si>
  <si>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</si>
  <si>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</si>
  <si>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</si>
  <si>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</si>
  <si>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</si>
  <si>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</si>
  <si>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</si>
  <si>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</si>
  <si>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</si>
  <si>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</si>
  <si>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</si>
  <si>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</si>
  <si>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</si>
  <si>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</si>
  <si>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</si>
  <si>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</si>
  <si>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</si>
  <si>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</si>
  <si>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</si>
  <si>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</si>
  <si>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</si>
  <si>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</si>
  <si>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</si>
  <si>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</si>
  <si>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</si>
  <si>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</si>
  <si>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</si>
  <si>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</si>
  <si>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</si>
  <si>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</si>
  <si>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</si>
  <si>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</si>
  <si>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</si>
  <si>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</si>
  <si>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</si>
  <si>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</si>
  <si>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</si>
  <si>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</si>
  <si>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</si>
  <si>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</si>
  <si>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</si>
  <si>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</si>
  <si>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</si>
  <si>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</si>
  <si>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</si>
  <si>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</si>
  <si>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</si>
  <si>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</si>
  <si>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</si>
  <si>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</si>
  <si>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</si>
  <si>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</si>
  <si>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</si>
  <si>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</si>
  <si>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</si>
  <si>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</si>
  <si>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</si>
  <si>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</si>
  <si>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</si>
  <si>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</si>
  <si>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</si>
  <si>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</si>
  <si>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</si>
  <si>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</si>
  <si>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</si>
  <si>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</si>
  <si>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</si>
  <si>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</si>
  <si>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</si>
  <si>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</si>
  <si>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</si>
  <si>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</si>
  <si>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</si>
  <si>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</si>
  <si>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</si>
  <si>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</si>
  <si>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</si>
  <si>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</si>
  <si>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</si>
  <si>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</si>
  <si>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</si>
  <si>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</si>
  <si>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</si>
  <si>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</si>
  <si>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</si>
  <si>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</si>
  <si>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</si>
  <si>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</si>
  <si>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</si>
  <si>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</si>
  <si>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</si>
  <si>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</si>
  <si>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</si>
  <si>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</si>
  <si>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</si>
  <si>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</si>
  <si>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</si>
  <si>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</si>
  <si>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</si>
  <si>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</si>
  <si>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</si>
  <si>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</si>
  <si>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</si>
  <si>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</si>
  <si>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</si>
  <si>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</si>
  <si>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</si>
  <si>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</si>
  <si>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</si>
  <si>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</si>
  <si>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</si>
  <si>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</si>
  <si>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</si>
  <si>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</si>
  <si>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</si>
  <si>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</si>
  <si>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</si>
  <si>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</si>
  <si>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</si>
  <si>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</si>
  <si>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</si>
  <si>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</si>
  <si>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</si>
  <si>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</si>
  <si>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</si>
  <si>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</si>
  <si>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</si>
  <si>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</si>
  <si>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</si>
  <si>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</si>
  <si>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</si>
  <si>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</si>
  <si>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</si>
  <si>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</si>
  <si>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</si>
  <si>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</si>
  <si>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</si>
  <si>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</si>
  <si>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</si>
  <si>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</si>
  <si>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</si>
  <si>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</si>
  <si>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</si>
  <si>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</si>
  <si>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</si>
  <si>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</si>
  <si>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</si>
  <si>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</si>
  <si>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</si>
  <si>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</si>
  <si>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</si>
  <si>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</si>
  <si>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</si>
  <si>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</si>
  <si>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</si>
  <si>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</si>
  <si>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</si>
  <si>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</si>
  <si>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</si>
  <si>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</si>
  <si>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</si>
  <si>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</si>
  <si>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</si>
  <si>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</si>
  <si>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</si>
  <si>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</si>
  <si>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</si>
  <si>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</si>
  <si>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</si>
  <si>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</si>
  <si>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</si>
  <si>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</si>
  <si>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</si>
  <si>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</si>
  <si>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</si>
  <si>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</si>
  <si>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</si>
  <si>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</si>
  <si>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</si>
  <si>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</si>
  <si>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</si>
  <si>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</si>
  <si>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</si>
  <si>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</si>
  <si>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</si>
  <si>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</si>
  <si>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</si>
  <si>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</si>
  <si>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</si>
  <si>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</si>
  <si>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</si>
  <si>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</si>
  <si>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</si>
  <si>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</si>
  <si>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</si>
  <si>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</si>
  <si>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</si>
  <si>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</si>
  <si>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</si>
  <si>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</si>
  <si>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</si>
  <si>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</si>
  <si>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</si>
  <si>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</si>
  <si>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</si>
  <si>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</si>
  <si>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</si>
  <si>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</si>
  <si>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</si>
  <si>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</si>
  <si>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</si>
  <si>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</si>
  <si>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</si>
  <si>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</si>
  <si>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</si>
  <si>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</si>
  <si>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</si>
  <si>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</si>
  <si>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</si>
  <si>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</si>
  <si>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</si>
  <si>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</si>
  <si>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</si>
  <si>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</si>
  <si>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</si>
  <si>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</si>
  <si>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</si>
  <si>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</si>
  <si>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</si>
  <si>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</si>
  <si>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</si>
  <si>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</si>
  <si>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</si>
  <si>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</si>
  <si>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</si>
  <si>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</si>
  <si>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</si>
  <si>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</si>
  <si>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</si>
  <si>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</si>
  <si>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</si>
  <si>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</si>
  <si>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</si>
  <si>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</si>
  <si>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</si>
  <si>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</si>
  <si>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</si>
  <si>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</si>
  <si>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</si>
  <si>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</si>
  <si>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</si>
  <si>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</si>
  <si>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</si>
  <si>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</si>
  <si>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</si>
  <si>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</si>
  <si>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</si>
  <si>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</si>
  <si>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</si>
  <si>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</si>
  <si>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</si>
  <si>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</si>
  <si>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</si>
  <si>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</si>
  <si>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</si>
  <si>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</si>
  <si>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</si>
  <si>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</si>
  <si>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</si>
  <si>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</si>
  <si>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</si>
  <si>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</si>
  <si>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</si>
  <si>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</si>
  <si>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</si>
  <si>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</si>
  <si>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</si>
  <si>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</si>
  <si>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</si>
  <si>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</si>
  <si>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</si>
  <si>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</si>
  <si>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</si>
  <si>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</si>
  <si>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</si>
  <si>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</si>
  <si>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</si>
  <si>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</si>
  <si>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</si>
  <si>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</si>
  <si>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</si>
  <si>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</si>
  <si>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</si>
  <si>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</si>
  <si>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</si>
  <si>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</si>
  <si>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</si>
  <si>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</si>
  <si>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</si>
  <si>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</si>
  <si>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</si>
  <si>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</si>
  <si>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</si>
  <si>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</si>
  <si>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</si>
  <si>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</si>
  <si>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</si>
  <si>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</si>
  <si>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</si>
  <si>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</si>
  <si>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</si>
  <si>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</si>
  <si>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</si>
  <si>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</si>
  <si>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</si>
  <si>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</si>
  <si>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</si>
  <si>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</si>
  <si>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</si>
  <si>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</si>
  <si>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</si>
  <si>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</si>
  <si>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</si>
  <si>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</si>
  <si>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</si>
  <si>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</si>
  <si>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</si>
  <si>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</si>
  <si>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</si>
  <si>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</si>
  <si>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</si>
  <si>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</si>
  <si>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</si>
  <si>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</si>
  <si>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</si>
  <si>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</si>
  <si>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</si>
  <si>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</si>
  <si>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</si>
  <si>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</si>
  <si>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</si>
  <si>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</si>
  <si>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</si>
  <si>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</si>
  <si>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</si>
  <si>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</si>
  <si>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</si>
  <si>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</si>
  <si>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</si>
  <si>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</si>
  <si>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</si>
  <si>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</si>
  <si>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</si>
  <si>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</si>
  <si>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</si>
  <si>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</si>
  <si>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</si>
  <si>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</si>
  <si>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</si>
  <si>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</si>
  <si>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</si>
  <si>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</si>
  <si>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</si>
  <si>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</si>
  <si>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</si>
  <si>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</si>
  <si>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</si>
  <si>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</si>
  <si>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</si>
  <si>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</si>
  <si>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</si>
  <si>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</si>
  <si>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</si>
  <si>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</si>
  <si>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</si>
  <si>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</si>
  <si>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</si>
  <si>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</si>
  <si>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</si>
  <si>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</si>
  <si>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</si>
  <si>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</si>
  <si>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</si>
  <si>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</si>
  <si>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</si>
  <si>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</si>
  <si>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</si>
  <si>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</si>
  <si>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</si>
  <si>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</si>
  <si>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</si>
  <si>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</si>
  <si>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</si>
  <si>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</si>
  <si>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</si>
  <si>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</si>
  <si>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</si>
  <si>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</si>
  <si>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</si>
  <si>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</si>
  <si>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</si>
  <si>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</si>
  <si>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</si>
  <si>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</si>
  <si>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</si>
  <si>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</si>
  <si>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</si>
  <si>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</si>
  <si>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</si>
  <si>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</si>
  <si>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</si>
  <si>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</si>
  <si>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</si>
  <si>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</si>
  <si>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</si>
  <si>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</si>
  <si>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</si>
  <si>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</si>
  <si>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</si>
  <si>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</si>
  <si>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</si>
  <si>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</si>
  <si>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</si>
  <si>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</si>
  <si>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</si>
  <si>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</si>
  <si>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</si>
  <si>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</si>
  <si>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</si>
  <si>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</si>
  <si>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</si>
  <si>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</si>
  <si>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</si>
  <si>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</si>
  <si>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</si>
  <si>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</si>
  <si>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</si>
  <si>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</si>
  <si>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</si>
  <si>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</si>
  <si>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</si>
  <si>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</si>
  <si>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</si>
  <si>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</si>
  <si>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</si>
  <si>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</si>
  <si>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</si>
  <si>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</si>
  <si>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</si>
  <si>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</si>
  <si>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</si>
  <si>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</si>
  <si>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</si>
  <si>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</si>
  <si>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</si>
  <si>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</si>
  <si>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</si>
  <si>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</si>
  <si>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</si>
  <si>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</si>
  <si>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</si>
  <si>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</si>
  <si>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</si>
  <si>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</si>
  <si>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</si>
  <si>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</si>
  <si>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</si>
  <si>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</si>
  <si>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</si>
  <si>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</si>
  <si>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</si>
  <si>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</si>
  <si>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</si>
  <si>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</si>
  <si>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</si>
  <si>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</si>
  <si>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</si>
  <si>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</si>
  <si>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</si>
  <si>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</si>
  <si>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</si>
  <si>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</si>
  <si>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</si>
  <si>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</si>
  <si>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</si>
  <si>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</si>
  <si>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</si>
  <si>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</si>
  <si>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</si>
  <si>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</si>
  <si>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</si>
  <si>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</si>
  <si>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</si>
  <si>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</si>
  <si>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</si>
  <si>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</si>
  <si>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</si>
  <si>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</si>
  <si>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</si>
  <si>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</si>
  <si>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</si>
  <si>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</si>
  <si>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</si>
  <si>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</si>
  <si>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</si>
  <si>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</si>
  <si>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</si>
  <si>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</si>
  <si>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</si>
  <si>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</si>
  <si>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</si>
  <si>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</si>
  <si>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</si>
  <si>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</si>
  <si>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</si>
  <si>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</si>
  <si>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</si>
  <si>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</si>
  <si>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</si>
  <si>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</si>
  <si>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</si>
  <si>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</si>
  <si>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</si>
  <si>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</si>
  <si>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</si>
  <si>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</si>
  <si>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</si>
  <si>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</si>
  <si>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</si>
  <si>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</si>
  <si>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</si>
  <si>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</si>
  <si>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</si>
  <si>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</si>
  <si>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</si>
  <si>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</si>
  <si>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</si>
  <si>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</si>
  <si>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</si>
  <si>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</si>
  <si>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</si>
  <si>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</si>
  <si>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</si>
  <si>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</si>
  <si>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</si>
  <si>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</si>
  <si>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</si>
  <si>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</si>
  <si>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</si>
  <si>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</si>
  <si>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</si>
  <si>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</si>
  <si>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</si>
  <si>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</si>
  <si>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</si>
  <si>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</si>
  <si>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</si>
  <si>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</si>
  <si>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</si>
  <si>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</si>
  <si>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</si>
  <si>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</si>
  <si>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</si>
  <si>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</si>
  <si>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</si>
  <si>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</si>
  <si>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</si>
  <si>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</si>
  <si>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</si>
  <si>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</si>
  <si>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</si>
  <si>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</si>
  <si>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</si>
  <si>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</si>
  <si>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</si>
  <si>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</si>
  <si>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</si>
  <si>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</si>
  <si>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</si>
  <si>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</si>
  <si>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</si>
  <si>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</si>
  <si>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</si>
  <si>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</si>
  <si>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</si>
  <si>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</si>
  <si>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</si>
  <si>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</si>
  <si>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</si>
  <si>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</si>
  <si>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</si>
  <si>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</si>
  <si>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</si>
  <si>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</si>
  <si>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</si>
  <si>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</si>
  <si>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</si>
  <si>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</si>
  <si>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</si>
  <si>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</si>
  <si>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</si>
  <si>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</si>
  <si>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</si>
  <si>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</si>
  <si>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</si>
  <si>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</si>
  <si>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</si>
  <si>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</si>
  <si>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</si>
  <si>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</si>
  <si>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</si>
  <si>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</si>
  <si>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</si>
  <si>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</si>
  <si>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</si>
  <si>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</si>
  <si>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</si>
  <si>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</si>
  <si>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</si>
  <si>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</si>
  <si>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</si>
  <si>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</si>
  <si>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</si>
  <si>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</si>
  <si>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</si>
  <si>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</si>
  <si>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</si>
  <si>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</si>
  <si>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</si>
  <si>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</si>
  <si>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</si>
  <si>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</si>
  <si>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</si>
  <si>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</si>
  <si>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</si>
  <si>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</si>
  <si>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</si>
  <si>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</si>
  <si>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</si>
  <si>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</si>
  <si>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</si>
  <si>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</si>
  <si>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</si>
  <si>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</si>
  <si>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</si>
  <si>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</si>
  <si>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</si>
  <si>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</si>
  <si>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</si>
  <si>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</si>
  <si>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</si>
  <si>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</si>
  <si>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</si>
  <si>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</si>
  <si>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</si>
  <si>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</si>
  <si>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</si>
  <si>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</si>
  <si>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</si>
  <si>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</si>
  <si>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</si>
  <si>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</si>
  <si>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</si>
  <si>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</si>
  <si>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</si>
  <si>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</si>
  <si>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</si>
  <si>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</si>
  <si>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</si>
  <si>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</si>
  <si>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</si>
  <si>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</si>
  <si>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</si>
  <si>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</si>
  <si>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</si>
  <si>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</si>
  <si>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</si>
  <si>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</si>
  <si>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</si>
  <si>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</si>
  <si>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</si>
  <si>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</si>
  <si>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</si>
  <si>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</si>
  <si>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</si>
  <si>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</si>
  <si>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</si>
  <si>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</si>
  <si>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</si>
  <si>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</si>
  <si>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</si>
  <si>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</si>
  <si>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</si>
  <si>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</si>
  <si>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</si>
  <si>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</si>
  <si>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</si>
  <si>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</si>
  <si>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</si>
  <si>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</si>
  <si>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</si>
  <si>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</si>
  <si>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</si>
  <si>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</si>
  <si>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</si>
  <si>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</si>
  <si>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</si>
  <si>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</si>
  <si>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</si>
  <si>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</si>
  <si>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</si>
  <si>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</si>
  <si>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</si>
  <si>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</si>
  <si>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</si>
  <si>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</si>
  <si>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</si>
  <si>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</si>
  <si>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</si>
  <si>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</si>
  <si>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</si>
  <si>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</si>
  <si>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</si>
  <si>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</si>
  <si>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</si>
  <si>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</si>
  <si>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</si>
  <si>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</si>
  <si>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</si>
  <si>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</si>
  <si>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</si>
  <si>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</si>
  <si>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</si>
  <si>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</si>
  <si>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</si>
  <si>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</si>
  <si>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</si>
  <si>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</si>
  <si>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</si>
  <si>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</si>
  <si>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</si>
  <si>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</si>
  <si>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</si>
  <si>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</si>
  <si>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</si>
  <si>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</si>
  <si>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</si>
  <si>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</si>
  <si>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</si>
  <si>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</si>
  <si>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</si>
  <si>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</si>
  <si>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</si>
  <si>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</si>
  <si>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</si>
  <si>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</si>
  <si>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</si>
  <si>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</si>
  <si>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</si>
  <si>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</si>
  <si>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</si>
  <si>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</si>
  <si>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</si>
  <si>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</si>
  <si>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</si>
  <si>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</si>
  <si>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</si>
  <si>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</si>
  <si>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</si>
  <si>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</si>
  <si>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</si>
  <si>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</si>
  <si>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</si>
  <si>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</si>
  <si>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</si>
  <si>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</si>
  <si>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</si>
  <si>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</si>
  <si>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</si>
  <si>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</si>
  <si>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</si>
  <si>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</si>
  <si>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</si>
  <si>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</si>
  <si>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</si>
  <si>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</si>
  <si>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</si>
  <si>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</si>
  <si>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</si>
  <si>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</si>
  <si>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</si>
  <si>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</si>
  <si>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</si>
  <si>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</si>
  <si>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</si>
  <si>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</si>
  <si>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</si>
  <si>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</si>
  <si>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</si>
  <si>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</si>
  <si>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</si>
  <si>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</si>
  <si>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</si>
  <si>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</si>
  <si>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</si>
  <si>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</si>
  <si>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</si>
  <si>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</si>
  <si>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</si>
  <si>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</si>
  <si>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</si>
  <si>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</si>
  <si>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</si>
  <si>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</si>
  <si>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</si>
  <si>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</si>
  <si>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</si>
  <si>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</si>
  <si>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</si>
  <si>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</si>
  <si>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</si>
  <si>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</si>
  <si>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</si>
  <si>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</si>
  <si>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</si>
  <si>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</si>
  <si>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</si>
  <si>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</si>
  <si>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</si>
  <si>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</si>
  <si>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</si>
  <si>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</si>
  <si>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</si>
  <si>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</si>
  <si>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</si>
  <si>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</si>
  <si>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</si>
  <si>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</si>
  <si>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</si>
  <si>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</si>
  <si>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</si>
  <si>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</si>
  <si>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</si>
  <si>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</si>
  <si>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</si>
  <si>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</si>
  <si>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</si>
  <si>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</si>
  <si>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</si>
  <si>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</si>
  <si>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</si>
  <si>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</si>
  <si>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</si>
  <si>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</si>
  <si>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</si>
  <si>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</si>
  <si>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</si>
  <si>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</si>
  <si>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</si>
  <si>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</si>
  <si>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</si>
  <si>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</si>
  <si>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</si>
  <si>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</si>
  <si>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</si>
  <si>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</si>
  <si>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</si>
  <si>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</si>
  <si>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</si>
  <si>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</si>
  <si>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</si>
  <si>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</si>
  <si>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</si>
  <si>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</si>
  <si>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</si>
  <si>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</si>
  <si>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</si>
  <si>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</si>
  <si>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</si>
  <si>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</si>
  <si>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</si>
  <si>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</si>
  <si>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</si>
  <si>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</si>
  <si>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</si>
  <si>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</si>
  <si>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</si>
  <si>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</si>
  <si>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</si>
  <si>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</si>
  <si>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</si>
  <si>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</si>
  <si>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</si>
  <si>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</si>
  <si>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</si>
  <si>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</si>
  <si>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</si>
  <si>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</si>
  <si>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</si>
  <si>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</si>
  <si>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</si>
  <si>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</si>
  <si>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</si>
  <si>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</si>
  <si>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</si>
  <si>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</si>
  <si>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</si>
  <si>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</si>
  <si>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</si>
  <si>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</si>
  <si>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</si>
  <si>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</si>
  <si>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</si>
  <si>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</si>
  <si>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</si>
  <si>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</si>
  <si>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</si>
  <si>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</si>
  <si>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</si>
  <si>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</si>
  <si>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</si>
  <si>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</si>
  <si>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</si>
  <si>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</si>
  <si>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</si>
  <si>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</si>
  <si>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</si>
  <si>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</si>
  <si>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</si>
  <si>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</si>
  <si>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</si>
  <si>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</si>
  <si>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</si>
  <si>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</si>
  <si>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</si>
  <si>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</si>
  <si>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</si>
  <si>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</si>
  <si>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</si>
  <si>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</si>
  <si>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</si>
  <si>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</si>
  <si>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</si>
  <si>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</si>
  <si>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</si>
  <si>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</si>
  <si>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</si>
  <si>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</si>
  <si>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</si>
  <si>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</si>
  <si>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</si>
  <si>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</si>
  <si>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</si>
  <si>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</si>
  <si>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</si>
  <si>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</si>
  <si>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</si>
  <si>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</si>
  <si>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</si>
  <si>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</si>
  <si>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</si>
  <si>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</si>
  <si>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</si>
  <si>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</si>
  <si>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</si>
  <si>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</si>
  <si>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</si>
  <si>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</si>
  <si>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</si>
  <si>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</si>
  <si>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</si>
  <si>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</si>
  <si>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</si>
  <si>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</si>
  <si>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</si>
  <si>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</si>
  <si>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</si>
  <si>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</si>
  <si>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</si>
  <si>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</si>
  <si>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</si>
  <si>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</si>
  <si>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</si>
  <si>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</si>
  <si>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</si>
  <si>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</si>
  <si>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</si>
  <si>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</si>
  <si>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</si>
  <si>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</si>
  <si>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</si>
  <si>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</si>
  <si>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</si>
  <si>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</si>
  <si>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</si>
  <si>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</si>
  <si>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</si>
  <si>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</si>
  <si>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</si>
  <si>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</si>
  <si>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</si>
  <si>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</si>
  <si>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</si>
  <si>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</si>
  <si>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</si>
  <si>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</si>
  <si>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</si>
  <si>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</si>
  <si>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</si>
  <si>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</si>
  <si>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</si>
  <si>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</si>
  <si>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</si>
  <si>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</si>
  <si>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</si>
  <si>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</si>
  <si>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</si>
  <si>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</si>
  <si>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</si>
  <si>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</si>
  <si>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</si>
  <si>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</si>
  <si>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</si>
  <si>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</si>
  <si>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</si>
  <si>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</si>
  <si>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</si>
  <si>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</si>
  <si>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</si>
  <si>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</si>
  <si>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</si>
  <si>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</si>
  <si>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</si>
  <si>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</si>
  <si>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</si>
  <si>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</si>
  <si>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</si>
  <si>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</si>
  <si>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</si>
  <si>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</si>
  <si>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</si>
  <si>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</si>
  <si>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</si>
  <si>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</si>
  <si>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</si>
  <si>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</si>
  <si>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</si>
  <si>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</si>
  <si>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</si>
  <si>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</si>
  <si>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</si>
  <si>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</si>
  <si>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</si>
  <si>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</si>
  <si>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</si>
  <si>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</si>
  <si>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</si>
  <si>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</si>
  <si>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</si>
  <si>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</si>
  <si>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</si>
  <si>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</si>
  <si>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</si>
  <si>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</si>
  <si>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</si>
  <si>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</si>
  <si>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</si>
  <si>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</si>
  <si>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</si>
  <si>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</si>
  <si>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</si>
  <si>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</si>
  <si>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</si>
  <si>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</si>
  <si>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</si>
  <si>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</si>
  <si>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</si>
  <si>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</si>
  <si>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</si>
  <si>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</si>
  <si>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</si>
  <si>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</si>
  <si>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</si>
  <si>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</si>
  <si>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</si>
  <si>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</si>
  <si>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</si>
  <si>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</si>
  <si>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</si>
  <si>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</si>
  <si>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</si>
  <si>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</si>
  <si>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</si>
  <si>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</si>
  <si>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</si>
  <si>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</si>
  <si>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</si>
  <si>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</si>
  <si>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</si>
  <si>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</si>
  <si>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</si>
  <si>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</si>
  <si>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</si>
  <si>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</si>
  <si>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</si>
  <si>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</si>
  <si>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</si>
  <si>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</si>
  <si>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</si>
  <si>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</si>
  <si>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</si>
  <si>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</si>
  <si>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</si>
  <si>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</si>
  <si>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</si>
  <si>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</si>
  <si>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</si>
  <si>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</si>
  <si>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</si>
  <si>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</si>
  <si>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</si>
  <si>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</si>
  <si>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</si>
  <si>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</si>
  <si>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</si>
  <si>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</si>
  <si>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</si>
  <si>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</si>
  <si>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</si>
  <si>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</si>
  <si>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</si>
  <si>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</si>
  <si>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</si>
  <si>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</si>
  <si>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</si>
  <si>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</si>
  <si>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</si>
  <si>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</si>
  <si>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</si>
  <si>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</si>
  <si>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</si>
  <si>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</si>
  <si>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</si>
  <si>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</si>
  <si>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</si>
  <si>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</si>
  <si>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</si>
  <si>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</si>
  <si>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</si>
  <si>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</si>
  <si>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</si>
  <si>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</si>
  <si>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</si>
  <si>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</si>
  <si>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</si>
  <si>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</si>
  <si>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</si>
  <si>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</si>
  <si>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</si>
  <si>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</si>
  <si>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</si>
  <si>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</si>
  <si>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</si>
  <si>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</si>
  <si>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</si>
  <si>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</si>
  <si>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</si>
  <si>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</si>
  <si>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</si>
  <si>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</si>
  <si>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</si>
  <si>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</si>
  <si>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</si>
  <si>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</si>
  <si>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</si>
  <si>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</si>
  <si>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</si>
  <si>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</si>
  <si>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</si>
  <si>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</si>
  <si>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</si>
  <si>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</si>
  <si>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</si>
  <si>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</si>
  <si>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</si>
  <si>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</si>
  <si>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</si>
  <si>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</si>
  <si>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</si>
  <si>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</si>
  <si>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</si>
  <si>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</si>
  <si>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</si>
  <si>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</si>
  <si>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</si>
  <si>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</si>
  <si>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</si>
  <si>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</si>
  <si>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</si>
  <si>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</si>
  <si>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</si>
  <si>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</si>
  <si>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</si>
  <si>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</si>
  <si>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</si>
  <si>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</si>
  <si>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</si>
  <si>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</si>
  <si>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</si>
  <si>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</si>
  <si>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</si>
  <si>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</si>
  <si>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</si>
  <si>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</si>
  <si>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</si>
  <si>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</si>
  <si>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</si>
  <si>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</si>
  <si>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</si>
  <si>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</si>
  <si>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</si>
  <si>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</si>
  <si>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</si>
  <si>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</si>
  <si>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</si>
  <si>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</si>
  <si>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</si>
  <si>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</si>
  <si>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</si>
  <si>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</si>
  <si>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</si>
  <si>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</si>
  <si>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</si>
  <si>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</si>
  <si>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</si>
  <si>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</si>
  <si>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</si>
  <si>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</si>
  <si>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</si>
  <si>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</si>
  <si>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</si>
  <si>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</si>
  <si>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</si>
  <si>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</si>
  <si>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</si>
  <si>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</si>
  <si>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</si>
  <si>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</si>
  <si>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</si>
  <si>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</si>
  <si>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</si>
  <si>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</si>
  <si>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</si>
  <si>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</si>
  <si>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</si>
  <si>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</si>
  <si>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</si>
  <si>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</si>
  <si>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</si>
  <si>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</si>
  <si>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</si>
  <si>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</si>
  <si>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</si>
  <si>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</si>
  <si>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</si>
  <si>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</si>
  <si>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</si>
  <si>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</si>
  <si>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</si>
  <si>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</si>
  <si>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</si>
  <si>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</si>
  <si>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</si>
  <si>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</si>
  <si>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</si>
  <si>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</si>
  <si>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</si>
  <si>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</si>
  <si>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</si>
  <si>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</si>
  <si>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</si>
  <si>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</si>
  <si>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</si>
  <si>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</si>
  <si>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</si>
  <si>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</si>
  <si>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</si>
  <si>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</si>
  <si>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</si>
  <si>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</si>
  <si>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</si>
  <si>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</si>
  <si>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</si>
  <si>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</si>
  <si>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</si>
  <si>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</si>
  <si>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</si>
  <si>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</si>
  <si>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</si>
  <si>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</si>
  <si>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</si>
  <si>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</si>
  <si>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</si>
  <si>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</si>
  <si>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</si>
  <si>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</si>
  <si>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</si>
  <si>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</si>
  <si>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</si>
  <si>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</si>
  <si>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</si>
  <si>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</si>
  <si>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</si>
  <si>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</si>
  <si>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</si>
  <si>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</si>
  <si>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</si>
  <si>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</si>
  <si>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</si>
  <si>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</si>
  <si>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</si>
  <si>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</si>
  <si>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</si>
  <si>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</si>
  <si>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</si>
  <si>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</si>
  <si>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</si>
  <si>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</si>
  <si>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</si>
  <si>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</si>
  <si>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</si>
  <si>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</si>
  <si>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</si>
  <si>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</si>
  <si>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</si>
  <si>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</si>
  <si>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</si>
  <si>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</si>
  <si>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</si>
  <si>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</si>
  <si>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</si>
  <si>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</si>
  <si>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</si>
  <si>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</si>
  <si>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</si>
  <si>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</si>
  <si>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</si>
  <si>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</si>
  <si>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</si>
  <si>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</si>
  <si>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</si>
  <si>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</si>
  <si>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</si>
  <si>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</si>
  <si>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</si>
  <si>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</si>
  <si>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</si>
  <si>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</si>
  <si>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</si>
  <si>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</si>
  <si>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</si>
  <si>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</si>
  <si>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</si>
  <si>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</si>
  <si>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</si>
  <si>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</si>
  <si>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</si>
  <si>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</si>
  <si>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</si>
  <si>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</si>
  <si>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</si>
  <si>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</si>
  <si>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</si>
  <si>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</si>
  <si>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</si>
  <si>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</si>
  <si>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</si>
  <si>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</si>
  <si>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</si>
  <si>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</si>
  <si>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</si>
  <si>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</si>
  <si>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</si>
  <si>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</si>
  <si>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</si>
  <si>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</si>
  <si>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</si>
  <si>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</si>
  <si>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</si>
  <si>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</si>
  <si>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</si>
  <si>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</si>
  <si>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</si>
  <si>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</si>
  <si>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</si>
  <si>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</si>
  <si>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</si>
  <si>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</si>
  <si>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</si>
  <si>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</si>
  <si>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</si>
  <si>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</si>
  <si>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</si>
  <si>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</si>
  <si>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</si>
  <si>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</si>
  <si>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</si>
  <si>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</si>
  <si>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</si>
  <si>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</si>
  <si>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</si>
  <si>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</si>
  <si>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</si>
  <si>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</si>
  <si>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</si>
  <si>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</si>
  <si>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</si>
  <si>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</si>
  <si>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</si>
  <si>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</si>
  <si>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</si>
  <si>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</si>
  <si>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</si>
  <si>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</si>
  <si>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</si>
  <si>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</si>
  <si>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</si>
  <si>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</si>
  <si>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</si>
  <si>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</si>
  <si>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</si>
  <si>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</si>
  <si>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</si>
  <si>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</si>
  <si>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</si>
  <si>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</si>
  <si>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</si>
  <si>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</si>
  <si>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</si>
  <si>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</si>
  <si>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</si>
  <si>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</si>
  <si>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</si>
  <si>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</si>
  <si>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</si>
  <si>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</si>
  <si>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</si>
  <si>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</si>
  <si>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</si>
  <si>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</si>
  <si>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</si>
  <si>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</si>
  <si>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</si>
  <si>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</si>
  <si>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</si>
  <si>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</si>
  <si>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</si>
  <si>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</si>
  <si>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</si>
  <si>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</si>
  <si>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</si>
  <si>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</si>
  <si>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</si>
  <si>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</si>
  <si>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</si>
  <si>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</si>
  <si>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</si>
  <si>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</si>
  <si>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</si>
  <si>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</si>
  <si>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</si>
  <si>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</si>
  <si>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</si>
  <si>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</si>
  <si>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</si>
  <si>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</si>
  <si>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</si>
  <si>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</si>
  <si>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</si>
  <si>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</si>
  <si>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</si>
  <si>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</si>
  <si>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</si>
  <si>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</si>
  <si>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</si>
  <si>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</si>
  <si>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</si>
  <si>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</si>
  <si>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</si>
  <si>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</si>
  <si>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</si>
  <si>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</si>
  <si>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</si>
  <si>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</si>
  <si>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</si>
  <si>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</si>
  <si>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</si>
  <si>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</si>
  <si>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</si>
  <si>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</si>
  <si>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</si>
  <si>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</si>
  <si>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</si>
  <si>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</si>
  <si>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</si>
  <si>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</si>
  <si>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</si>
  <si>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</si>
  <si>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</si>
  <si>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</si>
  <si>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</si>
  <si>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</si>
  <si>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</si>
  <si>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</si>
  <si>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</si>
  <si>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</si>
  <si>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</si>
  <si>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</si>
  <si>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</si>
  <si>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</si>
  <si>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</si>
  <si>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</si>
  <si>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</si>
  <si>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</si>
  <si>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</si>
  <si>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</si>
  <si>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</si>
  <si>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</si>
  <si>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</si>
  <si>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</si>
  <si>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</si>
  <si>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</si>
  <si>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</si>
  <si>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</si>
  <si>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</si>
  <si>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</si>
  <si>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</si>
  <si>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</si>
  <si>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</si>
  <si>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</si>
  <si>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</si>
  <si>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</si>
  <si>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</si>
  <si>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</si>
  <si>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</si>
  <si>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</si>
  <si>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</si>
  <si>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</si>
  <si>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</si>
  <si>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</si>
  <si>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</si>
  <si>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</si>
  <si>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</si>
  <si>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</si>
  <si>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</si>
  <si>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</si>
  <si>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</si>
  <si>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</si>
  <si>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</si>
  <si>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</si>
  <si>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</si>
  <si>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</si>
  <si>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</si>
  <si>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</si>
  <si>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</si>
  <si>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</si>
  <si>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</si>
  <si>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</si>
  <si>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</si>
  <si>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</si>
  <si>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</si>
  <si>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</si>
  <si>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</si>
  <si>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</si>
  <si>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</si>
  <si>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</si>
  <si>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</si>
  <si>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</si>
  <si>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</si>
  <si>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</si>
  <si>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</si>
  <si>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</si>
  <si>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</si>
  <si>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</si>
  <si>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</si>
  <si>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</si>
  <si>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</si>
  <si>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</si>
  <si>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</si>
  <si>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</si>
  <si>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</si>
  <si>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</si>
  <si>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</si>
  <si>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</si>
  <si>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</si>
  <si>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</si>
  <si>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</si>
  <si>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</si>
  <si>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</si>
  <si>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</si>
  <si>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</si>
  <si>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</si>
  <si>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</si>
  <si>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</si>
  <si>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</si>
  <si>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</si>
  <si>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</si>
  <si>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</si>
  <si>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</si>
  <si>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</si>
  <si>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</si>
  <si>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</si>
  <si>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</si>
  <si>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</si>
  <si>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</si>
  <si>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</si>
  <si>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</si>
  <si>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</si>
  <si>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</si>
  <si>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</si>
  <si>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</si>
  <si>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</si>
  <si>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</si>
  <si>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</si>
  <si>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</si>
  <si>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</si>
  <si>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</si>
  <si>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</si>
  <si>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</si>
  <si>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</si>
  <si>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</si>
  <si>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</si>
  <si>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</si>
  <si>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</si>
  <si>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</si>
  <si>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</si>
  <si>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</si>
  <si>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</si>
  <si>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</si>
  <si>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</si>
  <si>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</si>
  <si>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</si>
  <si>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</si>
  <si>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</si>
  <si>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</si>
  <si>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</si>
  <si>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</si>
  <si>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</si>
  <si>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</si>
  <si>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</si>
  <si>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</si>
  <si>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</si>
  <si>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</si>
  <si>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</si>
  <si>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</si>
  <si>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</si>
  <si>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</si>
  <si>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</si>
  <si>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</si>
  <si>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企业</t>
  </si>
  <si>
    <t>出让</t>
  </si>
  <si>
    <t>一致</t>
  </si>
  <si>
    <t>符合</t>
  </si>
  <si>
    <t>通路</t>
  </si>
  <si>
    <t>通电</t>
  </si>
  <si>
    <t>通讯</t>
  </si>
  <si>
    <t>通上水</t>
  </si>
  <si>
    <t>通下水</t>
  </si>
  <si>
    <t>较好</t>
  </si>
  <si>
    <t>一般</t>
  </si>
  <si>
    <t>工业用地</t>
  </si>
  <si>
    <t>不临58条商业街</t>
  </si>
  <si>
    <t>无</t>
  </si>
  <si>
    <t>1000米以外</t>
  </si>
  <si>
    <t>五通一平</t>
  </si>
  <si>
    <t>容积率修正</t>
  </si>
  <si>
    <t>地上</t>
  </si>
  <si>
    <t>押一</t>
  </si>
  <si>
    <t>按租金收入计税</t>
  </si>
  <si>
    <t>钢混</t>
  </si>
  <si>
    <t>不动产收益法</t>
  </si>
  <si>
    <t>剩余法-待开发</t>
  </si>
  <si>
    <t>Ⅸ-通1</t>
  </si>
  <si>
    <t>工商银行通州支行</t>
    <phoneticPr fontId="6" type="noConversion"/>
  </si>
  <si>
    <t>北京通州开关有限公司</t>
    <phoneticPr fontId="6" type="noConversion"/>
  </si>
  <si>
    <t>通州区靛庄村一区16号院3号楼1至3层101</t>
    <phoneticPr fontId="6" type="noConversion"/>
  </si>
  <si>
    <t>《国有土地使用证》[京通国用（2003出）字第207号]</t>
    <phoneticPr fontId="6" type="noConversion"/>
  </si>
  <si>
    <t>工业用地</t>
    <phoneticPr fontId="6" type="noConversion"/>
  </si>
  <si>
    <t>工业29.80年</t>
    <phoneticPr fontId="6" type="noConversion"/>
  </si>
  <si>
    <t>《国有土地使用证》[京通国用（2003出）字第207号]</t>
    <phoneticPr fontId="3" type="noConversion"/>
  </si>
  <si>
    <t>否</t>
  </si>
  <si>
    <t>工业项目</t>
  </si>
  <si>
    <t>场地平整</t>
  </si>
  <si>
    <t>京通国用（2003出）字第207号</t>
    <phoneticPr fontId="3" type="noConversion"/>
  </si>
  <si>
    <t>项目全部</t>
  </si>
  <si>
    <t>土地</t>
  </si>
  <si>
    <t>土地（套用方法）</t>
  </si>
  <si>
    <t>工业配套办公</t>
  </si>
  <si>
    <t>工业配套办公</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</si>
</sst>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7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64" fillId="9" borderId="11" xfId="3" applyFont="1" applyFill="1" applyBorder="1" applyAlignment="1" applyProtection="1">
      <alignment horizontal="center" vertical="center" wrapText="1"/>
    </xf>
    <xf numFmtId="177" fontId="126" fillId="0" borderId="2" xfId="2" applyNumberFormat="1" applyFont="1" applyFill="1" applyBorder="1" applyAlignment="1" applyProtection="1">
      <alignment vertical="center"/>
      <protection locked="0" hidden="1"/>
    </xf>
    <xf numFmtId="0" fontId="71" fillId="0" borderId="11"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protection locked="0"/>
    </xf>
    <xf numFmtId="0" fontId="71" fillId="0" borderId="3" xfId="0" applyFont="1" applyFill="1" applyBorder="1" applyAlignment="1" applyProtection="1">
      <alignment horizontal="center" vertical="center"/>
      <protection locked="0"/>
    </xf>
    <xf numFmtId="0" fontId="71" fillId="0" borderId="21" xfId="0" applyFont="1" applyFill="1" applyBorder="1" applyAlignment="1" applyProtection="1">
      <alignment horizontal="center" vertical="center"/>
      <protection locked="0"/>
    </xf>
    <xf numFmtId="0" fontId="71" fillId="0"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8471;&#214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3">
          <cell r="I13">
            <v>4457.3100000000004</v>
          </cell>
        </row>
      </sheetData>
      <sheetData sheetId="12"/>
      <sheetData sheetId="13"/>
      <sheetData sheetId="14"/>
      <sheetData sheetId="15"/>
      <sheetData sheetId="16"/>
      <sheetData sheetId="17"/>
      <sheetData sheetId="18">
        <row r="52">
          <cell r="C52">
            <v>1448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北京市通州区靛庄村一区16号院3号楼1至3层101出让国有建设用地使用权抵押价格预评估</v>
      </c>
      <c r="AX2" s="2875"/>
      <c r="AZ2" s="2875"/>
      <c r="BA2" s="2876"/>
      <c r="BC2" s="2876"/>
    </row>
    <row r="3" spans="1:55" s="2877" customFormat="1">
      <c r="A3" s="2856" t="s">
        <v>2662</v>
      </c>
      <c r="B3" s="2859" t="str">
        <f>'预评函-封皮'!B40</f>
        <v>工商银行通州支行</v>
      </c>
    </row>
    <row r="4" spans="1:55" s="2858" customFormat="1">
      <c r="A4" s="2856" t="s">
        <v>2663</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受贵公司委托，我公司对北京市通州区靛庄村一区16号院3号楼1至3层101出让国有建设用地使用权抵押价格进行了预评估。</v>
      </c>
      <c r="AM6" s="2881"/>
    </row>
    <row r="7" spans="1:55" s="2855" customFormat="1">
      <c r="A7" s="2856" t="s">
        <v>2658</v>
      </c>
      <c r="B7" s="2857" t="str">
        <f>'预评函-1'!A6</f>
        <v>估价对象为北京通州开关有限公司使用的、位于北京市通州区靛庄村一区16号院3号楼1至3层101出让国有建设用地使用权。根据《国有土地使用证》[京通国用（2003出）字第207号]，估价对象（分摊）出让国有建设用地使用权面积为120363.16平方米。根据《建设工程规划许可证》[]、《出让合同》[]，估价对象规划建筑面积为72217.9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北京通州开关有限公司拟使用北京市通州区靛庄村一区16号院3号楼1至3层101出让国有建设用地使用权作为抵押担保物，向工商银行通州支行办理贷款手续。工商银行通州支行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2019年3月20日（评估专业人员勘察现场之日）</v>
      </c>
    </row>
    <row r="11" spans="1:55" s="2855" customFormat="1">
      <c r="A11" s="2856" t="s">
        <v>2666</v>
      </c>
      <c r="B11" s="2857" t="str">
        <f>'预评函-1'!A14</f>
        <v>根据《国有土地使用证》[京通国用（2003出）字第207号]，本次评估估价对象证载（地类）用途为工业用地。</v>
      </c>
    </row>
    <row r="12" spans="1:55" s="2855" customFormat="1">
      <c r="A12" s="2856" t="s">
        <v>2667</v>
      </c>
      <c r="B12" s="2857" t="str">
        <f>'预评函-1'!A15</f>
        <v>本次评估设定用途即为证载用途工业用地。</v>
      </c>
    </row>
    <row r="13" spans="1:55" s="2855" customFormat="1">
      <c r="A13" s="2856" t="s">
        <v>2668</v>
      </c>
      <c r="B13" s="2857" t="str">
        <f>'预评函-1'!A17</f>
        <v>根据委托估价方介绍及评估专业人员现场勘查，本次评估估价对象实际土地开发程度为红线外市政基础设施达“七通”（即通路、通电、通讯、通上水、通下水、、）、宗地红线内场地平整。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京通国用（2003出）字第207号]，估价对象（分摊）出让国有建设用地使用权面积为120363.16平方米。根据《建设工程规划许可证》[]、《出让合同》[]，估价对象规划建筑面积为72217.9平方米。</v>
      </c>
    </row>
    <row r="16" spans="1:55" s="2855" customFormat="1">
      <c r="A16" s="2856" t="s">
        <v>2670</v>
      </c>
      <c r="B16" s="2857" t="str">
        <f>'预评函-1'!A22</f>
        <v>本次估价对象为出让国有建设用地使用权，《国有土地使用证》[京通国用（2003出）字第207号]证载土地终止日期为工业2048年12月30日。截至估价期日，出让国有建设用地使用权剩余土地使用年限为工业29.80年。</v>
      </c>
    </row>
    <row r="17" spans="1:48" s="2855" customFormat="1">
      <c r="A17" s="2856" t="s">
        <v>2671</v>
      </c>
      <c r="B17" s="2857" t="str">
        <f>'预评函-1'!A23</f>
        <v>本次评估设定估价对象剩余土地使用年限为工业29.80年。</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3月20日，在规划利用条件下、设定土地开发程度为红线外“七通”、宗地内场地，设定用途为工业用地，剩余土地使用年限为工业29.80年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2676</v>
      </c>
      <c r="B22" s="2868"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估价期日：2019年3月20日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t="str">
        <f>'预评函-2'!E5</f>
        <v>工业用地</v>
      </c>
      <c r="AV32" s="2861"/>
    </row>
    <row r="33" spans="1:2">
      <c r="A33" s="2856" t="s">
        <v>2714</v>
      </c>
      <c r="B33" s="2857">
        <f>'预评函-2'!F5</f>
        <v>258</v>
      </c>
    </row>
    <row r="34" spans="1:2">
      <c r="A34" s="2856" t="s">
        <v>2715</v>
      </c>
      <c r="B34" s="2857" t="str">
        <f>'预评函-2'!G5</f>
        <v>工业用地</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红线外七通、宗地红线内场地平整</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t="str">
        <f>'预评函-2'!M5</f>
        <v>工业29.80年</v>
      </c>
    </row>
    <row r="42" spans="1:2">
      <c r="A42" s="2856" t="s">
        <v>2740</v>
      </c>
      <c r="B42" s="2857" t="str">
        <f>'预评函-2'!N3</f>
        <v>（分摊）出让国有建设用地使用权面积/㎡</v>
      </c>
    </row>
    <row r="43" spans="1:2">
      <c r="A43" s="2856" t="s">
        <v>2722</v>
      </c>
      <c r="B43" s="2857">
        <f>'预评函-2'!N5</f>
        <v>120363.16</v>
      </c>
    </row>
    <row r="44" spans="1:2">
      <c r="A44" s="2856" t="s">
        <v>2741</v>
      </c>
      <c r="B44" s="2857" t="str">
        <f>'预评函-2'!O3</f>
        <v>规划建筑面积/㎡</v>
      </c>
    </row>
    <row r="45" spans="1:2">
      <c r="A45" s="2856" t="s">
        <v>2723</v>
      </c>
      <c r="B45" s="2857">
        <f>'预评函-2'!O5</f>
        <v>72217.899999999994</v>
      </c>
    </row>
    <row r="46" spans="1:2">
      <c r="A46" s="2856" t="s">
        <v>2724</v>
      </c>
      <c r="B46" s="2857">
        <f ca="1">'预评函-2'!P5</f>
        <v>682</v>
      </c>
    </row>
    <row r="47" spans="1:2">
      <c r="A47" s="2856" t="s">
        <v>2725</v>
      </c>
      <c r="B47" s="2857">
        <f ca="1">'预评函-2'!Q5</f>
        <v>1137</v>
      </c>
    </row>
    <row r="48" spans="1:2">
      <c r="A48" s="2856" t="s">
        <v>2726</v>
      </c>
      <c r="B48" s="2857">
        <f ca="1">'预评函-2'!R5</f>
        <v>8208</v>
      </c>
    </row>
    <row r="49" spans="1:2">
      <c r="A49" s="2856" t="s">
        <v>2742</v>
      </c>
      <c r="B49" s="2857" t="str">
        <f>'预评函-2'!A6</f>
        <v>抵押价格</v>
      </c>
    </row>
    <row r="50" spans="1:2">
      <c r="A50" s="2856" t="s">
        <v>2727</v>
      </c>
      <c r="B50" s="2857">
        <f ca="1">'预评函-2'!R6</f>
        <v>8208</v>
      </c>
    </row>
    <row r="51" spans="1:2">
      <c r="A51" s="2856" t="s">
        <v>2743</v>
      </c>
      <c r="B51" s="2857" t="str">
        <f>'预评函-2'!A7</f>
        <v>——</v>
      </c>
    </row>
    <row r="52" spans="1:2">
      <c r="A52" s="2856" t="s">
        <v>2728</v>
      </c>
      <c r="B52" s="2857" t="str">
        <f>'预评函-2'!R7</f>
        <v>——</v>
      </c>
    </row>
    <row r="53" spans="1:2">
      <c r="A53" s="2856" t="s">
        <v>2744</v>
      </c>
      <c r="B53" s="2857">
        <f>'预评函-2'!A8</f>
        <v>0</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2.基础设施条件：估价对象实际开发程度为红线外七通、宗地红线内场地平整；本次评估设定开发程度为红线外七通、宗地红线内场地。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2787</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G26" sqref="G2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23" t="str">
        <f>IF(B10="北京市","北京市",C10)&amp;F10&amp;B16&amp;"国有建设用地使用权"&amp;B9&amp;"预评估"</f>
        <v>北京市通州区靛庄村一区16号院3号楼1至3层101出让国有建设用地使用权抵押价格预评估</v>
      </c>
      <c r="C1" s="3224"/>
      <c r="D1" s="3224"/>
      <c r="E1" s="3224"/>
      <c r="F1" s="3224"/>
      <c r="G1" s="3224"/>
      <c r="H1" s="3224"/>
      <c r="I1" s="3225"/>
      <c r="J1" s="1693"/>
      <c r="K1" s="2434" t="str">
        <f>IF(B10="北京市","北京市",C10)&amp;F10&amp;B16&amp;"国有建设用地使用权"&amp;B9</f>
        <v>北京市通州区靛庄村一区16号院3号楼1至3层101出让国有建设用地使用权抵押价格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北京市通州区靛庄村一区16号院3号楼1至3层101出让国有建设用地使用权</v>
      </c>
      <c r="L2" s="1722"/>
      <c r="M2" s="1722"/>
      <c r="N2" s="1693"/>
      <c r="O2" s="1694"/>
      <c r="P2" s="1693"/>
      <c r="Q2" s="1693"/>
      <c r="R2" s="1693"/>
      <c r="S2" s="1693"/>
      <c r="T2" s="1693"/>
      <c r="U2" s="1693"/>
    </row>
    <row r="3" spans="1:21">
      <c r="A3" s="1660" t="s">
        <v>1940</v>
      </c>
      <c r="B3" s="1661">
        <v>43544</v>
      </c>
      <c r="C3" s="1662" t="s">
        <v>1996</v>
      </c>
      <c r="D3" s="1661">
        <v>43544</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2889</v>
      </c>
      <c r="C4" s="1845">
        <f>SUMIF(土地估价师,B4,估价师及机构信息!E3:E24)</f>
        <v>0</v>
      </c>
      <c r="D4" s="1842" t="s">
        <v>2889</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t="s">
        <v>3019</v>
      </c>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t="s">
        <v>3019</v>
      </c>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t="s">
        <v>3020</v>
      </c>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2993</v>
      </c>
      <c r="C8" s="1670"/>
      <c r="D8" s="3229" t="s">
        <v>1945</v>
      </c>
      <c r="E8" s="1843" t="s">
        <v>2994</v>
      </c>
      <c r="F8" s="1671"/>
      <c r="G8" s="1659"/>
      <c r="H8" s="1659"/>
      <c r="I8" s="1706"/>
      <c r="J8" s="1693"/>
      <c r="K8" s="1773"/>
      <c r="L8" s="1722"/>
      <c r="M8" s="1722"/>
      <c r="N8" s="1693"/>
      <c r="O8" s="1694"/>
      <c r="P8" s="1693"/>
      <c r="Q8" s="1693"/>
      <c r="R8" s="1693"/>
      <c r="S8" s="1693"/>
      <c r="T8" s="1693"/>
      <c r="U8" s="1693"/>
    </row>
    <row r="9" spans="1:21" ht="15" thickBot="1">
      <c r="A9" s="1672" t="s">
        <v>1944</v>
      </c>
      <c r="B9" s="1673" t="s">
        <v>2994</v>
      </c>
      <c r="C9" s="1674"/>
      <c r="D9" s="3230"/>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1946</v>
      </c>
      <c r="C10" s="1675"/>
      <c r="D10" s="1666"/>
      <c r="E10" s="1676" t="s">
        <v>1947</v>
      </c>
      <c r="F10" s="1677" t="s">
        <v>3021</v>
      </c>
      <c r="G10" s="1744"/>
      <c r="H10" s="1745"/>
      <c r="I10" s="1666"/>
      <c r="J10" s="1693"/>
      <c r="K10" s="1773"/>
      <c r="L10" s="1722"/>
      <c r="M10" s="1722"/>
      <c r="N10" s="1693"/>
      <c r="O10" s="1694"/>
      <c r="P10" s="1693"/>
      <c r="Q10" s="1693"/>
      <c r="R10" s="1693"/>
      <c r="S10" s="1693"/>
      <c r="T10" s="1693"/>
      <c r="U10" s="1693"/>
    </row>
    <row r="11" spans="1:21" ht="28.5">
      <c r="A11" s="1696" t="s">
        <v>2001</v>
      </c>
      <c r="B11" s="1697" t="s">
        <v>2995</v>
      </c>
      <c r="C11" s="1678" t="s">
        <v>3020</v>
      </c>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26" t="s">
        <v>3023</v>
      </c>
      <c r="C12" s="3227"/>
      <c r="D12" s="3228"/>
      <c r="E12" s="1698" t="s">
        <v>2062</v>
      </c>
      <c r="F12" s="3244" t="s">
        <v>3022</v>
      </c>
      <c r="G12" s="3245"/>
      <c r="H12" s="3245"/>
      <c r="I12" s="3246"/>
      <c r="J12" s="1693"/>
      <c r="K12" s="1773"/>
      <c r="L12" s="1722"/>
      <c r="M12" s="1722"/>
      <c r="N12" s="1693"/>
      <c r="O12" s="1694"/>
      <c r="P12" s="1693"/>
      <c r="Q12" s="1693"/>
      <c r="R12" s="1693"/>
      <c r="S12" s="1693"/>
      <c r="T12" s="1693"/>
      <c r="U12" s="1693"/>
    </row>
    <row r="13" spans="1:21">
      <c r="A13" s="1686" t="s">
        <v>2060</v>
      </c>
      <c r="B13" s="3226" t="s">
        <v>3023</v>
      </c>
      <c r="C13" s="3227"/>
      <c r="D13" s="3228"/>
      <c r="E13" s="1698" t="s">
        <v>2062</v>
      </c>
      <c r="F13" s="3244" t="s">
        <v>2890</v>
      </c>
      <c r="G13" s="3245"/>
      <c r="H13" s="3245"/>
      <c r="I13" s="3246"/>
      <c r="J13" s="1693"/>
      <c r="K13" s="1773"/>
      <c r="L13" s="1722"/>
      <c r="M13" s="1722"/>
      <c r="N13" s="1693"/>
      <c r="O13" s="1694"/>
      <c r="P13" s="1693"/>
      <c r="Q13" s="1693"/>
      <c r="R13" s="1693"/>
      <c r="S13" s="1693"/>
      <c r="T13" s="1693"/>
      <c r="U13" s="1693"/>
    </row>
    <row r="14" spans="1:21">
      <c r="A14" s="1660" t="s">
        <v>2063</v>
      </c>
      <c r="B14" s="1698"/>
      <c r="C14" s="1844" t="s">
        <v>2997</v>
      </c>
      <c r="D14" s="1732" t="str">
        <f>IF(C14="不一致","是否符合证载地类范围","")</f>
        <v/>
      </c>
      <c r="E14" s="1698"/>
      <c r="F14" s="1789" t="s">
        <v>2998</v>
      </c>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42.75">
      <c r="A16" s="1679" t="s">
        <v>1948</v>
      </c>
      <c r="B16" s="1680" t="s">
        <v>2996</v>
      </c>
      <c r="C16" s="1698" t="s">
        <v>1949</v>
      </c>
      <c r="D16" s="2625" t="s">
        <v>1950</v>
      </c>
      <c r="E16" s="1721"/>
      <c r="F16" s="1721"/>
      <c r="G16" s="1721"/>
      <c r="H16" s="1721"/>
      <c r="I16" s="1685" t="s">
        <v>1955</v>
      </c>
      <c r="J16" s="1693"/>
      <c r="K16" s="2435" t="str">
        <f>IF(D17="","",D16&amp;TEXT(D17,"yyyy年m月d日;;"))</f>
        <v/>
      </c>
      <c r="L16" s="1698" t="str">
        <f>IF(OR(K16="",M16=""),"","、")</f>
        <v/>
      </c>
      <c r="M16" s="2435" t="str">
        <f>IF(E17="","",E16&amp;TEXT(E17,"yyyy年m月d日;;"))</f>
        <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工业2048年12月30日</v>
      </c>
    </row>
    <row r="17" spans="1:21">
      <c r="A17" s="1762"/>
      <c r="B17" s="1681"/>
      <c r="C17" s="1682" t="s">
        <v>1956</v>
      </c>
      <c r="D17" s="1699"/>
      <c r="E17" s="1699"/>
      <c r="F17" s="1699"/>
      <c r="G17" s="1699"/>
      <c r="H17" s="1699"/>
      <c r="I17" s="1699">
        <v>54422</v>
      </c>
      <c r="J17" s="1693"/>
      <c r="K17" s="2434" t="str">
        <f>CONCATENATE(K16,L16,M16,N16,O16,P16,Q16,R16,S16,T16,,U16)</f>
        <v>工业2048年12月30日</v>
      </c>
      <c r="L17" s="1722"/>
      <c r="M17" s="1722"/>
      <c r="N17" s="1693"/>
      <c r="O17" s="1694"/>
      <c r="P17" s="1693"/>
      <c r="Q17" s="1693"/>
      <c r="R17" s="1693"/>
      <c r="S17" s="1693"/>
      <c r="T17" s="1693"/>
      <c r="U17" s="1693"/>
    </row>
    <row r="18" spans="1:21">
      <c r="A18" s="1762"/>
      <c r="B18" s="1681"/>
      <c r="C18" s="1682" t="s">
        <v>1957</v>
      </c>
      <c r="D18" s="1683"/>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f>IF(B16="出让",IF(I17="","",ROUNDDOWN(MIN((I17-$D$3)/365,I18),2)),I18)</f>
        <v>29.8</v>
      </c>
      <c r="J19" s="1693"/>
      <c r="K19" s="1773"/>
      <c r="L19" s="1722"/>
      <c r="M19" s="1722"/>
      <c r="N19" s="1693"/>
      <c r="O19" s="1694"/>
      <c r="P19" s="1693"/>
      <c r="Q19" s="1693"/>
      <c r="R19" s="1693"/>
      <c r="S19" s="1693"/>
      <c r="T19" s="1693"/>
      <c r="U19" s="1693"/>
    </row>
    <row r="20" spans="1:21">
      <c r="A20" s="1785"/>
      <c r="B20" s="1786"/>
      <c r="C20" s="1787" t="s">
        <v>2061</v>
      </c>
      <c r="D20" s="3241" t="s">
        <v>3024</v>
      </c>
      <c r="E20" s="3242"/>
      <c r="F20" s="3242"/>
      <c r="G20" s="3242"/>
      <c r="H20" s="3242"/>
      <c r="I20" s="3243"/>
      <c r="J20" s="1693"/>
      <c r="K20" s="1773"/>
      <c r="L20" s="1722"/>
      <c r="M20" s="1722"/>
      <c r="N20" s="1693"/>
      <c r="O20" s="1694"/>
      <c r="P20" s="1693"/>
      <c r="Q20" s="1693"/>
      <c r="R20" s="1693"/>
      <c r="S20" s="1693"/>
      <c r="T20" s="1693"/>
      <c r="U20" s="1693"/>
    </row>
    <row r="21" spans="1:21">
      <c r="A21" s="1762" t="s">
        <v>1959</v>
      </c>
      <c r="B21" s="1763" t="s">
        <v>1960</v>
      </c>
      <c r="C21" s="1758">
        <f>'数据-汇总表'!E3</f>
        <v>72217.899999999994</v>
      </c>
      <c r="D21" s="1759" t="s">
        <v>1961</v>
      </c>
      <c r="E21" s="3231" t="s">
        <v>1999</v>
      </c>
      <c r="F21" s="3232"/>
      <c r="G21" s="3232"/>
      <c r="H21" s="3232"/>
      <c r="I21" s="3233"/>
      <c r="J21" s="1693"/>
      <c r="K21" s="1773"/>
      <c r="L21" s="1722"/>
      <c r="M21" s="1722"/>
      <c r="N21" s="1693"/>
      <c r="O21" s="1694"/>
      <c r="P21" s="1693"/>
      <c r="Q21" s="1693"/>
      <c r="R21" s="1693"/>
      <c r="S21" s="1693"/>
      <c r="T21" s="1693"/>
      <c r="U21" s="1693"/>
    </row>
    <row r="22" spans="1:21">
      <c r="A22" s="3120" t="s">
        <v>952</v>
      </c>
      <c r="B22" s="1660" t="s">
        <v>1962</v>
      </c>
      <c r="C22" s="1685">
        <f>'数据-汇总表'!D3</f>
        <v>120363.16</v>
      </c>
      <c r="D22" s="1686" t="s">
        <v>1961</v>
      </c>
      <c r="E22" s="3231" t="s">
        <v>3025</v>
      </c>
      <c r="F22" s="3232"/>
      <c r="G22" s="3232"/>
      <c r="H22" s="3232"/>
      <c r="I22" s="3233"/>
      <c r="J22" s="1693"/>
      <c r="K22" s="1773"/>
      <c r="L22" s="1722"/>
      <c r="M22" s="1722"/>
      <c r="N22" s="1693"/>
      <c r="O22" s="1694"/>
      <c r="P22" s="1693"/>
      <c r="Q22" s="1693"/>
      <c r="R22" s="1693"/>
      <c r="S22" s="1693"/>
      <c r="T22" s="1693"/>
      <c r="U22" s="1693"/>
    </row>
    <row r="23" spans="1:21" ht="43.5" thickBot="1">
      <c r="A23" s="1764" t="s">
        <v>1963</v>
      </c>
      <c r="B23" s="1700" t="s">
        <v>1964</v>
      </c>
      <c r="C23" s="1701" t="s">
        <v>3026</v>
      </c>
      <c r="D23" s="1702" t="s">
        <v>1965</v>
      </c>
      <c r="E23" s="1703" t="s">
        <v>3026</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34" t="s">
        <v>1967</v>
      </c>
      <c r="C24" s="3235"/>
      <c r="D24" s="3236" t="s">
        <v>1968</v>
      </c>
      <c r="E24" s="3237"/>
      <c r="F24" s="1707" t="s">
        <v>1969</v>
      </c>
      <c r="G24" s="1693"/>
      <c r="H24" s="1693"/>
      <c r="I24" s="1706"/>
      <c r="J24" s="1693"/>
      <c r="K24" s="3222"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22"/>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22"/>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08" t="s">
        <v>2002</v>
      </c>
      <c r="B31" s="1763" t="s">
        <v>2003</v>
      </c>
      <c r="C31" s="3247" t="s">
        <v>3027</v>
      </c>
      <c r="D31" s="3248"/>
      <c r="E31" s="1693"/>
      <c r="F31" s="1693"/>
      <c r="G31" s="1693"/>
      <c r="H31" s="1693"/>
      <c r="I31" s="1706"/>
      <c r="J31" s="1693"/>
      <c r="K31" s="2437"/>
      <c r="L31" s="1693"/>
      <c r="M31" s="1693"/>
      <c r="N31" s="1693"/>
      <c r="O31" s="1693"/>
      <c r="P31" s="1693"/>
      <c r="Q31" s="1693"/>
      <c r="R31" s="1693"/>
      <c r="S31" s="1693"/>
      <c r="T31" s="1693"/>
      <c r="U31" s="1693"/>
    </row>
    <row r="32" spans="1:21">
      <c r="A32" s="3208"/>
      <c r="B32" s="1660" t="s">
        <v>2004</v>
      </c>
      <c r="C32" s="1718" t="s">
        <v>3008</v>
      </c>
      <c r="D32" s="1719"/>
      <c r="E32" s="1693"/>
      <c r="F32" s="1693"/>
      <c r="G32" s="1693"/>
      <c r="H32" s="1693"/>
      <c r="I32" s="1706"/>
      <c r="J32" s="1693"/>
      <c r="K32" s="2437"/>
      <c r="L32" s="1693"/>
      <c r="M32" s="1693"/>
      <c r="N32" s="1693"/>
      <c r="O32" s="1693"/>
      <c r="P32" s="1693"/>
      <c r="Q32" s="1693"/>
      <c r="R32" s="1693"/>
      <c r="S32" s="1693"/>
      <c r="T32" s="1693"/>
      <c r="U32" s="1693"/>
    </row>
    <row r="33" spans="1:21">
      <c r="A33" s="3208"/>
      <c r="B33" s="1660" t="s">
        <v>2005</v>
      </c>
      <c r="C33" s="1720" t="s">
        <v>3026</v>
      </c>
      <c r="D33" s="1837"/>
      <c r="E33" s="1693"/>
      <c r="F33" s="1693"/>
      <c r="G33" s="1693"/>
      <c r="H33" s="1693"/>
      <c r="I33" s="1706"/>
      <c r="J33" s="1693"/>
      <c r="K33" s="2437"/>
      <c r="L33" s="1693"/>
      <c r="M33" s="1693"/>
      <c r="N33" s="1693"/>
      <c r="O33" s="1693"/>
      <c r="P33" s="1693"/>
      <c r="Q33" s="1693"/>
      <c r="R33" s="1693"/>
      <c r="S33" s="1693"/>
      <c r="T33" s="1693"/>
      <c r="U33" s="1693"/>
    </row>
    <row r="34" spans="1:21">
      <c r="A34" s="3209"/>
      <c r="B34" s="1660" t="s">
        <v>2006</v>
      </c>
      <c r="C34" s="3210"/>
      <c r="D34" s="3211"/>
      <c r="E34" s="1693"/>
      <c r="F34" s="1693"/>
      <c r="G34" s="1693"/>
      <c r="H34" s="1693"/>
      <c r="I34" s="1706"/>
      <c r="J34" s="1693"/>
      <c r="K34" s="2437"/>
      <c r="L34" s="1693"/>
      <c r="M34" s="1693"/>
      <c r="N34" s="1693"/>
      <c r="O34" s="1693"/>
      <c r="P34" s="1693"/>
      <c r="Q34" s="1693"/>
      <c r="R34" s="1693"/>
      <c r="S34" s="1693"/>
      <c r="T34" s="1693"/>
      <c r="U34" s="1693"/>
    </row>
    <row r="35" spans="1:21">
      <c r="A35" s="3212" t="s">
        <v>847</v>
      </c>
      <c r="B35" s="1721" t="s">
        <v>3028</v>
      </c>
      <c r="C35" s="1775" t="str">
        <f>IF(B35="场地平整","——","具体情况：")</f>
        <v>——</v>
      </c>
      <c r="D35" s="3214"/>
      <c r="E35" s="3215"/>
      <c r="F35" s="3215"/>
      <c r="G35" s="3215"/>
      <c r="H35" s="3215"/>
      <c r="I35" s="3216"/>
      <c r="J35" s="1693"/>
      <c r="K35" s="1774"/>
      <c r="L35" s="1722"/>
      <c r="M35" s="1722"/>
      <c r="N35" s="1693"/>
      <c r="O35" s="1694"/>
      <c r="P35" s="1693"/>
      <c r="Q35" s="1693"/>
      <c r="R35" s="1693"/>
      <c r="S35" s="1693"/>
      <c r="T35" s="1693"/>
      <c r="U35" s="1693"/>
    </row>
    <row r="36" spans="1:21">
      <c r="A36" s="3208"/>
      <c r="B36" s="3217" t="s">
        <v>2055</v>
      </c>
      <c r="C36" s="3218"/>
      <c r="D36" s="1791"/>
      <c r="E36" s="3219"/>
      <c r="F36" s="3219"/>
      <c r="G36" s="1686" t="str">
        <f>IF(B35="场地未平整","估价结果处理","")</f>
        <v/>
      </c>
      <c r="H36" s="3220"/>
      <c r="I36" s="3220"/>
      <c r="J36" s="1693"/>
      <c r="K36" s="1774"/>
      <c r="L36" s="1722"/>
      <c r="M36" s="1722"/>
      <c r="N36" s="1693"/>
      <c r="O36" s="1694"/>
      <c r="P36" s="1693"/>
      <c r="Q36" s="1693"/>
      <c r="R36" s="1693"/>
      <c r="S36" s="1693"/>
      <c r="T36" s="1693"/>
      <c r="U36" s="1693"/>
    </row>
    <row r="37" spans="1:21" ht="28.5">
      <c r="A37" s="3208"/>
      <c r="B37" s="3238"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08"/>
      <c r="B38" s="3239"/>
      <c r="C38" s="1668" t="s">
        <v>850</v>
      </c>
      <c r="D38" s="1790">
        <f>ROUNDDOWN(MIN(('数据-取费表'!$B$2-D37)/365,D34),1)</f>
        <v>119.2</v>
      </c>
      <c r="E38" s="1726" t="s">
        <v>851</v>
      </c>
      <c r="F38" s="1693"/>
      <c r="G38" s="1693"/>
      <c r="H38" s="1693"/>
      <c r="I38" s="1706"/>
      <c r="J38" s="1693"/>
      <c r="K38" s="1774"/>
      <c r="L38" s="1693"/>
      <c r="M38" s="1693"/>
      <c r="N38" s="1693"/>
      <c r="O38" s="1693"/>
      <c r="P38" s="1693"/>
      <c r="Q38" s="1693"/>
      <c r="R38" s="1693"/>
      <c r="S38" s="1693"/>
      <c r="T38" s="1693"/>
      <c r="U38" s="1693"/>
    </row>
    <row r="39" spans="1:21">
      <c r="A39" s="3209"/>
      <c r="B39" s="324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2999</v>
      </c>
      <c r="C40" s="1689" t="s">
        <v>3000</v>
      </c>
      <c r="D40" s="1689" t="s">
        <v>3001</v>
      </c>
      <c r="E40" s="1689" t="s">
        <v>3002</v>
      </c>
      <c r="F40" s="1689" t="s">
        <v>3003</v>
      </c>
      <c r="G40" s="1689"/>
      <c r="H40" s="1689"/>
      <c r="I40" s="1706"/>
      <c r="J40" s="1693"/>
      <c r="K40" s="1729">
        <f>COUNTIF(B40:H40,"——")</f>
        <v>0</v>
      </c>
      <c r="L40" s="1698" t="s">
        <v>1979</v>
      </c>
      <c r="M40" s="1695" t="s">
        <v>1980</v>
      </c>
      <c r="N40" s="1695" t="s">
        <v>1981</v>
      </c>
      <c r="O40" s="1695" t="s">
        <v>1982</v>
      </c>
      <c r="P40" s="1695" t="s">
        <v>1983</v>
      </c>
      <c r="Q40" s="1695" t="s">
        <v>1984</v>
      </c>
      <c r="R40" s="1695" t="s">
        <v>1985</v>
      </c>
      <c r="S40" s="3221" t="s">
        <v>1986</v>
      </c>
      <c r="T40" s="1730" t="str">
        <f>NUMBERSTRING(7-K40,1)&amp;"通"</f>
        <v>七通</v>
      </c>
      <c r="U40" s="1693"/>
    </row>
    <row r="41" spans="1:21">
      <c r="A41" s="1662"/>
      <c r="B41" s="3213" t="s">
        <v>1722</v>
      </c>
      <c r="C41" s="3213"/>
      <c r="D41" s="3213"/>
      <c r="E41" s="3213"/>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v>
      </c>
      <c r="R41" s="1733" t="str">
        <f>B40&amp;"、"&amp;C40&amp;"、"&amp;D40&amp;"、"&amp;E40&amp;"、"&amp;F40&amp;"、"&amp;G40&amp;"、"&amp;H40</f>
        <v>通路、通电、通讯、通上水、通下水、、</v>
      </c>
      <c r="S41" s="3221"/>
      <c r="T41" s="1732" t="str">
        <f>IF(T40="一通",L41,IF(T40="二通",M41,IF(T40="三通",N41,IF(T40="四通",O41,IF(T40="五通",P41,IF(T40="六通",Q41,R41))))))</f>
        <v>通路、通电、通讯、通上水、通下水、、</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t="s">
        <v>1416</v>
      </c>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t="s">
        <v>3018</v>
      </c>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2891</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120363.16</v>
      </c>
      <c r="B3" s="22">
        <f>IF(C3="否",G5-AT5,G5)</f>
        <v>72217.899999999994</v>
      </c>
      <c r="C3" s="23" t="s">
        <v>3026</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72217.899999999994</v>
      </c>
      <c r="H5" s="27">
        <f t="shared" ref="H5:AT5" si="0">SUM(H13:H641)</f>
        <v>72217.899999999994</v>
      </c>
      <c r="I5" s="27">
        <f t="shared" si="0"/>
        <v>72217.899999999994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72217.899999999994</v>
      </c>
      <c r="BA5" s="29">
        <f t="shared" si="1"/>
        <v>72217.899999999994</v>
      </c>
      <c r="BB5" s="29">
        <f t="shared" si="1"/>
        <v>72217.899999999994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120363.16</v>
      </c>
      <c r="F6" s="27" t="s">
        <v>1</v>
      </c>
      <c r="G6" s="27" t="s">
        <v>2</v>
      </c>
      <c r="H6" s="33">
        <f>SUMIF(I$12:AB$12,"总值",I6:AB6)</f>
        <v>120363.16</v>
      </c>
      <c r="I6" s="27">
        <f t="shared" ref="I6:AB6" si="2">ROUND($A$3*I5/$B$3,2)</f>
        <v>120363.16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120363.16</v>
      </c>
      <c r="AZ6" s="27" t="s">
        <v>3</v>
      </c>
      <c r="BA6" s="27">
        <f>ROUND($AY$6*BA5/$AZ$5,2)</f>
        <v>120363.16</v>
      </c>
      <c r="BB6" s="27">
        <f>ROUND($AY$6*BB5/$AZ$5,2)</f>
        <v>120363.16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3012</v>
      </c>
      <c r="J9" s="51"/>
      <c r="K9" s="2994"/>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982</v>
      </c>
      <c r="J10" s="51"/>
      <c r="K10" s="2996"/>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8.25">
      <c r="A13" s="2989" t="s">
        <v>3029</v>
      </c>
      <c r="B13" s="2989"/>
      <c r="C13" s="2989"/>
      <c r="D13" s="2990" t="s">
        <v>1679</v>
      </c>
      <c r="E13" s="27">
        <f t="shared" ref="E13:E20" si="6">IF($C$3="是",ROUND($A$3*G13/$B$3,2),ROUND($A$3*(G13-AT13)/$B$3,2))</f>
        <v>120363.16</v>
      </c>
      <c r="F13" s="81"/>
      <c r="G13" s="82">
        <f t="shared" ref="G13:G20" si="7">H13+AC13+AT13</f>
        <v>72217.899999999994</v>
      </c>
      <c r="H13" s="33">
        <f t="shared" ref="H13:H20" si="8">SUMIF(I$12:AB$12,"总值",I13:AB13)</f>
        <v>72217.899999999994</v>
      </c>
      <c r="I13" s="2993">
        <f>ROUND(A3*0.6,2)</f>
        <v>72217.899999999994</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t="str">
        <f t="shared" ref="AV13:AX20" si="10">A13</f>
        <v>京通国用（2003出）字第207号</v>
      </c>
      <c r="AW13" s="17">
        <f t="shared" si="10"/>
        <v>0</v>
      </c>
      <c r="AX13" s="17">
        <f t="shared" si="10"/>
        <v>0</v>
      </c>
      <c r="AY13" s="996">
        <f t="shared" ref="AY13:AY20" si="11">ROUND($AY$6*AZ13/$AZ$5,2)</f>
        <v>120363.16</v>
      </c>
      <c r="AZ13" s="27">
        <f t="shared" ref="AZ13:AZ20" si="12">BA13+BL13</f>
        <v>72217.899999999994</v>
      </c>
      <c r="BA13" s="27">
        <f t="shared" ref="BA13:BA20" si="13">SUM(BB13:BK13)</f>
        <v>72217.899999999994</v>
      </c>
      <c r="BB13" s="27">
        <f t="shared" ref="BB13:BB20" si="14">IF($D13="是",I13-J13,0)</f>
        <v>72217.899999999994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9" t="s">
        <v>0</v>
      </c>
      <c r="B1" s="3249" t="s">
        <v>4</v>
      </c>
      <c r="C1" s="3249" t="s">
        <v>5</v>
      </c>
      <c r="D1" s="3250" t="s">
        <v>40</v>
      </c>
      <c r="E1" s="3250" t="s">
        <v>41</v>
      </c>
      <c r="F1" s="3250"/>
      <c r="G1" s="3250"/>
      <c r="H1" s="3250"/>
      <c r="I1" s="3250"/>
      <c r="J1" s="3250"/>
      <c r="K1" s="3250"/>
      <c r="L1" s="3250"/>
      <c r="M1" s="3250"/>
    </row>
    <row r="2" spans="1:13" ht="27" customHeight="1">
      <c r="A2" s="3249"/>
      <c r="B2" s="3249"/>
      <c r="C2" s="3249"/>
      <c r="D2" s="3250"/>
      <c r="E2" s="3250" t="s">
        <v>24</v>
      </c>
      <c r="F2" s="3250" t="s">
        <v>25</v>
      </c>
      <c r="G2" s="3250"/>
      <c r="H2" s="3250"/>
      <c r="I2" s="3250"/>
      <c r="J2" s="3250" t="s">
        <v>26</v>
      </c>
      <c r="K2" s="3250"/>
      <c r="L2" s="3250"/>
      <c r="M2" s="3250"/>
    </row>
    <row r="3" spans="1:13" ht="28.5">
      <c r="A3" s="3249"/>
      <c r="B3" s="3249"/>
      <c r="C3" s="3249"/>
      <c r="D3" s="3250"/>
      <c r="E3" s="325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0" t="s">
        <v>42</v>
      </c>
      <c r="B9" s="3250"/>
      <c r="C9" s="325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2" sqref="C2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0" t="s">
        <v>203</v>
      </c>
      <c r="B2" s="3260"/>
      <c r="C2" s="3260"/>
      <c r="D2" s="1975" t="s">
        <v>204</v>
      </c>
      <c r="E2" s="106" t="s">
        <v>205</v>
      </c>
      <c r="F2" s="1984"/>
      <c r="G2" s="1198"/>
      <c r="H2" s="1199"/>
      <c r="I2" s="1200" t="s">
        <v>857</v>
      </c>
      <c r="J2" s="1984"/>
      <c r="K2" s="1984"/>
      <c r="L2" s="1984"/>
    </row>
    <row r="3" spans="1:16" ht="15.75" thickBot="1">
      <c r="A3" s="3261" t="s">
        <v>206</v>
      </c>
      <c r="B3" s="3261"/>
      <c r="C3" s="3261"/>
      <c r="D3" s="107">
        <f>'数据-基础表'!AY6</f>
        <v>120363.16</v>
      </c>
      <c r="E3" s="107">
        <f>'数据-基础表'!AZ5</f>
        <v>72217.899999999994</v>
      </c>
      <c r="F3" s="1984"/>
      <c r="G3" s="280" t="s">
        <v>858</v>
      </c>
      <c r="H3" s="275" t="s">
        <v>859</v>
      </c>
      <c r="I3" s="1976">
        <f>ROUND('数据-基础表'!B3/'数据-基础表'!A3,2)</f>
        <v>0.6</v>
      </c>
      <c r="J3" s="1984"/>
      <c r="K3" s="1984"/>
      <c r="L3" s="1984"/>
    </row>
    <row r="4" spans="1:16" ht="15">
      <c r="A4" s="3262"/>
      <c r="B4" s="3263"/>
      <c r="C4" s="3264"/>
      <c r="D4" s="108" t="s">
        <v>204</v>
      </c>
      <c r="E4" s="109" t="s">
        <v>205</v>
      </c>
      <c r="F4" s="1984"/>
      <c r="G4" s="1201"/>
      <c r="H4" s="275" t="s">
        <v>860</v>
      </c>
      <c r="I4" s="1976">
        <f>ROUND(SUMIF('数据-基础表'!I9:AS9,"地上",'数据-基础表'!I5:AS5)/'数据-基础表'!A3,2)</f>
        <v>0.6</v>
      </c>
      <c r="J4" s="1984"/>
      <c r="K4" s="1984"/>
      <c r="L4" s="1984"/>
    </row>
    <row r="5" spans="1:16">
      <c r="A5" s="110" t="s">
        <v>207</v>
      </c>
      <c r="B5" s="3265" t="s">
        <v>230</v>
      </c>
      <c r="C5" s="3265"/>
      <c r="D5" s="111">
        <f>ROUND($D$3*E5/$E$3,2)</f>
        <v>0</v>
      </c>
      <c r="E5" s="112">
        <f>SUMIF('数据-基础表'!$11:$11,"住宅",'数据-基础表'!$5:$5)</f>
        <v>0</v>
      </c>
      <c r="F5" s="1984"/>
      <c r="G5" s="280" t="s">
        <v>861</v>
      </c>
      <c r="H5" s="275" t="s">
        <v>859</v>
      </c>
      <c r="I5" s="1976">
        <f>ROUND(E31/D31,2)</f>
        <v>0.6</v>
      </c>
      <c r="J5" s="1984"/>
      <c r="K5" s="1984"/>
      <c r="L5" s="1984"/>
    </row>
    <row r="6" spans="1:16" ht="15" thickBot="1">
      <c r="A6" s="113"/>
      <c r="B6" s="3265" t="s">
        <v>208</v>
      </c>
      <c r="C6" s="3265"/>
      <c r="D6" s="111">
        <f>ROUND($D$3*E6/$E$3,2)</f>
        <v>120363.16</v>
      </c>
      <c r="E6" s="112">
        <f>E3-E5</f>
        <v>72217.899999999994</v>
      </c>
      <c r="F6" s="1984"/>
      <c r="G6" s="1201"/>
      <c r="H6" s="275" t="s">
        <v>860</v>
      </c>
      <c r="I6" s="1976">
        <f>ROUND(F31/D31,2)</f>
        <v>0.6</v>
      </c>
      <c r="J6" s="1984"/>
      <c r="K6" s="1984"/>
      <c r="L6" s="1984"/>
    </row>
    <row r="7" spans="1:16" ht="15">
      <c r="A7" s="3257"/>
      <c r="B7" s="3258"/>
      <c r="C7" s="3259"/>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120363.16</v>
      </c>
      <c r="E8" s="116">
        <f>SUMIF('数据-基础表'!BB10:BK10,"地上",'数据-基础表'!BB5:BK5)</f>
        <v>72217.899999999994</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120363.16</v>
      </c>
      <c r="E16" s="120">
        <f>SUM(E8:E15)</f>
        <v>72217.899999999994</v>
      </c>
      <c r="F16" s="1984"/>
      <c r="G16" s="1986"/>
      <c r="H16" s="968" t="s">
        <v>219</v>
      </c>
      <c r="I16" s="969"/>
      <c r="J16" s="1984"/>
      <c r="K16" s="3251" t="s">
        <v>2567</v>
      </c>
      <c r="L16" s="3252"/>
      <c r="M16" s="3252"/>
      <c r="N16" s="3252"/>
      <c r="O16" s="3252"/>
      <c r="P16" s="3253"/>
    </row>
    <row r="17" spans="1:19" ht="15">
      <c r="A17" s="121" t="s">
        <v>216</v>
      </c>
      <c r="B17" s="122" t="s">
        <v>217</v>
      </c>
      <c r="C17" s="2298" t="s">
        <v>2314</v>
      </c>
      <c r="D17" s="108" t="s">
        <v>204</v>
      </c>
      <c r="E17" s="124" t="s">
        <v>205</v>
      </c>
      <c r="F17" s="125"/>
      <c r="G17" s="1366"/>
      <c r="H17" s="970" t="s">
        <v>218</v>
      </c>
      <c r="I17" s="971" t="s">
        <v>2313</v>
      </c>
      <c r="J17" s="1984"/>
      <c r="K17" s="3254" t="s">
        <v>2568</v>
      </c>
      <c r="L17" s="3255"/>
      <c r="M17" s="3256"/>
      <c r="N17" s="3254" t="s">
        <v>2569</v>
      </c>
      <c r="O17" s="3255"/>
      <c r="P17" s="3256"/>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178" t="s">
        <v>3034</v>
      </c>
      <c r="D19" s="111">
        <f t="shared" ref="D19:D26" si="1">ROUND($D$3*E19/$E$3,2)</f>
        <v>120363.16</v>
      </c>
      <c r="E19" s="134">
        <f t="shared" ref="E19:E26" si="2">SUM(F19:G19)</f>
        <v>72217.899999999994</v>
      </c>
      <c r="F19" s="135">
        <f>'数据-基础表'!I13</f>
        <v>72217.899999999994</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120363.16</v>
      </c>
      <c r="S19" s="2301">
        <f t="shared" si="5"/>
        <v>72217.899999999994</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120363.16</v>
      </c>
      <c r="E27" s="143">
        <f>IF(SUM(E19:E26)='数据-基础表'!BA5,SUM(E19:E26),IF(F27="地上面积有误","面积有误","地下面积有误"))</f>
        <v>72217.899999999994</v>
      </c>
      <c r="F27" s="134">
        <f>IF(SUM(F19:F26)=E8,SUM(F19:F26),"地上面积有误")</f>
        <v>72217.899999999994</v>
      </c>
      <c r="G27" s="112">
        <f>SUM(G19:G26)</f>
        <v>0</v>
      </c>
      <c r="H27" s="975">
        <f>SUM(H19:H26)</f>
        <v>0</v>
      </c>
      <c r="I27" s="976">
        <f>SUM(I19:I26)</f>
        <v>0</v>
      </c>
      <c r="J27" s="1984"/>
      <c r="K27" s="2596">
        <f>SUM(K19:K26)</f>
        <v>0</v>
      </c>
      <c r="L27" s="2597">
        <f>SUM(L19:L26)</f>
        <v>0</v>
      </c>
      <c r="M27" s="2598">
        <f>SUM(M19:M26)</f>
        <v>0</v>
      </c>
      <c r="N27" s="2596">
        <f t="shared" ref="N27:O27" si="10">SUM(N19:N26)</f>
        <v>0</v>
      </c>
      <c r="O27" s="2597">
        <f t="shared" si="10"/>
        <v>0</v>
      </c>
      <c r="P27" s="2599">
        <f>SUM(P19:P26)</f>
        <v>0</v>
      </c>
      <c r="R27" s="2305">
        <f>IF(SUM(R19:R26)=$D$3,SUM(R19:R26),SUM(R19:R26)&amp;"误差"&amp;ROUND(SUM(R19:R26)-$D$3,2))</f>
        <v>120363.16</v>
      </c>
      <c r="S27" s="275">
        <f>IF(SUM(S19:S26)=$E$3,SUM(S19:S26),SUM(S19:S26)&amp;"误差"&amp;ROUND(SUM(S19:S26)-E3,2))</f>
        <v>72217.899999999994</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120363.16</v>
      </c>
      <c r="E31" s="1372">
        <f>E27+E30</f>
        <v>72217.899999999994</v>
      </c>
      <c r="F31" s="1373">
        <f>F27+F30</f>
        <v>72217.899999999994</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A6" activePane="bottomRight" state="frozen"/>
      <selection pane="topRight" activeCell="D1" sqref="D1"/>
      <selection pane="bottomLeft" activeCell="A4" sqref="A4"/>
      <selection pane="bottomRight" activeCell="AE6" sqref="AE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43544</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工业配套办公</v>
      </c>
      <c r="B6" s="2337" t="str">
        <f>IF(A6=0,"","经营性")</f>
        <v>经营性</v>
      </c>
      <c r="C6" s="173" t="s">
        <v>982</v>
      </c>
      <c r="D6" s="2308">
        <f>SUMIF(项目基本情况!D$15:I$15,C6,项目基本情况!D$18:I$18)</f>
        <v>50</v>
      </c>
      <c r="E6" s="2309">
        <f>IF(B6="","",SUMIF(项目基本情况!D$15:I$15,C6,项目基本情况!D$17:I$17))</f>
        <v>54422</v>
      </c>
      <c r="F6" s="174">
        <f>SUMIF(项目基本情况!D$15:I$15,C6,项目基本情况!D$19:I$19)</f>
        <v>29.8</v>
      </c>
      <c r="G6" s="175">
        <f>IF(ISERROR(ROUND(POWER(1+H6,D6-F6)*(POWER(1+H6,F6)-1)/(POWER(1+H6,D6)-1),3)),0,ROUND(POWER(1+H6,D6-F6)*(POWER(1+H6,F6)-1)/(POWER(1+H6,D6)-1),3))</f>
        <v>0.82199999999999995</v>
      </c>
      <c r="H6" s="3001">
        <v>4.4999999999999998E-2</v>
      </c>
      <c r="I6" s="3001">
        <v>0.05</v>
      </c>
      <c r="J6" s="176">
        <v>0.08</v>
      </c>
      <c r="K6" s="179">
        <f>SUMIF('数据-汇总表'!C$19:C$33,'数据-取费表'!A6,'数据-汇总表'!E$19:E$33)</f>
        <v>72217.899999999994</v>
      </c>
      <c r="L6" s="3002">
        <v>2200</v>
      </c>
      <c r="M6" s="177">
        <f t="shared" ref="M6:M14" si="0">ROUND(K6*L6/10000,0)</f>
        <v>15888</v>
      </c>
      <c r="N6" s="3003">
        <v>0</v>
      </c>
      <c r="O6" s="177">
        <f>IF($N$5="成新度","——",ROUND(M6*N6,0))</f>
        <v>0</v>
      </c>
      <c r="P6" s="178">
        <f>IF($N$5="成新度","——",M6-O6)</f>
        <v>15888</v>
      </c>
      <c r="Q6" s="3004">
        <v>0.1</v>
      </c>
      <c r="R6" s="179">
        <f>SUMIF('数据-汇总表'!C$19:C$33,A6,'数据-汇总表'!R$19:R$33)</f>
        <v>120363.16</v>
      </c>
      <c r="S6" s="132">
        <f>IF('数据-汇总表'!$I$17="按面积比例",SUMIF('数据-汇总表'!C$19:C$33,A6,'数据-汇总表'!K$19:K$33),SUMIF('数据-汇总表'!C$19:C$33,A6,'数据-汇总表'!N$19:N$33))</f>
        <v>0</v>
      </c>
      <c r="T6" s="2234" t="str">
        <f>IF($T$4="按面积比例",IF(ISERROR(ROUND($M$14*S6/S$16,0)),"0",ROUND($M$14*S6/S$16,0)),"需自行计算录入")</f>
        <v>0</v>
      </c>
      <c r="U6" s="3179">
        <v>1</v>
      </c>
      <c r="V6" s="181">
        <v>0.02</v>
      </c>
      <c r="W6" s="181">
        <v>0.15</v>
      </c>
      <c r="X6" s="2321"/>
      <c r="Y6" s="182">
        <v>1</v>
      </c>
      <c r="Z6" s="183"/>
      <c r="AA6" s="176"/>
      <c r="AB6" s="176"/>
      <c r="AC6" s="2324"/>
      <c r="AD6" s="184"/>
      <c r="AE6" s="972">
        <f ca="1">IF(AN6="",0,SUMIF(INDIRECT("'"&amp;AN6&amp;"'"&amp;"!E:E"),$AE$5,INDIRECT("'"&amp;AN6&amp;"'"&amp;"!F:F")))</f>
        <v>28.8</v>
      </c>
      <c r="AF6" s="141"/>
      <c r="AG6" s="1213">
        <f>IF(AF6="",0,AE6-AF6)</f>
        <v>0</v>
      </c>
      <c r="AH6" s="141"/>
      <c r="AI6" s="187">
        <v>365</v>
      </c>
      <c r="AJ6" s="188"/>
      <c r="AK6" s="189">
        <v>1.4999999999999999E-2</v>
      </c>
      <c r="AL6" s="190">
        <v>1.5E-3</v>
      </c>
      <c r="AM6" s="3015">
        <v>0.01</v>
      </c>
      <c r="AN6" s="2371" t="s">
        <v>3016</v>
      </c>
      <c r="AO6" s="2000"/>
      <c r="AP6" s="1204">
        <f>ROUND(1-1/(1+H6)^F6,3)</f>
        <v>0.73099999999999998</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1"/>
      <c r="I7" s="3001"/>
      <c r="J7" s="176"/>
      <c r="K7" s="179">
        <f>SUMIF('数据-汇总表'!C$19:C$33,'数据-取费表'!A7,'数据-汇总表'!E$19:E$33)</f>
        <v>0</v>
      </c>
      <c r="L7" s="3002"/>
      <c r="M7" s="177">
        <f t="shared" si="0"/>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0.82199999999999995</v>
      </c>
      <c r="H16" s="203">
        <f>ROUND(SUMPRODUCT(H6:H13,K6:K13)/SUMPRODUCT((H6:H13&gt;0)*(K6:K13)),3)</f>
        <v>4.4999999999999998E-2</v>
      </c>
      <c r="I16" s="204"/>
      <c r="J16" s="204"/>
      <c r="K16" s="205">
        <f>SUM(K6:K15)</f>
        <v>72217.899999999994</v>
      </c>
      <c r="L16" s="206">
        <f>ROUND(M16*10000/SUM(K6:K14),0)</f>
        <v>2200</v>
      </c>
      <c r="M16" s="206">
        <f>SUM(M6:M14)</f>
        <v>15888</v>
      </c>
      <c r="N16" s="207">
        <f>ROUND(SUMPRODUCT(M6:M14,N6:N14)/M16,3)</f>
        <v>0</v>
      </c>
      <c r="O16" s="206">
        <f>SUM(O6:O14)</f>
        <v>0</v>
      </c>
      <c r="P16" s="206">
        <f>SUM(P6:P14)</f>
        <v>15888</v>
      </c>
      <c r="Q16" s="208">
        <f>ROUND(SUMPRODUCT(Q6:Q13,K6:K13)/SUMPRODUCT((Q6:Q13&gt;0)*(K6:K13)),2)</f>
        <v>0.1</v>
      </c>
      <c r="R16" s="2311">
        <f>SUM(R6:R13)</f>
        <v>120363.16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0.73099999999999998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170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2892</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2893</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150</v>
      </c>
      <c r="C35" s="2344" t="s">
        <v>2894</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2895</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2896</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2896</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4.3499999999999997E-2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2897</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2898</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2899</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0" t="s">
        <v>2900</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2901</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2902</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1410</v>
      </c>
      <c r="C53" s="3052" t="s">
        <v>2903</v>
      </c>
      <c r="D53" s="3053" t="s">
        <v>2904</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2905</v>
      </c>
      <c r="B54" s="186"/>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2906</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2907</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2908</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2909</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2910</v>
      </c>
      <c r="B59" s="186">
        <v>1.5</v>
      </c>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2911</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2912</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2913</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2914</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6" t="s">
        <v>1664</v>
      </c>
      <c r="B1" s="3267"/>
      <c r="C1" s="3267"/>
      <c r="D1" s="3267"/>
      <c r="E1" s="3267"/>
      <c r="F1" s="3267"/>
      <c r="G1" s="3267"/>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2921</v>
      </c>
      <c r="D3" s="2009"/>
      <c r="E3" s="1229" t="s">
        <v>1667</v>
      </c>
      <c r="F3" s="1230" t="s">
        <v>1655</v>
      </c>
      <c r="G3" s="3061" t="s">
        <v>2920</v>
      </c>
      <c r="H3" s="2008"/>
      <c r="I3" s="2008"/>
      <c r="J3" s="2008"/>
      <c r="K3" s="2008"/>
      <c r="L3" s="2008"/>
      <c r="M3" s="2008"/>
      <c r="N3" s="2008"/>
      <c r="O3" s="2008"/>
      <c r="P3" s="2008"/>
      <c r="Q3" s="2008"/>
      <c r="R3" s="2008"/>
    </row>
    <row r="4" spans="1:18" ht="41.25">
      <c r="A4" s="1229"/>
      <c r="B4" s="1231" t="s">
        <v>1668</v>
      </c>
      <c r="C4" s="3058" t="s">
        <v>2922</v>
      </c>
      <c r="D4" s="2009"/>
      <c r="E4" s="1232"/>
      <c r="F4" s="1233" t="s">
        <v>1669</v>
      </c>
      <c r="G4" s="3059" t="s">
        <v>2917</v>
      </c>
      <c r="H4" s="2008"/>
      <c r="I4" s="2008"/>
      <c r="J4" s="2008"/>
      <c r="K4" s="2008"/>
      <c r="L4" s="2008"/>
      <c r="M4" s="2008"/>
      <c r="N4" s="2008"/>
      <c r="O4" s="2008"/>
      <c r="P4" s="2008"/>
      <c r="Q4" s="2008"/>
      <c r="R4" s="2008"/>
    </row>
    <row r="5" spans="1:18" ht="41.25">
      <c r="A5" s="1229"/>
      <c r="B5" s="1231" t="s">
        <v>1670</v>
      </c>
      <c r="C5" s="3058" t="s">
        <v>2923</v>
      </c>
      <c r="D5" s="2009"/>
      <c r="E5" s="1232"/>
      <c r="F5" s="1231" t="s">
        <v>2547</v>
      </c>
      <c r="G5" s="3059" t="s">
        <v>2918</v>
      </c>
      <c r="H5" s="2008"/>
      <c r="I5" s="2008"/>
      <c r="J5" s="2008"/>
      <c r="K5" s="2008"/>
      <c r="L5" s="2008"/>
      <c r="M5" s="2008"/>
      <c r="N5" s="2008"/>
      <c r="O5" s="2008"/>
      <c r="P5" s="2008"/>
      <c r="Q5" s="2008"/>
      <c r="R5" s="2008"/>
    </row>
    <row r="6" spans="1:18" ht="54">
      <c r="A6" s="1229"/>
      <c r="B6" s="1231" t="s">
        <v>1656</v>
      </c>
      <c r="C6" s="3059" t="s">
        <v>2917</v>
      </c>
      <c r="D6" s="2009"/>
      <c r="E6" s="1232"/>
      <c r="F6" s="1231" t="s">
        <v>2548</v>
      </c>
      <c r="G6" s="3059" t="s">
        <v>2915</v>
      </c>
      <c r="H6" s="2008"/>
      <c r="I6" s="2008"/>
      <c r="J6" s="2008"/>
      <c r="K6" s="2008"/>
      <c r="L6" s="2008"/>
      <c r="M6" s="2008"/>
      <c r="N6" s="2008"/>
      <c r="O6" s="2008"/>
      <c r="P6" s="2008"/>
      <c r="Q6" s="2008"/>
      <c r="R6" s="2008"/>
    </row>
    <row r="7" spans="1:18" ht="41.25" thickBot="1">
      <c r="A7" s="1229"/>
      <c r="B7" s="1231" t="s">
        <v>2547</v>
      </c>
      <c r="C7" s="3059" t="s">
        <v>2918</v>
      </c>
      <c r="D7" s="2010"/>
      <c r="E7" s="1234"/>
      <c r="F7" s="1235" t="s">
        <v>1671</v>
      </c>
      <c r="G7" s="3062" t="s">
        <v>2919</v>
      </c>
      <c r="H7" s="2008"/>
      <c r="I7" s="2008"/>
      <c r="J7" s="2008"/>
      <c r="K7" s="2008"/>
      <c r="L7" s="2008"/>
      <c r="M7" s="2008"/>
      <c r="N7" s="2008"/>
      <c r="O7" s="2008"/>
      <c r="P7" s="2008"/>
      <c r="Q7" s="2008"/>
      <c r="R7" s="2008"/>
    </row>
    <row r="8" spans="1:18" ht="27">
      <c r="A8" s="1229"/>
      <c r="B8" s="1231" t="s">
        <v>2548</v>
      </c>
      <c r="C8" s="3059" t="s">
        <v>2915</v>
      </c>
      <c r="D8" s="2010"/>
      <c r="E8" s="2010"/>
      <c r="F8" s="1554"/>
      <c r="G8" s="1554"/>
      <c r="H8" s="2008"/>
      <c r="I8" s="2008"/>
      <c r="J8" s="2008"/>
      <c r="K8" s="2008"/>
      <c r="L8" s="2008"/>
      <c r="M8" s="2008"/>
      <c r="N8" s="2008"/>
      <c r="O8" s="2008"/>
      <c r="P8" s="2008"/>
      <c r="Q8" s="2008"/>
      <c r="R8" s="2008"/>
    </row>
    <row r="9" spans="1:18" ht="40.5">
      <c r="A9" s="1229"/>
      <c r="B9" s="1231" t="s">
        <v>1657</v>
      </c>
      <c r="C9" s="3058" t="s">
        <v>2916</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5" sqref="D15"/>
    </sheetView>
  </sheetViews>
  <sheetFormatPr defaultColWidth="14.625" defaultRowHeight="13.5"/>
  <cols>
    <col min="1" max="1" width="24.375" customWidth="1"/>
  </cols>
  <sheetData>
    <row r="1" spans="1:9" ht="16.5">
      <c r="A1" s="3021" t="s">
        <v>2844</v>
      </c>
      <c r="B1" s="3021">
        <f>SUM(B14:B23)</f>
        <v>76675.209999999992</v>
      </c>
      <c r="C1" s="3022"/>
      <c r="D1" s="3022"/>
      <c r="E1" s="3022"/>
      <c r="F1" s="3022"/>
    </row>
    <row r="2" spans="1:9" ht="16.5">
      <c r="A2" s="3021" t="s">
        <v>2845</v>
      </c>
      <c r="B2" s="3021">
        <f>SUM(C14:C23)</f>
        <v>120363.16</v>
      </c>
      <c r="C2" s="3022"/>
      <c r="D2" s="3022"/>
      <c r="E2" s="3022"/>
      <c r="F2" s="3022"/>
    </row>
    <row r="3" spans="1:9" ht="16.5">
      <c r="A3" s="3021" t="s">
        <v>2846</v>
      </c>
      <c r="B3" s="3023">
        <f>项目基本情况!D3</f>
        <v>43544</v>
      </c>
      <c r="C3" s="3022"/>
      <c r="D3" s="3022"/>
      <c r="E3" s="3022"/>
      <c r="F3" s="3022"/>
    </row>
    <row r="4" spans="1:9" ht="33">
      <c r="A4" s="3021" t="s">
        <v>2847</v>
      </c>
      <c r="B4" s="3021" t="s">
        <v>2848</v>
      </c>
      <c r="C4" s="3021" t="s">
        <v>2849</v>
      </c>
      <c r="D4" s="3021" t="s">
        <v>2850</v>
      </c>
      <c r="E4" s="3022"/>
      <c r="F4" s="3022"/>
    </row>
    <row r="5" spans="1:9" ht="16.5">
      <c r="A5" s="3021" t="s">
        <v>2851</v>
      </c>
      <c r="B5" s="3021">
        <f ca="1">SUM(D14:D23)</f>
        <v>9656</v>
      </c>
      <c r="C5" s="3021">
        <f ca="1">ROUND(B5*10000/$B$1,0)</f>
        <v>1259</v>
      </c>
      <c r="D5" s="3021">
        <f ca="1">ROUND(B5*10000/$B$2,0)</f>
        <v>802</v>
      </c>
      <c r="E5" s="3022"/>
      <c r="F5" s="3022"/>
    </row>
    <row r="6" spans="1:9" ht="16.5">
      <c r="A6" s="3021" t="s">
        <v>2852</v>
      </c>
      <c r="B6" s="3021">
        <f ca="1">SUM(G14:G23)</f>
        <v>9656</v>
      </c>
      <c r="C6" s="3021">
        <f t="shared" ref="C6:C8" ca="1" si="0">ROUND(B6*10000/$B$1,0)</f>
        <v>1259</v>
      </c>
      <c r="D6" s="3021">
        <f t="shared" ref="D6:D8" ca="1" si="1">ROUND(B6*10000/$B$2,0)</f>
        <v>802</v>
      </c>
      <c r="E6" s="3022"/>
      <c r="F6" s="3022"/>
    </row>
    <row r="7" spans="1:9" ht="16.5">
      <c r="A7" s="3021" t="s">
        <v>2853</v>
      </c>
      <c r="B7" s="3021">
        <f>SUM(H14:H23)</f>
        <v>0</v>
      </c>
      <c r="C7" s="3021">
        <f t="shared" si="0"/>
        <v>0</v>
      </c>
      <c r="D7" s="3021">
        <f t="shared" si="1"/>
        <v>0</v>
      </c>
      <c r="E7" s="3022"/>
      <c r="F7" s="3022"/>
    </row>
    <row r="8" spans="1:9" ht="16.5">
      <c r="A8" s="3021" t="s">
        <v>2854</v>
      </c>
      <c r="B8" s="3021">
        <f>SUM(I14:I23)</f>
        <v>0</v>
      </c>
      <c r="C8" s="3021">
        <f t="shared" si="0"/>
        <v>0</v>
      </c>
      <c r="D8" s="3021">
        <f t="shared" si="1"/>
        <v>0</v>
      </c>
      <c r="E8" s="3022"/>
      <c r="F8" s="3022"/>
    </row>
    <row r="9" spans="1:9" ht="16.5">
      <c r="A9" s="3021" t="s">
        <v>2855</v>
      </c>
      <c r="B9" s="3024"/>
      <c r="C9" s="3022"/>
      <c r="D9" s="3022"/>
      <c r="E9" s="3022"/>
      <c r="F9" s="3022"/>
    </row>
    <row r="10" spans="1:9" ht="16.5">
      <c r="A10" s="3021" t="s">
        <v>2856</v>
      </c>
      <c r="B10" s="3024"/>
      <c r="C10" s="3022"/>
      <c r="D10" s="3022"/>
      <c r="E10" s="3022"/>
      <c r="F10" s="3022"/>
    </row>
    <row r="11" spans="1:9" ht="16.5">
      <c r="A11" s="3021" t="s">
        <v>2873</v>
      </c>
      <c r="B11" s="3024"/>
      <c r="C11" s="3022"/>
      <c r="D11" s="3022"/>
      <c r="E11" s="3022"/>
      <c r="F11" s="3022"/>
    </row>
    <row r="12" spans="1:9" ht="16.5">
      <c r="A12" s="3022"/>
      <c r="B12" s="3022"/>
      <c r="C12" s="3022"/>
      <c r="D12" s="3022"/>
      <c r="E12" s="3022"/>
      <c r="F12" s="3022"/>
    </row>
    <row r="13" spans="1:9" ht="33">
      <c r="A13" s="3027" t="s">
        <v>2872</v>
      </c>
      <c r="B13" s="3025" t="s">
        <v>2844</v>
      </c>
      <c r="C13" s="3025" t="s">
        <v>2845</v>
      </c>
      <c r="D13" s="3025" t="s">
        <v>2857</v>
      </c>
      <c r="E13" s="3021" t="s">
        <v>2871</v>
      </c>
      <c r="F13" s="3021" t="s">
        <v>2850</v>
      </c>
      <c r="G13" s="3025" t="s">
        <v>2858</v>
      </c>
      <c r="H13" s="3025" t="s">
        <v>2859</v>
      </c>
      <c r="I13" s="3025" t="s">
        <v>2860</v>
      </c>
    </row>
    <row r="14" spans="1:9" ht="16.5">
      <c r="A14" s="3028" t="s">
        <v>2870</v>
      </c>
      <c r="B14" s="3025">
        <f>结果表!L38</f>
        <v>72217.899999999994</v>
      </c>
      <c r="C14" s="3025">
        <f>结果表!K38</f>
        <v>120363.16</v>
      </c>
      <c r="D14" s="3025">
        <f ca="1">结果表!C42</f>
        <v>8208</v>
      </c>
      <c r="E14" s="3025">
        <f ca="1">ROUND(D14*10000/B14,0)</f>
        <v>1137</v>
      </c>
      <c r="F14" s="3025">
        <f ca="1">ROUND(D14*10000/C14,0)</f>
        <v>682</v>
      </c>
      <c r="G14" s="3025">
        <f ca="1">结果表!C44</f>
        <v>8208</v>
      </c>
      <c r="H14" s="3025" t="str">
        <f>结果表!C45</f>
        <v>——</v>
      </c>
      <c r="I14" s="3025" t="str">
        <f>结果表!C46</f>
        <v>——</v>
      </c>
    </row>
    <row r="15" spans="1:9" ht="16.5">
      <c r="A15" s="3028" t="s">
        <v>2861</v>
      </c>
      <c r="B15" s="3029">
        <f>'[1]数据-基础表'!$I$13</f>
        <v>4457.3100000000004</v>
      </c>
      <c r="C15" s="3029"/>
      <c r="D15" s="3029">
        <f ca="1">[1]成本法!$C$52</f>
        <v>1448</v>
      </c>
      <c r="E15" s="3025">
        <f t="shared" ref="E15:E23" ca="1" si="2">ROUND(D15*10000/B15,0)</f>
        <v>3249</v>
      </c>
      <c r="F15" s="3025" t="e">
        <f t="shared" ref="F15:F23" ca="1" si="3">ROUND(D15*10000/C15,0)</f>
        <v>#DIV/0!</v>
      </c>
      <c r="G15" s="3026">
        <f ca="1">D15</f>
        <v>1448</v>
      </c>
      <c r="H15" s="3026"/>
      <c r="I15" s="3029"/>
    </row>
    <row r="16" spans="1:9" ht="16.5">
      <c r="A16" s="3028" t="s">
        <v>2862</v>
      </c>
      <c r="B16" s="3029"/>
      <c r="C16" s="3029"/>
      <c r="D16" s="3029"/>
      <c r="E16" s="3025" t="e">
        <f t="shared" si="2"/>
        <v>#DIV/0!</v>
      </c>
      <c r="F16" s="3025" t="e">
        <f t="shared" si="3"/>
        <v>#DIV/0!</v>
      </c>
      <c r="G16" s="3026"/>
      <c r="H16" s="3026"/>
      <c r="I16" s="3029"/>
    </row>
    <row r="17" spans="1:9" ht="16.5">
      <c r="A17" s="3028" t="s">
        <v>2863</v>
      </c>
      <c r="B17" s="3029"/>
      <c r="C17" s="3029"/>
      <c r="D17" s="3029"/>
      <c r="E17" s="3025" t="e">
        <f t="shared" si="2"/>
        <v>#DIV/0!</v>
      </c>
      <c r="F17" s="3025" t="e">
        <f t="shared" si="3"/>
        <v>#DIV/0!</v>
      </c>
      <c r="G17" s="3026"/>
      <c r="H17" s="3026"/>
      <c r="I17" s="3029"/>
    </row>
    <row r="18" spans="1:9" ht="16.5">
      <c r="A18" s="3028" t="s">
        <v>2864</v>
      </c>
      <c r="B18" s="3029"/>
      <c r="C18" s="3029"/>
      <c r="D18" s="3029"/>
      <c r="E18" s="3025" t="e">
        <f t="shared" si="2"/>
        <v>#DIV/0!</v>
      </c>
      <c r="F18" s="3025" t="e">
        <f t="shared" si="3"/>
        <v>#DIV/0!</v>
      </c>
      <c r="G18" s="3029"/>
      <c r="H18" s="3029"/>
      <c r="I18" s="3029"/>
    </row>
    <row r="19" spans="1:9" ht="16.5">
      <c r="A19" s="3028" t="s">
        <v>2865</v>
      </c>
      <c r="B19" s="3029"/>
      <c r="C19" s="3029"/>
      <c r="D19" s="3029"/>
      <c r="E19" s="3025" t="e">
        <f t="shared" si="2"/>
        <v>#DIV/0!</v>
      </c>
      <c r="F19" s="3025" t="e">
        <f t="shared" si="3"/>
        <v>#DIV/0!</v>
      </c>
      <c r="G19" s="3029"/>
      <c r="H19" s="3029"/>
      <c r="I19" s="3029"/>
    </row>
    <row r="20" spans="1:9" ht="16.5">
      <c r="A20" s="3028" t="s">
        <v>2866</v>
      </c>
      <c r="B20" s="3029"/>
      <c r="C20" s="3029"/>
      <c r="D20" s="3029"/>
      <c r="E20" s="3025" t="e">
        <f t="shared" si="2"/>
        <v>#DIV/0!</v>
      </c>
      <c r="F20" s="3025" t="e">
        <f t="shared" si="3"/>
        <v>#DIV/0!</v>
      </c>
      <c r="G20" s="3029"/>
      <c r="H20" s="3029"/>
      <c r="I20" s="3029"/>
    </row>
    <row r="21" spans="1:9" ht="16.5">
      <c r="A21" s="3028" t="s">
        <v>2867</v>
      </c>
      <c r="B21" s="3029"/>
      <c r="C21" s="3029"/>
      <c r="D21" s="3029"/>
      <c r="E21" s="3025" t="e">
        <f t="shared" si="2"/>
        <v>#DIV/0!</v>
      </c>
      <c r="F21" s="3025" t="e">
        <f t="shared" si="3"/>
        <v>#DIV/0!</v>
      </c>
      <c r="G21" s="3029"/>
      <c r="H21" s="3029"/>
      <c r="I21" s="3029"/>
    </row>
    <row r="22" spans="1:9" ht="16.5">
      <c r="A22" s="3028" t="s">
        <v>2868</v>
      </c>
      <c r="B22" s="3029"/>
      <c r="C22" s="3029"/>
      <c r="D22" s="3029"/>
      <c r="E22" s="3025" t="e">
        <f t="shared" si="2"/>
        <v>#DIV/0!</v>
      </c>
      <c r="F22" s="3025" t="e">
        <f t="shared" si="3"/>
        <v>#DIV/0!</v>
      </c>
      <c r="G22" s="3029"/>
      <c r="H22" s="3029"/>
      <c r="I22" s="3029"/>
    </row>
    <row r="23" spans="1:9" ht="16.5">
      <c r="A23" s="3028" t="s">
        <v>2869</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9" sqref="G2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3030</v>
      </c>
      <c r="E1" s="1805" t="s">
        <v>2058</v>
      </c>
      <c r="F1" s="1807" t="s">
        <v>3031</v>
      </c>
      <c r="G1" s="311"/>
      <c r="H1" s="311"/>
      <c r="I1" s="311"/>
      <c r="J1" s="2029"/>
      <c r="K1" s="2029"/>
      <c r="L1" s="2029"/>
      <c r="M1" s="2029"/>
      <c r="N1" s="2029"/>
      <c r="O1" s="2029"/>
      <c r="P1" s="2029"/>
      <c r="Q1" s="2029"/>
      <c r="R1" s="2029"/>
      <c r="S1" s="2029"/>
      <c r="T1" s="2029"/>
      <c r="U1" s="2029"/>
      <c r="V1" s="2029"/>
    </row>
    <row r="2" spans="1:22" ht="21.75" customHeight="1" thickBot="1">
      <c r="A2" s="3308" t="str">
        <f>项目基本情况!K2</f>
        <v>北京市通州区靛庄村一区16号院3号楼1至3层101出让国有建设用地使用权</v>
      </c>
      <c r="B2" s="3309"/>
      <c r="C2" s="3310"/>
      <c r="D2" s="3310"/>
      <c r="E2" s="3310"/>
      <c r="F2" s="3310"/>
      <c r="G2" s="3309"/>
      <c r="H2" s="3309"/>
      <c r="I2" s="3311"/>
      <c r="J2" s="2030"/>
      <c r="K2" s="2029"/>
      <c r="L2" s="2029"/>
      <c r="M2" s="2029"/>
      <c r="N2" s="2029"/>
      <c r="O2" s="2029"/>
      <c r="P2" s="2029"/>
      <c r="Q2" s="2029"/>
      <c r="R2" s="2029"/>
      <c r="S2" s="2029"/>
      <c r="T2" s="2029"/>
      <c r="U2" s="2029"/>
      <c r="V2" s="2029"/>
    </row>
    <row r="3" spans="1:22" ht="14.25">
      <c r="A3" s="3300" t="s">
        <v>298</v>
      </c>
      <c r="B3" s="3301"/>
      <c r="C3" s="3301"/>
      <c r="D3" s="3301"/>
      <c r="E3" s="3301"/>
      <c r="F3" s="3301"/>
      <c r="G3" s="3301"/>
      <c r="H3" s="3301"/>
      <c r="I3" s="3301"/>
      <c r="J3" s="2030"/>
      <c r="K3" s="2029"/>
      <c r="L3" s="2029"/>
      <c r="M3" s="2029"/>
      <c r="N3" s="2029"/>
      <c r="O3" s="2029"/>
      <c r="P3" s="2029"/>
      <c r="Q3" s="2029"/>
      <c r="R3" s="2029"/>
      <c r="S3" s="2029"/>
      <c r="T3" s="2029"/>
      <c r="U3" s="2029"/>
      <c r="V3" s="2029"/>
    </row>
    <row r="4" spans="1:22" ht="14.25">
      <c r="A4" s="258" t="s">
        <v>299</v>
      </c>
      <c r="B4" s="259" t="s">
        <v>300</v>
      </c>
      <c r="C4" s="260" t="s">
        <v>2953</v>
      </c>
      <c r="D4" s="260" t="s">
        <v>3017</v>
      </c>
      <c r="E4" s="3269" t="s">
        <v>301</v>
      </c>
      <c r="F4" s="3270"/>
      <c r="G4" s="3270"/>
      <c r="H4" s="3270"/>
      <c r="I4" s="3303"/>
      <c r="J4" s="2030"/>
      <c r="K4" s="2029"/>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68" t="s">
        <v>302</v>
      </c>
      <c r="B5" s="3294">
        <v>25</v>
      </c>
      <c r="C5" s="3292"/>
      <c r="D5" s="3299"/>
      <c r="E5" s="261" t="s">
        <v>303</v>
      </c>
      <c r="F5" s="262"/>
      <c r="G5" s="262"/>
      <c r="H5" s="262"/>
      <c r="I5" s="263"/>
      <c r="J5" s="2030"/>
      <c r="K5" s="2029"/>
      <c r="L5" s="2029"/>
      <c r="M5" s="2029"/>
      <c r="N5" s="2029"/>
      <c r="O5" s="2029"/>
      <c r="P5" s="2029"/>
      <c r="Q5" s="2029"/>
      <c r="R5" s="2029"/>
      <c r="S5" s="2029"/>
      <c r="T5" s="2029"/>
      <c r="U5" s="2029"/>
      <c r="V5" s="2029"/>
    </row>
    <row r="6" spans="1:22" ht="14.25">
      <c r="A6" s="3268"/>
      <c r="B6" s="3294"/>
      <c r="C6" s="3302"/>
      <c r="D6" s="3299"/>
      <c r="E6" s="261" t="s">
        <v>304</v>
      </c>
      <c r="F6" s="262"/>
      <c r="G6" s="262"/>
      <c r="H6" s="262"/>
      <c r="I6" s="263"/>
      <c r="J6" s="2030"/>
      <c r="K6" s="2029"/>
      <c r="L6" s="2029"/>
      <c r="M6" s="2029"/>
      <c r="N6" s="2029"/>
      <c r="O6" s="2029"/>
      <c r="P6" s="2029"/>
      <c r="Q6" s="2029"/>
      <c r="R6" s="2029"/>
      <c r="S6" s="2029"/>
      <c r="T6" s="2029"/>
      <c r="U6" s="2029"/>
      <c r="V6" s="2029"/>
    </row>
    <row r="7" spans="1:22" ht="14.25">
      <c r="A7" s="3268"/>
      <c r="B7" s="3294"/>
      <c r="C7" s="3293"/>
      <c r="D7" s="3299"/>
      <c r="E7" s="261" t="s">
        <v>305</v>
      </c>
      <c r="F7" s="262"/>
      <c r="G7" s="262"/>
      <c r="H7" s="262"/>
      <c r="I7" s="263"/>
      <c r="J7" s="2030"/>
      <c r="K7" s="2029"/>
      <c r="L7" s="2029"/>
      <c r="M7" s="2029"/>
      <c r="N7" s="2029"/>
      <c r="O7" s="2029"/>
      <c r="P7" s="2029"/>
      <c r="Q7" s="2029"/>
      <c r="R7" s="2029"/>
      <c r="S7" s="2029"/>
      <c r="T7" s="2029"/>
      <c r="U7" s="2029"/>
      <c r="V7" s="2029"/>
    </row>
    <row r="8" spans="1:22" ht="14.25">
      <c r="A8" s="3268" t="s">
        <v>306</v>
      </c>
      <c r="B8" s="3294">
        <v>15</v>
      </c>
      <c r="C8" s="3292"/>
      <c r="D8" s="3299"/>
      <c r="E8" s="261" t="s">
        <v>307</v>
      </c>
      <c r="F8" s="262"/>
      <c r="G8" s="262"/>
      <c r="H8" s="262"/>
      <c r="I8" s="263"/>
      <c r="J8" s="2030"/>
      <c r="K8" s="2029"/>
      <c r="L8" s="2029"/>
      <c r="M8" s="2029"/>
      <c r="N8" s="2029"/>
      <c r="O8" s="2029"/>
      <c r="P8" s="2029"/>
      <c r="Q8" s="2029"/>
      <c r="R8" s="2029"/>
      <c r="S8" s="2029"/>
      <c r="T8" s="2029"/>
      <c r="U8" s="2029"/>
      <c r="V8" s="2029"/>
    </row>
    <row r="9" spans="1:22" ht="14.25">
      <c r="A9" s="3268"/>
      <c r="B9" s="3294"/>
      <c r="C9" s="3293"/>
      <c r="D9" s="3299"/>
      <c r="E9" s="261" t="s">
        <v>308</v>
      </c>
      <c r="F9" s="262"/>
      <c r="G9" s="262"/>
      <c r="H9" s="262"/>
      <c r="I9" s="263"/>
      <c r="J9" s="2030"/>
      <c r="K9" s="2029"/>
      <c r="L9" s="2029"/>
      <c r="M9" s="2029"/>
      <c r="N9" s="2029"/>
      <c r="O9" s="2029"/>
      <c r="P9" s="2029"/>
      <c r="Q9" s="2029"/>
      <c r="R9" s="2029"/>
      <c r="S9" s="2029"/>
      <c r="T9" s="2029"/>
      <c r="U9" s="2029"/>
      <c r="V9" s="2029"/>
    </row>
    <row r="10" spans="1:22" ht="14.25">
      <c r="A10" s="3268" t="s">
        <v>309</v>
      </c>
      <c r="B10" s="3294">
        <v>15</v>
      </c>
      <c r="C10" s="3292"/>
      <c r="D10" s="3299"/>
      <c r="E10" s="261" t="s">
        <v>310</v>
      </c>
      <c r="F10" s="262"/>
      <c r="G10" s="262"/>
      <c r="H10" s="262"/>
      <c r="I10" s="263"/>
      <c r="J10" s="2030"/>
      <c r="K10" s="2029"/>
      <c r="L10" s="2029"/>
      <c r="M10" s="2029"/>
      <c r="N10" s="2029"/>
      <c r="O10" s="2029"/>
      <c r="P10" s="2029"/>
      <c r="Q10" s="2029"/>
      <c r="R10" s="2029"/>
      <c r="S10" s="2029"/>
      <c r="T10" s="2029"/>
      <c r="U10" s="2029"/>
      <c r="V10" s="2029"/>
    </row>
    <row r="11" spans="1:22" ht="14.25">
      <c r="A11" s="3268"/>
      <c r="B11" s="3294"/>
      <c r="C11" s="3293"/>
      <c r="D11" s="3299"/>
      <c r="E11" s="261" t="s">
        <v>311</v>
      </c>
      <c r="F11" s="262"/>
      <c r="G11" s="262"/>
      <c r="H11" s="262"/>
      <c r="I11" s="263"/>
      <c r="J11" s="2030"/>
      <c r="K11" s="2029"/>
      <c r="L11" s="2029"/>
      <c r="M11" s="2029"/>
      <c r="N11" s="2029"/>
      <c r="O11" s="2029"/>
      <c r="P11" s="2029"/>
      <c r="Q11" s="2029"/>
      <c r="R11" s="2029"/>
      <c r="S11" s="2029"/>
      <c r="T11" s="2029"/>
      <c r="U11" s="2029"/>
      <c r="V11" s="2029"/>
    </row>
    <row r="12" spans="1:22" ht="14.25">
      <c r="A12" s="3268" t="s">
        <v>312</v>
      </c>
      <c r="B12" s="3294">
        <v>15</v>
      </c>
      <c r="C12" s="3292"/>
      <c r="D12" s="3299"/>
      <c r="E12" s="261" t="s">
        <v>313</v>
      </c>
      <c r="F12" s="262"/>
      <c r="G12" s="262"/>
      <c r="H12" s="262"/>
      <c r="I12" s="263"/>
      <c r="J12" s="2030"/>
      <c r="K12" s="2029"/>
      <c r="L12" s="2029"/>
      <c r="M12" s="2029"/>
      <c r="N12" s="2029"/>
      <c r="O12" s="2029"/>
      <c r="P12" s="2029"/>
      <c r="Q12" s="2029"/>
      <c r="R12" s="2029"/>
      <c r="S12" s="2029"/>
      <c r="T12" s="2029"/>
      <c r="U12" s="2029"/>
      <c r="V12" s="2029"/>
    </row>
    <row r="13" spans="1:22" ht="14.25">
      <c r="A13" s="3268"/>
      <c r="B13" s="3294"/>
      <c r="C13" s="3293"/>
      <c r="D13" s="3299"/>
      <c r="E13" s="261" t="s">
        <v>314</v>
      </c>
      <c r="F13" s="262"/>
      <c r="G13" s="262"/>
      <c r="H13" s="262"/>
      <c r="I13" s="263"/>
      <c r="J13" s="2030"/>
      <c r="K13" s="2029"/>
      <c r="L13" s="2029"/>
      <c r="M13" s="2029"/>
      <c r="N13" s="2029"/>
      <c r="O13" s="2029"/>
      <c r="P13" s="2029"/>
      <c r="Q13" s="2029"/>
      <c r="R13" s="2029"/>
      <c r="S13" s="2029"/>
      <c r="T13" s="2029"/>
      <c r="U13" s="2029"/>
      <c r="V13" s="2029"/>
    </row>
    <row r="14" spans="1:22" ht="14.25">
      <c r="A14" s="3268" t="s">
        <v>315</v>
      </c>
      <c r="B14" s="3294">
        <v>30</v>
      </c>
      <c r="C14" s="3295">
        <v>6</v>
      </c>
      <c r="D14" s="3298">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68"/>
      <c r="B15" s="3294"/>
      <c r="C15" s="3296"/>
      <c r="D15" s="3298"/>
      <c r="E15" s="261" t="s">
        <v>317</v>
      </c>
      <c r="F15" s="262"/>
      <c r="G15" s="262"/>
      <c r="H15" s="262"/>
      <c r="I15" s="263"/>
      <c r="J15" s="2030"/>
      <c r="K15" s="2029"/>
      <c r="L15" s="2029"/>
      <c r="M15" s="2029"/>
      <c r="N15" s="2029"/>
      <c r="O15" s="2029"/>
      <c r="P15" s="2029"/>
      <c r="Q15" s="2029"/>
      <c r="R15" s="2029"/>
      <c r="S15" s="2029"/>
      <c r="T15" s="2029"/>
      <c r="U15" s="2029"/>
      <c r="V15" s="2029"/>
    </row>
    <row r="16" spans="1:22" ht="14.25">
      <c r="A16" s="3268"/>
      <c r="B16" s="3294"/>
      <c r="C16" s="3297"/>
      <c r="D16" s="3298"/>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11540</v>
      </c>
      <c r="D19" s="271">
        <f ca="1">SUMIF(INDIRECT("'"&amp;D4&amp;"'"&amp;"!A:A"),结果表!B19,INDIRECT("'"&amp;D4&amp;"'"&amp;"!B:B"))</f>
        <v>3210</v>
      </c>
      <c r="E19" s="268" t="s">
        <v>323</v>
      </c>
      <c r="F19" s="269" t="s">
        <v>322</v>
      </c>
      <c r="G19" s="272">
        <f ca="1">ROUND(C19*$C$18+D19*$D$18,0)</f>
        <v>8208</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1598</v>
      </c>
      <c r="D20" s="277">
        <f ca="1">SUMIF(INDIRECT("'"&amp;D4&amp;"'"&amp;"!A:A"),结果表!B20,INDIRECT("'"&amp;D4&amp;"'"&amp;"!B:B"))</f>
        <v>444</v>
      </c>
      <c r="E20" s="274"/>
      <c r="F20" s="275" t="s">
        <v>325</v>
      </c>
      <c r="G20" s="278">
        <f ca="1">ROUND(C20*$C$18+D20*$D$18,0)</f>
        <v>1136</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959</v>
      </c>
      <c r="D21" s="151">
        <f ca="1">SUMIF(INDIRECT("'"&amp;D4&amp;"'"&amp;"!A:A"),结果表!B21,INDIRECT("'"&amp;D4&amp;"'"&amp;"!B:B"))</f>
        <v>267</v>
      </c>
      <c r="E21" s="274"/>
      <c r="F21" s="280" t="s">
        <v>327</v>
      </c>
      <c r="G21" s="282">
        <f ca="1">ROUND(C21*$C$18+D21*$D$18,0)</f>
        <v>682</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2.5950155763239877</v>
      </c>
      <c r="E22" s="284"/>
      <c r="F22" s="285"/>
      <c r="G22" s="286">
        <f ca="1">ROUND(G19/('数据-汇总表'!D3/666.67),0)</f>
        <v>45</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74"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75"/>
      <c r="B25" s="1321" t="s">
        <v>331</v>
      </c>
      <c r="C25" s="290">
        <f>IF(B30=0,0,C30)</f>
        <v>0</v>
      </c>
      <c r="D25" s="291"/>
      <c r="E25" s="311"/>
      <c r="F25" s="311"/>
      <c r="G25" s="311"/>
      <c r="H25" s="311"/>
      <c r="I25" s="311"/>
      <c r="J25" s="2029"/>
      <c r="K25" s="1255" t="str">
        <f ca="1">项目基本情况!B16&amp;"国有建设用地使用权价格："&amp;O38&amp;"万元"</f>
        <v>出让国有建设用地使用权价格：8208万元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大写金额：人民币捌仟贰佰零捌万元整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单位面积地价：682元/平方米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楼面地价：1137元/平方米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抵押价格：8208万元</v>
      </c>
      <c r="L29" s="1252"/>
      <c r="M29" s="1252"/>
      <c r="N29" s="1252"/>
      <c r="O29" s="1251"/>
      <c r="P29" s="2029"/>
      <c r="V29" s="2029"/>
    </row>
    <row r="30" spans="1:26" ht="18.75" thickBot="1">
      <c r="A30" s="3105" t="s">
        <v>336</v>
      </c>
      <c r="B30" s="309"/>
      <c r="C30" s="309"/>
      <c r="D30" s="310"/>
      <c r="E30" s="3106" t="s">
        <v>2970</v>
      </c>
      <c r="F30" s="311"/>
      <c r="G30" s="311"/>
      <c r="H30" s="311"/>
      <c r="I30" s="311"/>
      <c r="J30" s="2029"/>
      <c r="K30" s="1258" t="str">
        <f ca="1">IF(K29="——","——","大写金额：人民币"&amp;NUMBERSTRING(INT(O39*10000),2)&amp;"元整")</f>
        <v>大写金额：人民币捌仟贰佰零捌万元整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8208</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1137</v>
      </c>
      <c r="D33" s="1386" t="s">
        <v>1692</v>
      </c>
      <c r="E33" s="3274"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682</v>
      </c>
      <c r="D34" s="1388" t="s">
        <v>1692</v>
      </c>
      <c r="E34" s="3319"/>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45</v>
      </c>
      <c r="D35" s="1391" t="s">
        <v>1694</v>
      </c>
      <c r="E35" s="3320"/>
      <c r="F35" s="301" t="s">
        <v>342</v>
      </c>
      <c r="G35" s="982"/>
      <c r="H35" s="981" t="s">
        <v>343</v>
      </c>
      <c r="I35" s="311"/>
      <c r="J35" s="2029"/>
      <c r="K35" s="3289" t="s">
        <v>350</v>
      </c>
      <c r="L35" s="3289" t="s">
        <v>351</v>
      </c>
      <c r="M35" s="1264" t="s">
        <v>352</v>
      </c>
      <c r="N35" s="3289" t="s">
        <v>353</v>
      </c>
      <c r="O35" s="3289" t="s">
        <v>354</v>
      </c>
      <c r="P35" s="2029"/>
      <c r="V35" s="2029"/>
    </row>
    <row r="36" spans="1:26" ht="16.5" customHeight="1">
      <c r="A36" s="303" t="s">
        <v>344</v>
      </c>
      <c r="B36" s="304" t="s">
        <v>333</v>
      </c>
      <c r="C36" s="305" t="s">
        <v>345</v>
      </c>
      <c r="D36" s="305" t="s">
        <v>346</v>
      </c>
      <c r="E36" s="306" t="s">
        <v>347</v>
      </c>
      <c r="F36" s="311"/>
      <c r="G36" s="311"/>
      <c r="H36" s="311"/>
      <c r="I36" s="311"/>
      <c r="J36" s="2031"/>
      <c r="K36" s="3290"/>
      <c r="L36" s="3290"/>
      <c r="M36" s="1266" t="s">
        <v>355</v>
      </c>
      <c r="N36" s="3290"/>
      <c r="O36" s="3290"/>
      <c r="P36" s="2029"/>
      <c r="V36" s="2029"/>
    </row>
    <row r="37" spans="1:26" ht="16.5" customHeight="1" thickBot="1">
      <c r="A37" s="1260" t="s">
        <v>348</v>
      </c>
      <c r="B37" s="307"/>
      <c r="C37" s="294"/>
      <c r="D37" s="294"/>
      <c r="E37" s="295"/>
      <c r="F37" s="311"/>
      <c r="G37" s="311"/>
      <c r="H37" s="311"/>
      <c r="I37" s="311"/>
      <c r="J37" s="2031"/>
      <c r="K37" s="3291"/>
      <c r="L37" s="3291"/>
      <c r="M37" s="1267"/>
      <c r="N37" s="3291"/>
      <c r="O37" s="3291"/>
      <c r="P37" s="2029"/>
      <c r="V37" s="2029"/>
    </row>
    <row r="38" spans="1:26" ht="16.5" customHeight="1" thickBot="1">
      <c r="A38" s="1260" t="s">
        <v>349</v>
      </c>
      <c r="B38" s="307"/>
      <c r="C38" s="294"/>
      <c r="D38" s="294"/>
      <c r="E38" s="295"/>
      <c r="F38" s="311"/>
      <c r="G38" s="311"/>
      <c r="H38" s="311"/>
      <c r="I38" s="311"/>
      <c r="J38" s="2031"/>
      <c r="K38" s="1268">
        <f>'数据-汇总表'!D3</f>
        <v>120363.16</v>
      </c>
      <c r="L38" s="1269">
        <f>'数据-汇总表'!E3</f>
        <v>72217.899999999994</v>
      </c>
      <c r="M38" s="1269">
        <f ca="1">C34</f>
        <v>682</v>
      </c>
      <c r="N38" s="1269">
        <f ca="1">C33</f>
        <v>1137</v>
      </c>
      <c r="O38" s="1270">
        <f ca="1">C32</f>
        <v>8208</v>
      </c>
      <c r="P38" s="2029"/>
      <c r="V38" s="2029"/>
    </row>
    <row r="39" spans="1:26" ht="16.5" customHeight="1" thickBot="1">
      <c r="A39" s="1265"/>
      <c r="B39" s="308"/>
      <c r="C39" s="309"/>
      <c r="D39" s="309"/>
      <c r="E39" s="310"/>
      <c r="F39" s="311"/>
      <c r="G39" s="311"/>
      <c r="H39" s="311"/>
      <c r="I39" s="311"/>
      <c r="J39" s="2031"/>
      <c r="K39" s="3338" t="str">
        <f>MID(A44,3,LEN(A44)-2)</f>
        <v>抵押价格</v>
      </c>
      <c r="L39" s="3339"/>
      <c r="M39" s="3339"/>
      <c r="N39" s="3340"/>
      <c r="O39" s="1393">
        <f ca="1">C44</f>
        <v>8208</v>
      </c>
      <c r="P39" s="2029"/>
      <c r="V39" s="2029"/>
    </row>
    <row r="40" spans="1:26" ht="19.5" thickBot="1">
      <c r="A40" s="104" t="s">
        <v>873</v>
      </c>
      <c r="B40" s="311"/>
      <c r="C40" s="311"/>
      <c r="D40" s="311"/>
      <c r="E40" s="311"/>
      <c r="F40" s="311"/>
      <c r="G40" s="311"/>
      <c r="H40" s="311"/>
      <c r="I40" s="311"/>
      <c r="J40" s="2031"/>
      <c r="K40" s="3338" t="str">
        <f t="shared" ref="K40:K41" si="0">MID(A45,3,LEN(A45)-2)</f>
        <v/>
      </c>
      <c r="L40" s="3339"/>
      <c r="M40" s="3339"/>
      <c r="N40" s="3340"/>
      <c r="O40" s="1393" t="str">
        <f>C45</f>
        <v>——</v>
      </c>
      <c r="P40" s="2029"/>
      <c r="V40" s="2029"/>
    </row>
    <row r="41" spans="1:26" ht="16.5" thickBot="1">
      <c r="A41" s="312" t="s">
        <v>356</v>
      </c>
      <c r="B41" s="313"/>
      <c r="C41" s="314" t="s">
        <v>357</v>
      </c>
      <c r="D41" s="315" t="s">
        <v>358</v>
      </c>
      <c r="E41" s="315" t="s">
        <v>359</v>
      </c>
      <c r="F41" s="316" t="s">
        <v>360</v>
      </c>
      <c r="G41" s="311"/>
      <c r="H41" s="311"/>
      <c r="I41" s="311"/>
      <c r="J41" s="2031"/>
      <c r="K41" s="3338" t="str">
        <f t="shared" si="0"/>
        <v/>
      </c>
      <c r="L41" s="3339"/>
      <c r="M41" s="3339"/>
      <c r="N41" s="3340"/>
      <c r="O41" s="1393" t="str">
        <f>C46</f>
        <v>——</v>
      </c>
      <c r="P41" s="2029"/>
      <c r="V41" s="2029"/>
    </row>
    <row r="42" spans="1:26" ht="29.25">
      <c r="A42" s="3276" t="s">
        <v>2068</v>
      </c>
      <c r="B42" s="3277"/>
      <c r="C42" s="264">
        <f ca="1">C32</f>
        <v>8208</v>
      </c>
      <c r="D42" s="317">
        <f ca="1">C33</f>
        <v>1137</v>
      </c>
      <c r="E42" s="317">
        <f ca="1">C34</f>
        <v>682</v>
      </c>
      <c r="F42" s="318">
        <f ca="1">C35</f>
        <v>45</v>
      </c>
      <c r="G42" s="311"/>
      <c r="H42" s="311"/>
      <c r="I42" s="319"/>
      <c r="J42" s="2031"/>
      <c r="K42" s="1271" t="s">
        <v>361</v>
      </c>
      <c r="L42" s="2048" t="s">
        <v>362</v>
      </c>
      <c r="M42" s="1272" t="s">
        <v>363</v>
      </c>
      <c r="N42" s="2049" t="s">
        <v>364</v>
      </c>
      <c r="O42" s="2050" t="s">
        <v>365</v>
      </c>
      <c r="P42" s="2029"/>
      <c r="V42" s="2029"/>
    </row>
    <row r="43" spans="1:26" ht="18">
      <c r="A43" s="3287" t="s">
        <v>2731</v>
      </c>
      <c r="B43" s="3288"/>
      <c r="C43" s="264">
        <f>IF(H33="正常操作",G33+G34+G35,G34+G35)</f>
        <v>0</v>
      </c>
      <c r="D43" s="317" t="s">
        <v>43</v>
      </c>
      <c r="E43" s="317" t="s">
        <v>44</v>
      </c>
      <c r="F43" s="318" t="s">
        <v>44</v>
      </c>
      <c r="G43" s="2845" t="s">
        <v>952</v>
      </c>
      <c r="H43" s="311"/>
      <c r="I43" s="319"/>
      <c r="J43" s="2031"/>
      <c r="K43" s="1273" t="str">
        <f>C4</f>
        <v>基准地价</v>
      </c>
      <c r="L43" s="1274">
        <f ca="1">IF(L42="估价结果/万元",C19,C20)</f>
        <v>11540</v>
      </c>
      <c r="M43" s="1275">
        <f>C18</f>
        <v>0.6</v>
      </c>
      <c r="N43" s="1276">
        <f ca="1">IF(N42="测算结果/万元",G19,G20)</f>
        <v>8208</v>
      </c>
      <c r="O43" s="1277">
        <f ca="1">IF(O42="最终结果/万元",C32,C33)</f>
        <v>8208</v>
      </c>
      <c r="P43" s="2029"/>
      <c r="V43" s="2029"/>
    </row>
    <row r="44" spans="1:26" ht="30.75" thickBot="1">
      <c r="A44" s="3276" t="str">
        <f>IF(OR(项目基本情况!E8="抵押价格",项目基本情况!E8="已注销及未注销"),"3.抵押价格","——")</f>
        <v>3.抵押价格</v>
      </c>
      <c r="B44" s="3277"/>
      <c r="C44" s="264">
        <f ca="1">IF(A44="——","——",C42-C43)</f>
        <v>8208</v>
      </c>
      <c r="D44" s="317">
        <f ca="1">ROUND(C44*10000/'数据-汇总表'!E3,0)</f>
        <v>1137</v>
      </c>
      <c r="E44" s="317">
        <f ca="1">ROUND(C44*10000/'数据-汇总表'!D3,0)</f>
        <v>682</v>
      </c>
      <c r="F44" s="318">
        <f ca="1">ROUND(C44/('数据-汇总表'!D3/666.67),0)</f>
        <v>45</v>
      </c>
      <c r="G44" s="311"/>
      <c r="H44" s="311"/>
      <c r="I44" s="319"/>
      <c r="J44" s="2031"/>
      <c r="K44" s="1278" t="str">
        <f>D4</f>
        <v>剩余法-待开发</v>
      </c>
      <c r="L44" s="1279">
        <f ca="1">IF(L42="估价结果/万元",D19,D20)</f>
        <v>3210</v>
      </c>
      <c r="M44" s="1280">
        <f>D18</f>
        <v>0.4</v>
      </c>
      <c r="N44" s="1281"/>
      <c r="O44" s="1282"/>
      <c r="P44" s="2029"/>
      <c r="V44" s="2029"/>
    </row>
    <row r="45" spans="1:26" ht="15">
      <c r="A45" s="3282" t="str">
        <f>IF(项目基本情况!E8="已注销及未注销","4.抵押担保权已注销时的抵押价格",IF(项目基本情况!E8="已注销","3.抵押担保权已注销时的抵押价格","——"))</f>
        <v>——</v>
      </c>
      <c r="B45" s="3283"/>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78" t="str">
        <f>IF(项目基本情况!E9="抵押净值",IF(A45="——","4.抵押净值","5.抵押净值"),"——")</f>
        <v>——</v>
      </c>
      <c r="B46" s="3279"/>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7" t="s">
        <v>374</v>
      </c>
      <c r="B63" s="3328"/>
      <c r="C63" s="3329"/>
      <c r="D63" s="341">
        <f ca="1">ROUND(C42*F63,0)</f>
        <v>4925</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84" t="s">
        <v>378</v>
      </c>
      <c r="B64" s="3285"/>
      <c r="C64" s="3285"/>
      <c r="D64" s="3285"/>
      <c r="E64" s="3285"/>
      <c r="F64" s="3285"/>
      <c r="G64" s="3286"/>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80" t="s">
        <v>386</v>
      </c>
      <c r="B66" s="3281"/>
      <c r="C66" s="3281"/>
      <c r="D66" s="261">
        <f ca="1">IF(H66="情况1",0,IF(H66="情况2",D70,IF(H66="情况3",D71,IF(H66="情况4",D72))))</f>
        <v>258</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342" t="s">
        <v>385</v>
      </c>
      <c r="M66" s="3343"/>
      <c r="N66" s="2438"/>
      <c r="O66" s="2439"/>
      <c r="P66" s="2440"/>
      <c r="Q66" s="2029"/>
      <c r="R66" s="2029"/>
      <c r="S66" s="2029"/>
      <c r="T66" s="2029"/>
      <c r="U66" s="2029"/>
      <c r="V66" s="2029"/>
    </row>
    <row r="67" spans="1:22" ht="25.5" customHeight="1">
      <c r="A67" s="352" t="s">
        <v>390</v>
      </c>
      <c r="B67" s="3271" t="s">
        <v>391</v>
      </c>
      <c r="C67" s="3271"/>
      <c r="D67" s="353">
        <v>0</v>
      </c>
      <c r="E67" s="41" t="s">
        <v>392</v>
      </c>
      <c r="F67" s="62" t="s">
        <v>21</v>
      </c>
      <c r="G67" s="3330"/>
      <c r="H67" s="311"/>
      <c r="I67" s="1292"/>
      <c r="J67" s="2036"/>
      <c r="K67" s="1977">
        <v>2</v>
      </c>
      <c r="L67" s="3341" t="s">
        <v>389</v>
      </c>
      <c r="M67" s="3341"/>
      <c r="N67" s="1325">
        <f>'数据-取费表'!B2</f>
        <v>43544</v>
      </c>
      <c r="O67" s="1325"/>
      <c r="P67" s="1325"/>
      <c r="Q67" s="2029"/>
      <c r="R67" s="2029"/>
      <c r="S67" s="2029"/>
      <c r="T67" s="2029"/>
      <c r="U67" s="2029"/>
      <c r="V67" s="2029"/>
    </row>
    <row r="68" spans="1:22" ht="25.5" customHeight="1">
      <c r="A68" s="354"/>
      <c r="B68" s="3271" t="s">
        <v>394</v>
      </c>
      <c r="C68" s="3271"/>
      <c r="D68" s="355"/>
      <c r="E68" s="77"/>
      <c r="F68" s="356"/>
      <c r="G68" s="3331"/>
      <c r="H68" s="311"/>
      <c r="I68" s="1292"/>
      <c r="J68" s="2036"/>
      <c r="K68" s="1977">
        <v>3</v>
      </c>
      <c r="L68" s="3341" t="s">
        <v>393</v>
      </c>
      <c r="M68" s="3341"/>
      <c r="N68" s="1293">
        <f ca="1">C42</f>
        <v>8208</v>
      </c>
      <c r="O68" s="1293"/>
      <c r="P68" s="1293"/>
      <c r="Q68" s="2029"/>
      <c r="R68" s="2029"/>
      <c r="S68" s="2029"/>
      <c r="T68" s="2029"/>
      <c r="U68" s="2029"/>
      <c r="V68" s="2029"/>
    </row>
    <row r="69" spans="1:22" ht="12" customHeight="1">
      <c r="A69" s="357"/>
      <c r="B69" s="3271" t="s">
        <v>395</v>
      </c>
      <c r="C69" s="3271"/>
      <c r="D69" s="358"/>
      <c r="E69" s="73"/>
      <c r="F69" s="356"/>
      <c r="G69" s="3332"/>
      <c r="H69" s="311"/>
      <c r="I69" s="1292"/>
      <c r="J69" s="2036"/>
      <c r="K69" s="1294">
        <v>4</v>
      </c>
      <c r="L69" s="3346" t="s">
        <v>2883</v>
      </c>
      <c r="M69" s="3347"/>
      <c r="N69" s="1295">
        <f ca="1">C44</f>
        <v>8208</v>
      </c>
      <c r="O69" s="1295"/>
      <c r="P69" s="1295"/>
      <c r="Q69" s="2029"/>
      <c r="R69" s="2029"/>
      <c r="S69" s="2029"/>
      <c r="T69" s="2029"/>
      <c r="U69" s="2029"/>
      <c r="V69" s="2029"/>
    </row>
    <row r="70" spans="1:22" ht="24" customHeight="1">
      <c r="A70" s="359" t="s">
        <v>396</v>
      </c>
      <c r="B70" s="3271" t="s">
        <v>397</v>
      </c>
      <c r="C70" s="3271"/>
      <c r="D70" s="358">
        <f ca="1">ROUND(D63*'数据-取费表'!B41/(1+'数据-取费表'!C42),0)</f>
        <v>258</v>
      </c>
      <c r="E70" s="17" t="s">
        <v>398</v>
      </c>
      <c r="F70" s="360">
        <f>'数据-取费表'!B41</f>
        <v>5.5000000000000007E-2</v>
      </c>
      <c r="G70" s="361"/>
      <c r="H70" s="311"/>
      <c r="I70" s="1292"/>
      <c r="J70" s="2036"/>
      <c r="K70" s="3038"/>
      <c r="L70" s="3039"/>
      <c r="M70" s="3039"/>
      <c r="N70" s="3040" t="s">
        <v>2888</v>
      </c>
      <c r="O70" s="3039"/>
      <c r="P70" s="3041"/>
      <c r="Q70" s="2029"/>
      <c r="R70" s="2029"/>
      <c r="S70" s="2029"/>
      <c r="T70" s="2029"/>
      <c r="U70" s="2029"/>
      <c r="V70" s="2029"/>
    </row>
    <row r="71" spans="1:22" ht="12" customHeight="1">
      <c r="A71" s="359" t="s">
        <v>404</v>
      </c>
      <c r="B71" s="3272" t="s">
        <v>405</v>
      </c>
      <c r="C71" s="3273"/>
      <c r="D71" s="358">
        <f ca="1">ROUND(D63*'数据-取费表'!B41/(1+'数据-取费表'!C42),0)</f>
        <v>258</v>
      </c>
      <c r="E71" s="17" t="s">
        <v>398</v>
      </c>
      <c r="F71" s="360">
        <f>'数据-取费表'!B41</f>
        <v>5.5000000000000007E-2</v>
      </c>
      <c r="G71" s="361"/>
      <c r="H71" s="311"/>
      <c r="I71" s="1292"/>
      <c r="J71" s="2036"/>
      <c r="K71" s="3037" t="s">
        <v>399</v>
      </c>
      <c r="L71" s="3348" t="s">
        <v>400</v>
      </c>
      <c r="M71" s="3348"/>
      <c r="N71" s="3037" t="s">
        <v>401</v>
      </c>
      <c r="O71" s="3037" t="s">
        <v>402</v>
      </c>
      <c r="P71" s="3037" t="s">
        <v>403</v>
      </c>
      <c r="Q71" s="2029"/>
      <c r="R71" s="2029"/>
      <c r="S71" s="2029"/>
      <c r="T71" s="2029"/>
      <c r="U71" s="2029"/>
      <c r="V71" s="2029"/>
    </row>
    <row r="72" spans="1:22" ht="12" customHeight="1">
      <c r="A72" s="359" t="s">
        <v>407</v>
      </c>
      <c r="B72" s="3272" t="s">
        <v>408</v>
      </c>
      <c r="C72" s="3273"/>
      <c r="D72" s="358">
        <f ca="1">C86</f>
        <v>148</v>
      </c>
      <c r="E72" s="73" t="s">
        <v>409</v>
      </c>
      <c r="F72" s="360">
        <f>'数据-取费表'!B41</f>
        <v>5.5000000000000007E-2</v>
      </c>
      <c r="G72" s="361"/>
      <c r="H72" s="1298"/>
      <c r="I72" s="1292"/>
      <c r="J72" s="2036"/>
      <c r="K72" s="1977">
        <v>1</v>
      </c>
      <c r="L72" s="3323" t="s">
        <v>406</v>
      </c>
      <c r="M72" s="3323"/>
      <c r="N72" s="1296">
        <f ca="1">D66</f>
        <v>258</v>
      </c>
      <c r="O72" s="1860" t="str">
        <f>E66</f>
        <v>销售额×税（费）率</v>
      </c>
      <c r="P72" s="1297">
        <f>F66</f>
        <v>5.5000000000000007E-2</v>
      </c>
      <c r="Q72" s="2029"/>
      <c r="R72" s="2029"/>
      <c r="S72" s="2029"/>
      <c r="T72" s="2029"/>
      <c r="U72" s="2029"/>
      <c r="V72" s="2029"/>
    </row>
    <row r="73" spans="1:22" ht="24" customHeight="1">
      <c r="A73" s="3317" t="s">
        <v>411</v>
      </c>
      <c r="B73" s="3281"/>
      <c r="C73" s="3281"/>
      <c r="D73" s="362">
        <f>IF(H73="个人住宅",0,ROUND(D63*I73,0))</f>
        <v>0</v>
      </c>
      <c r="E73" s="17" t="s">
        <v>412</v>
      </c>
      <c r="F73" s="360" t="str">
        <f>IF(H73="正常",I73,"免征")</f>
        <v>免征</v>
      </c>
      <c r="G73" s="361"/>
      <c r="H73" s="191" t="s">
        <v>2456</v>
      </c>
      <c r="I73" s="360">
        <f>'数据-取费表'!B49</f>
        <v>5.0000000000000001E-4</v>
      </c>
      <c r="J73" s="2036"/>
      <c r="K73" s="1977">
        <v>2</v>
      </c>
      <c r="L73" s="3323" t="s">
        <v>410</v>
      </c>
      <c r="M73" s="3323"/>
      <c r="N73" s="1296">
        <f t="shared" ref="N73:P74" si="1">D73</f>
        <v>0</v>
      </c>
      <c r="O73" s="1860" t="str">
        <f t="shared" si="1"/>
        <v>销售额×税（费）率</v>
      </c>
      <c r="P73" s="1297" t="str">
        <f t="shared" si="1"/>
        <v>免征</v>
      </c>
      <c r="Q73" s="2029"/>
      <c r="R73" s="2029"/>
      <c r="S73" s="2029"/>
      <c r="T73" s="2029"/>
      <c r="U73" s="2029"/>
      <c r="V73" s="2029"/>
    </row>
    <row r="74" spans="1:22" ht="24.75">
      <c r="A74" s="3317" t="s">
        <v>415</v>
      </c>
      <c r="B74" s="3281"/>
      <c r="C74" s="3281"/>
      <c r="D74" s="362">
        <f ca="1">IF(H74="个人住宅",D75,D76)</f>
        <v>2137</v>
      </c>
      <c r="E74" s="17" t="s">
        <v>416</v>
      </c>
      <c r="F74" s="360" t="str">
        <f>IF(H74="正常",F76,"免征")</f>
        <v>——</v>
      </c>
      <c r="G74" s="983" t="s">
        <v>417</v>
      </c>
      <c r="H74" s="363" t="s">
        <v>413</v>
      </c>
      <c r="I74" s="42"/>
      <c r="J74" s="2036"/>
      <c r="K74" s="1977">
        <v>3</v>
      </c>
      <c r="L74" s="3323" t="s">
        <v>414</v>
      </c>
      <c r="M74" s="3323"/>
      <c r="N74" s="1296">
        <f t="shared" ca="1" si="1"/>
        <v>2137</v>
      </c>
      <c r="O74" s="1860" t="str">
        <f t="shared" si="1"/>
        <v>增值额×税（费）率</v>
      </c>
      <c r="P74" s="1299" t="str">
        <f t="shared" si="1"/>
        <v>——</v>
      </c>
      <c r="Q74" s="2029"/>
      <c r="R74" s="2029"/>
      <c r="S74" s="2029"/>
      <c r="T74" s="2029"/>
      <c r="U74" s="2029"/>
      <c r="V74" s="2029"/>
    </row>
    <row r="75" spans="1:22" ht="24">
      <c r="A75" s="359" t="s">
        <v>418</v>
      </c>
      <c r="B75" s="3269" t="s">
        <v>419</v>
      </c>
      <c r="C75" s="3303"/>
      <c r="D75" s="364">
        <v>0</v>
      </c>
      <c r="E75" s="41" t="s">
        <v>420</v>
      </c>
      <c r="F75" s="365"/>
      <c r="G75" s="361"/>
      <c r="H75" s="42"/>
      <c r="I75" s="42"/>
      <c r="J75" s="2036"/>
      <c r="K75" s="3030">
        <f>IF(H77="非个人房产","",4)</f>
        <v>4</v>
      </c>
      <c r="L75" s="3323" t="str">
        <f>IF(H77="非个人房产","——","个人所得税")</f>
        <v>个人所得税</v>
      </c>
      <c r="M75" s="3323"/>
      <c r="N75" s="1300">
        <f ca="1">D77</f>
        <v>49</v>
      </c>
      <c r="O75" s="1873" t="str">
        <f>E77</f>
        <v>销售额×税（费）率</v>
      </c>
      <c r="P75" s="1301">
        <f>F77</f>
        <v>0.01</v>
      </c>
      <c r="Q75" s="2029"/>
      <c r="R75" s="2029"/>
      <c r="S75" s="2029"/>
      <c r="T75" s="2029"/>
      <c r="U75" s="2029"/>
      <c r="V75" s="2029"/>
    </row>
    <row r="76" spans="1:22" ht="24.75">
      <c r="A76" s="359" t="s">
        <v>396</v>
      </c>
      <c r="B76" s="3269" t="s">
        <v>422</v>
      </c>
      <c r="C76" s="3270"/>
      <c r="D76" s="362">
        <f ca="1">IF(H76="转让取得",C99,C115)</f>
        <v>2137</v>
      </c>
      <c r="E76" s="17" t="s">
        <v>423</v>
      </c>
      <c r="F76" s="53" t="s">
        <v>21</v>
      </c>
      <c r="G76" s="361"/>
      <c r="H76" s="363" t="s">
        <v>424</v>
      </c>
      <c r="I76" s="42"/>
      <c r="J76" s="2036"/>
      <c r="K76" s="3030" t="str">
        <f>IF(项目基本情况!K6="上海银行",IF(K75="",4,K75+1),"")</f>
        <v/>
      </c>
      <c r="L76" s="3334" t="str">
        <f>IF(项目基本情况!K6="上海银行","其他处置费用","")</f>
        <v/>
      </c>
      <c r="M76" s="3335"/>
      <c r="N76" s="1296" t="str">
        <f>IF(项目基本情况!K6="上海银行",N89,"")</f>
        <v/>
      </c>
      <c r="O76" s="3336" t="str">
        <f>IF(项目基本情况!K6="上海银行","包含处置中涉及的律师、诉讼、拍卖、评估等费用","")</f>
        <v/>
      </c>
      <c r="P76" s="3337"/>
      <c r="Q76" s="2029"/>
      <c r="R76" s="2029"/>
      <c r="S76" s="2029"/>
      <c r="T76" s="2029"/>
      <c r="U76" s="2029"/>
      <c r="V76" s="2029"/>
    </row>
    <row r="77" spans="1:22" ht="26.25" thickBot="1">
      <c r="A77" s="3325" t="s">
        <v>426</v>
      </c>
      <c r="B77" s="3326"/>
      <c r="C77" s="3326"/>
      <c r="D77" s="366">
        <f ca="1">IF(H77="非个人房产","——",IF(H77="个人住宅",0,ROUND(D63*I77,0)))</f>
        <v>49</v>
      </c>
      <c r="E77" s="367" t="str">
        <f>IF(H77="非个人房产","——","销售额×税（费）率")</f>
        <v>销售额×税（费）率</v>
      </c>
      <c r="F77" s="368">
        <f>IF(H77="非个人房产","——",IF(H77="个人住宅","免征",I77))</f>
        <v>0.01</v>
      </c>
      <c r="G77" s="984" t="s">
        <v>417</v>
      </c>
      <c r="H77" s="363" t="s">
        <v>2884</v>
      </c>
      <c r="I77" s="369">
        <v>0.01</v>
      </c>
      <c r="J77" s="2036"/>
      <c r="K77" s="3324">
        <f>IF(AND(K75="",K76=""),4,IF(项目基本情况!K6="上海银行",K76+1,K75+1))</f>
        <v>5</v>
      </c>
      <c r="L77" s="3323" t="s">
        <v>2885</v>
      </c>
      <c r="M77" s="3036" t="s">
        <v>421</v>
      </c>
      <c r="N77" s="1302"/>
      <c r="O77" s="1303">
        <f ca="1">SUMIF(N72:N76,"&lt;9e307")</f>
        <v>2444</v>
      </c>
      <c r="P77" s="1304"/>
      <c r="Q77" s="3034">
        <f ca="1">O77/N69</f>
        <v>0.29775828460038989</v>
      </c>
      <c r="R77" s="2029"/>
      <c r="S77" s="2029"/>
      <c r="T77" s="2029"/>
      <c r="U77" s="2029"/>
      <c r="V77" s="2029"/>
    </row>
    <row r="78" spans="1:22" ht="12" customHeight="1">
      <c r="A78" s="1305"/>
      <c r="B78" s="311"/>
      <c r="C78" s="311"/>
      <c r="D78" s="311"/>
      <c r="E78" s="42"/>
      <c r="F78" s="42"/>
      <c r="G78" s="42"/>
      <c r="H78" s="1003"/>
      <c r="I78" s="311"/>
      <c r="J78" s="2036"/>
      <c r="K78" s="3324"/>
      <c r="L78" s="3323"/>
      <c r="M78" s="3036" t="s">
        <v>425</v>
      </c>
      <c r="N78" s="1302"/>
      <c r="O78" s="1303" t="str">
        <f ca="1">NUMBERSTRING(INT(O77*10000),2)&amp;"元整"</f>
        <v>贰仟肆佰肆拾肆万元整</v>
      </c>
      <c r="P78" s="1304"/>
      <c r="Q78" s="2029"/>
      <c r="R78" s="2029"/>
      <c r="S78" s="2029"/>
      <c r="T78" s="2029"/>
      <c r="U78" s="2029"/>
      <c r="V78" s="2029"/>
    </row>
    <row r="79" spans="1:22" ht="13.5" thickBot="1">
      <c r="A79" s="3318" t="s">
        <v>427</v>
      </c>
      <c r="B79" s="3318"/>
      <c r="C79" s="3318"/>
      <c r="D79" s="3318"/>
      <c r="E79" s="3318"/>
      <c r="F79" s="42"/>
      <c r="G79" s="42"/>
      <c r="H79" s="1003"/>
      <c r="I79" s="311"/>
      <c r="J79" s="2036"/>
      <c r="K79" s="3344">
        <f>K77+1</f>
        <v>6</v>
      </c>
      <c r="L79" s="3323" t="s">
        <v>2886</v>
      </c>
      <c r="M79" s="3036" t="s">
        <v>421</v>
      </c>
      <c r="N79" s="1302"/>
      <c r="O79" s="1303">
        <f ca="1">N69-O77</f>
        <v>5764</v>
      </c>
      <c r="P79" s="1304"/>
      <c r="Q79" s="2029"/>
      <c r="R79" s="2029"/>
      <c r="S79" s="2029"/>
      <c r="T79" s="2029"/>
      <c r="U79" s="2029"/>
      <c r="V79" s="2029"/>
    </row>
    <row r="80" spans="1:22" ht="25.5">
      <c r="A80" s="3313" t="s">
        <v>428</v>
      </c>
      <c r="B80" s="3314"/>
      <c r="C80" s="994"/>
      <c r="D80" s="994" t="s">
        <v>429</v>
      </c>
      <c r="E80" s="370" t="s">
        <v>430</v>
      </c>
      <c r="F80" s="42"/>
      <c r="G80" s="42"/>
      <c r="H80" s="1003"/>
      <c r="I80" s="311"/>
      <c r="J80" s="2029"/>
      <c r="K80" s="3345"/>
      <c r="L80" s="3323"/>
      <c r="M80" s="3036" t="s">
        <v>425</v>
      </c>
      <c r="N80" s="1302"/>
      <c r="O80" s="1303" t="str">
        <f ca="1">NUMBERSTRING(INT(O79*10000),2)&amp;"元整"</f>
        <v>伍仟柒佰陆拾肆万元整</v>
      </c>
      <c r="P80" s="1304"/>
      <c r="Q80" s="2029"/>
      <c r="R80" s="2029"/>
      <c r="S80" s="2029"/>
      <c r="T80" s="2029"/>
      <c r="U80" s="2029"/>
      <c r="V80" s="2029"/>
    </row>
    <row r="81" spans="1:26" ht="13.5" thickBot="1">
      <c r="A81" s="381" t="s">
        <v>1824</v>
      </c>
      <c r="B81" s="371" t="s">
        <v>431</v>
      </c>
      <c r="C81" s="372">
        <f ca="1">ROUND((C82+C83)/(1+'数据-取费表'!C42),0)</f>
        <v>4690</v>
      </c>
      <c r="D81" s="373"/>
      <c r="E81" s="374"/>
      <c r="F81" s="42"/>
      <c r="G81" s="42"/>
      <c r="H81" s="1003"/>
      <c r="I81" s="311"/>
      <c r="J81" s="2029"/>
      <c r="K81" s="3030">
        <f>K79+1</f>
        <v>7</v>
      </c>
      <c r="L81" s="3321" t="s">
        <v>2887</v>
      </c>
      <c r="M81" s="3322"/>
      <c r="N81" s="1306"/>
      <c r="O81" s="1307">
        <f ca="1">ROUND(O79*10000/'数据-汇总表'!E3,0)</f>
        <v>798</v>
      </c>
      <c r="P81" s="1308"/>
      <c r="Q81" s="2029"/>
      <c r="R81" s="2029"/>
      <c r="S81" s="2029"/>
      <c r="T81" s="2029"/>
      <c r="U81" s="2029"/>
      <c r="V81" s="2029"/>
    </row>
    <row r="82" spans="1:26" ht="13.5" thickTop="1">
      <c r="A82" s="375" t="s">
        <v>1825</v>
      </c>
      <c r="B82" s="376" t="s">
        <v>432</v>
      </c>
      <c r="C82" s="377">
        <f ca="1">D63</f>
        <v>4925</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33" t="s">
        <v>2874</v>
      </c>
      <c r="L83" s="3042" t="s">
        <v>2875</v>
      </c>
      <c r="M83" s="3032">
        <f ca="1">IF(N69&gt;10000,N69*0.5%,IF(AND(N69&gt;1000,N69&lt;=10000),N69*1%,IF(AND(N69&gt;100,N69&lt;=1000),N69*3%,IF(AND(N69&gt;10,N69&lt;=100),N69*5%,N69*8%))))</f>
        <v>82.08</v>
      </c>
      <c r="N83" s="53">
        <f ca="1">ROUND(M83,1)</f>
        <v>82.1</v>
      </c>
      <c r="O83" s="3035"/>
      <c r="P83" s="2029"/>
      <c r="Q83" s="2029"/>
      <c r="R83" s="2029"/>
      <c r="S83" s="2029"/>
      <c r="T83" s="2029"/>
      <c r="U83" s="2029"/>
      <c r="V83" s="2029"/>
    </row>
    <row r="84" spans="1:26" ht="12.75">
      <c r="A84" s="381" t="s">
        <v>1827</v>
      </c>
      <c r="B84" s="382" t="s">
        <v>434</v>
      </c>
      <c r="C84" s="383">
        <v>2000</v>
      </c>
      <c r="D84" s="384" t="s">
        <v>19</v>
      </c>
      <c r="E84" s="3077" t="s">
        <v>2942</v>
      </c>
      <c r="F84" s="42"/>
      <c r="G84" s="42"/>
      <c r="H84" s="1003"/>
      <c r="I84" s="311"/>
      <c r="J84" s="2029"/>
      <c r="K84" s="3333"/>
      <c r="L84" s="3042" t="s">
        <v>2876</v>
      </c>
      <c r="M84" s="3032">
        <f ca="1">IF(N69&gt;2000,N69*0.5%,IF(AND(N69&gt;1000,N69&lt;=2000),N69*0.6%,IF(AND(N69&gt;500,N69&lt;=1000),N69*0.7%,IF(AND(N69&gt;200,N69&lt;=500),N69*0.8%,IF(AND(N69&gt;100,N69&lt;=200),N69*0.9%,IF(AND(N69&gt;50,N69&lt;=100),N69*1%,IF(AND(N69&gt;20,N69&lt;=50),N69*1.5%,IF(AND(N69&gt;10,N69&lt;=20),N69*2%,IF(AND(N69&gt;1,N69&lt;=10),N69*2.5%)))))))))</f>
        <v>41.04</v>
      </c>
      <c r="N84" s="53">
        <f t="shared" ref="N84:N85" ca="1" si="2">ROUND(M84,1)</f>
        <v>41</v>
      </c>
      <c r="O84" s="2029" t="s">
        <v>2877</v>
      </c>
      <c r="P84" s="2029"/>
      <c r="Q84" s="2029"/>
      <c r="R84" s="2029"/>
      <c r="S84" s="2029"/>
      <c r="T84" s="2029"/>
      <c r="U84" s="2029"/>
      <c r="V84" s="2029"/>
    </row>
    <row r="85" spans="1:26" ht="12.75">
      <c r="A85" s="381" t="s">
        <v>1828</v>
      </c>
      <c r="B85" s="382" t="s">
        <v>435</v>
      </c>
      <c r="C85" s="385">
        <f ca="1">C81-C84</f>
        <v>2690</v>
      </c>
      <c r="D85" s="378" t="s">
        <v>19</v>
      </c>
      <c r="E85" s="379"/>
      <c r="F85" s="42"/>
      <c r="G85" s="42"/>
      <c r="H85" s="1003"/>
      <c r="I85" s="311"/>
      <c r="J85" s="2029"/>
      <c r="K85" s="3333"/>
      <c r="L85" s="3042" t="s">
        <v>2878</v>
      </c>
      <c r="M85" s="3032">
        <f ca="1">IF(N69&gt;1000,N69*0.1%,IF(AND(N69&gt;500,N69&lt;=1000),N69*0.5%,IF(AND(N69&gt;50,N69&lt;=500),N69*1%,IF(AND(N69&gt;1,N69&lt;=50),N69*1.5%))))</f>
        <v>8.2080000000000002</v>
      </c>
      <c r="N85" s="53">
        <f t="shared" ca="1" si="2"/>
        <v>8.1999999999999993</v>
      </c>
      <c r="O85" s="2029" t="s">
        <v>2877</v>
      </c>
      <c r="P85" s="2029"/>
      <c r="Q85" s="2029"/>
      <c r="R85" s="2029"/>
      <c r="S85" s="2029"/>
      <c r="T85" s="2029"/>
      <c r="U85" s="2029"/>
      <c r="V85" s="2029"/>
    </row>
    <row r="86" spans="1:26" ht="13.5" thickBot="1">
      <c r="A86" s="386" t="s">
        <v>1829</v>
      </c>
      <c r="B86" s="387" t="s">
        <v>436</v>
      </c>
      <c r="C86" s="388">
        <f ca="1">IF(C85&lt;=0,0,ROUND(C85*D86,0))</f>
        <v>148</v>
      </c>
      <c r="D86" s="389">
        <f>'数据-取费表'!B41</f>
        <v>5.5000000000000007E-2</v>
      </c>
      <c r="E86" s="390"/>
      <c r="F86" s="42"/>
      <c r="G86" s="42"/>
      <c r="H86" s="1003"/>
      <c r="I86" s="311"/>
      <c r="J86" s="2029"/>
      <c r="K86" s="3333"/>
      <c r="L86" s="3042" t="s">
        <v>2879</v>
      </c>
      <c r="M86" s="3032">
        <f ca="1">N69*0.5%</f>
        <v>41.04</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33"/>
      <c r="L87" s="3042" t="s">
        <v>2881</v>
      </c>
      <c r="M87" s="3032">
        <f ca="1">IF(N69&gt;=10000,(8.25+(N69-10000)*0.01%),IF(AND(N69&gt;=8000,N69&lt;10000),(7.85+(N69-8000)*0.02%),IF(AND(N69&gt;=5000,N69&lt;8000),(6.65+(N69-5000)*0.04%),IF(AND(N69&gt;=2000,N69&lt;5000),(4.25+(PN69-2000)*0.08%),IF(AND(N69&gt;=1000,N69&lt;2000),(2.75+(N69-1000)*0.15%),IF(AND(N69&gt;=100,N69&lt;1000),(0.5+(N69-100)*0.25%),IF(AND(N69&gt;0,N69&lt;100),N69*0.5%)))))))</f>
        <v>7.8915999999999995</v>
      </c>
      <c r="N87" s="53">
        <f ca="1">ROUND(M87*0.9,1)</f>
        <v>7.1</v>
      </c>
      <c r="O87" s="3035"/>
      <c r="P87" s="311"/>
      <c r="Q87" s="2029"/>
      <c r="R87" s="2029"/>
      <c r="S87" s="2029"/>
      <c r="T87" s="2029"/>
      <c r="U87" s="2029"/>
      <c r="V87" s="2029"/>
      <c r="W87" s="292"/>
      <c r="X87" s="292"/>
      <c r="Y87" s="292"/>
      <c r="Z87" s="292"/>
    </row>
    <row r="88" spans="1:26" s="1314" customFormat="1" ht="15" thickBot="1">
      <c r="A88" s="3315" t="s">
        <v>437</v>
      </c>
      <c r="B88" s="3316"/>
      <c r="C88" s="3316"/>
      <c r="D88" s="3316"/>
      <c r="E88" s="3316"/>
      <c r="F88" s="3316"/>
      <c r="G88" s="3316"/>
      <c r="H88" s="3316"/>
      <c r="I88" s="1315"/>
      <c r="J88" s="2037"/>
      <c r="K88" s="3333"/>
      <c r="L88" s="3042" t="s">
        <v>2882</v>
      </c>
      <c r="M88" s="3032">
        <f ca="1">IF(N69&gt;10000,N69*0.5%,IF(AND(N69&gt;5000,N69&lt;=10000),N69*1%,IF(AND(N69&gt;1000,N69&lt;=5000),N69*2%,IF(AND(N69&gt;200,N69&lt;=1000),N69*3%,N69*5%))))</f>
        <v>82.08</v>
      </c>
      <c r="N88" s="53">
        <f ca="1">ROUND(M88,1)</f>
        <v>82.1</v>
      </c>
      <c r="O88" s="3035"/>
      <c r="P88" s="11"/>
      <c r="Q88" s="2034"/>
      <c r="R88" s="2034"/>
      <c r="S88" s="2034"/>
      <c r="T88" s="2034"/>
      <c r="U88" s="2034"/>
      <c r="V88" s="2034"/>
      <c r="W88" s="2038"/>
      <c r="X88" s="2038"/>
      <c r="Y88" s="2038"/>
      <c r="Z88" s="2038"/>
    </row>
    <row r="89" spans="1:26" s="1314" customFormat="1" ht="14.25">
      <c r="A89" s="3313" t="s">
        <v>428</v>
      </c>
      <c r="B89" s="3314"/>
      <c r="C89" s="994"/>
      <c r="D89" s="994" t="s">
        <v>429</v>
      </c>
      <c r="E89" s="391" t="s">
        <v>438</v>
      </c>
      <c r="F89" s="392"/>
      <c r="G89" s="392"/>
      <c r="H89" s="393"/>
      <c r="I89" s="1316"/>
      <c r="J89" s="2039"/>
      <c r="K89" s="3333"/>
      <c r="L89" s="3042" t="s">
        <v>27</v>
      </c>
      <c r="M89" s="3033"/>
      <c r="N89" s="53">
        <f ca="1">ROUND(SUM(N83:N88),0)</f>
        <v>221</v>
      </c>
      <c r="O89" s="3043">
        <f ca="1">N89/N69</f>
        <v>2.6924951267056529E-2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4690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2584</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72" t="s">
        <v>447</v>
      </c>
      <c r="F94" s="3271"/>
      <c r="G94" s="3271"/>
      <c r="H94" s="3312"/>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23</v>
      </c>
      <c r="D96" s="406">
        <f>'数据-取费表'!B43</f>
        <v>5.000000000000001E-3</v>
      </c>
      <c r="E96" s="3304" t="s">
        <v>2429</v>
      </c>
      <c r="F96" s="3305"/>
      <c r="G96" s="3305"/>
      <c r="H96" s="3306"/>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2106</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0.81501547987616096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713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15" t="s">
        <v>454</v>
      </c>
      <c r="B101" s="3316"/>
      <c r="C101" s="3316"/>
      <c r="D101" s="3316"/>
      <c r="E101" s="3316"/>
      <c r="F101" s="3316"/>
      <c r="G101" s="3316"/>
      <c r="H101" s="3316"/>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3" t="s">
        <v>428</v>
      </c>
      <c r="B102" s="3314"/>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4690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713</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07" t="s">
        <v>462</v>
      </c>
      <c r="F109" s="3305"/>
      <c r="G109" s="3305"/>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07" t="s">
        <v>464</v>
      </c>
      <c r="F110" s="3305"/>
      <c r="G110" s="3305"/>
      <c r="H110" s="3306"/>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23</v>
      </c>
      <c r="D111" s="406">
        <f>'数据-取费表'!B43</f>
        <v>5.000000000000001E-3</v>
      </c>
      <c r="E111" s="3304" t="s">
        <v>2429</v>
      </c>
      <c r="F111" s="3305"/>
      <c r="G111" s="3305"/>
      <c r="H111" s="3306"/>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07" t="s">
        <v>2454</v>
      </c>
      <c r="F112" s="3305"/>
      <c r="G112" s="3305"/>
      <c r="H112" s="3306"/>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3977</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5.5778401122019634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2137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Normal="100" workbookViewId="0">
      <selection activeCell="C83" sqref="C83"/>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72217.899999999994</v>
      </c>
      <c r="E1" s="1407" t="s">
        <v>2428</v>
      </c>
      <c r="F1" s="2432">
        <f>'数据-基础表'!A3</f>
        <v>120363.16</v>
      </c>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2762</v>
      </c>
      <c r="S1" s="2915" t="s">
        <v>2763</v>
      </c>
      <c r="T1" s="2915" t="s">
        <v>2784</v>
      </c>
      <c r="U1" s="2915" t="s">
        <v>2785</v>
      </c>
      <c r="V1" s="2915" t="s">
        <v>2786</v>
      </c>
      <c r="W1" s="2190"/>
      <c r="X1" s="2190"/>
      <c r="Y1" s="2190"/>
      <c r="Z1" s="2190"/>
      <c r="AA1" s="2190"/>
      <c r="AB1" s="2190"/>
      <c r="AC1" s="2191"/>
    </row>
    <row r="2" spans="1:39" ht="15.75">
      <c r="A2" s="1407" t="s">
        <v>920</v>
      </c>
      <c r="B2" s="1038">
        <f ca="1">C26</f>
        <v>11540</v>
      </c>
      <c r="C2" s="1408" t="s">
        <v>921</v>
      </c>
      <c r="D2" s="1409" t="s">
        <v>922</v>
      </c>
      <c r="E2" s="1410" t="s">
        <v>982</v>
      </c>
      <c r="F2" s="1409" t="s">
        <v>924</v>
      </c>
      <c r="G2" s="1653" t="str">
        <f>IF(E2="商业",项目基本情况!B43,IF(E2="办公",项目基本情况!C43,IF(E2="住宅",项目基本情况!D43,项目基本情况!E43)))</f>
        <v>九级</v>
      </c>
      <c r="H2" s="1409" t="s">
        <v>926</v>
      </c>
      <c r="I2" s="1654" t="str">
        <f>IF(E2="商业",项目基本情况!B44,IF(E2="办公",项目基本情况!C44,IF(E2="住宅",项目基本情况!D44,项目基本情况!E44)))</f>
        <v>Ⅸ-通1</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3.2366999999999999</v>
      </c>
      <c r="T2" s="2916">
        <f ca="1">ROUND($C$5*$C$18*$C$19*$C$20*S2*$C$24,0)</f>
        <v>3103</v>
      </c>
      <c r="U2" s="2905"/>
      <c r="V2" s="2916">
        <f ca="1">ROUND(T2*U2/10000,0)</f>
        <v>0</v>
      </c>
      <c r="W2" s="2190"/>
      <c r="X2" s="2190"/>
      <c r="Y2" s="2190"/>
      <c r="Z2" s="2190"/>
      <c r="AA2" s="2190"/>
      <c r="AB2" s="2190"/>
      <c r="AC2" s="2191"/>
    </row>
    <row r="3" spans="1:39" ht="15.75">
      <c r="A3" s="1412" t="s">
        <v>1688</v>
      </c>
      <c r="B3" s="1038">
        <f ca="1">ROUND(B2*10000/D1,0)</f>
        <v>1598</v>
      </c>
      <c r="C3" s="1408" t="s">
        <v>927</v>
      </c>
      <c r="D3" s="1409" t="s">
        <v>928</v>
      </c>
      <c r="E3" s="1413" t="s">
        <v>3006</v>
      </c>
      <c r="F3" s="1414" t="s">
        <v>2936</v>
      </c>
      <c r="G3" s="1039">
        <f>IF(F3="宗地容积率",'数据-汇总表'!I4,IF(F3="估价对象容积率",'数据-汇总表'!I6,'数据-汇总表'!I7))</f>
        <v>0.6</v>
      </c>
      <c r="H3" s="1415" t="s">
        <v>929</v>
      </c>
      <c r="I3" s="1040">
        <v>3</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2.1332</v>
      </c>
      <c r="T3" s="2916">
        <f t="shared" ref="T3:T16" ca="1" si="0">ROUND($C$5*$C$18*$C$19*$C$20*S3*$C$24,0)</f>
        <v>2045</v>
      </c>
      <c r="U3" s="2905"/>
      <c r="V3" s="2916">
        <f t="shared" ref="V3:V16" ca="1" si="1">ROUND(T3*U3/10000,0)</f>
        <v>0</v>
      </c>
      <c r="W3" s="2190"/>
      <c r="X3" s="2190"/>
      <c r="Y3" s="2190"/>
      <c r="Z3" s="2190"/>
      <c r="AA3" s="2190"/>
      <c r="AB3" s="2190"/>
      <c r="AC3" s="2191"/>
    </row>
    <row r="4" spans="1:39" ht="28.5">
      <c r="A4" s="1892" t="s">
        <v>2281</v>
      </c>
      <c r="B4" s="2433">
        <f ca="1">ROUND(B2*10000/F1,0)</f>
        <v>959</v>
      </c>
      <c r="C4" s="1895" t="s">
        <v>2255</v>
      </c>
      <c r="D4" s="1895">
        <f ca="1">ROUND(B2/(F1/666.67),0)</f>
        <v>64</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1.6787000000000001</v>
      </c>
      <c r="T4" s="2916">
        <f t="shared" ca="1" si="0"/>
        <v>1609</v>
      </c>
      <c r="U4" s="2905"/>
      <c r="V4" s="2916">
        <f t="shared" ca="1" si="1"/>
        <v>0</v>
      </c>
      <c r="W4" s="2190"/>
      <c r="X4" s="2190"/>
      <c r="Y4" s="2190"/>
      <c r="Z4" s="2190"/>
      <c r="AA4" s="2190"/>
      <c r="AB4" s="2190"/>
      <c r="AC4" s="2191"/>
    </row>
    <row r="5" spans="1:39" s="1422" customFormat="1" ht="15.75" thickBot="1">
      <c r="A5" s="1639" t="s">
        <v>1824</v>
      </c>
      <c r="B5" s="1416" t="s">
        <v>931</v>
      </c>
      <c r="C5" s="1041">
        <f>ROUND(IF(E2="商业",IF(F16="增加",C6*C7+C16,C6*C7-C16),IF(E2="住宅",IF(F16="增加",C6*C12+C16,C6*C12-C16),IF(F16="增加",C6+C16,C6-C16))),0)</f>
        <v>830</v>
      </c>
      <c r="D5" s="3097">
        <f>ROUND(IF(F16="增加",C6+C16,C6-C16),0)</f>
        <v>830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1.2542</v>
      </c>
      <c r="T5" s="2916">
        <f t="shared" ca="1" si="0"/>
        <v>1202</v>
      </c>
      <c r="U5" s="2905"/>
      <c r="V5" s="2916">
        <f t="shared" ca="1" si="1"/>
        <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830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0.94320000000000004</v>
      </c>
      <c r="T6" s="2916">
        <f t="shared" ca="1" si="0"/>
        <v>904</v>
      </c>
      <c r="U6" s="2905"/>
      <c r="V6" s="2916">
        <f t="shared" ca="1" si="1"/>
        <v>0</v>
      </c>
      <c r="W6" s="2190"/>
      <c r="X6" s="2190"/>
      <c r="Y6" s="2190"/>
      <c r="Z6" s="2190"/>
      <c r="AA6" s="2190"/>
      <c r="AB6" s="2190"/>
      <c r="AC6" s="2192"/>
      <c r="AD6" s="1420"/>
      <c r="AE6" s="1420"/>
      <c r="AF6" s="1420"/>
      <c r="AG6" s="1420"/>
      <c r="AH6" s="1420"/>
      <c r="AI6" s="1420"/>
      <c r="AJ6" s="1421"/>
    </row>
    <row r="7" spans="1:39" ht="24.75" thickBot="1">
      <c r="A7" s="3358" t="str">
        <f>IF(E2="商业",IF(C8="不临58条商业街","",2),"")</f>
        <v/>
      </c>
      <c r="B7" s="1428" t="s">
        <v>932</v>
      </c>
      <c r="C7" s="1043">
        <f>IF(C8="不临58条商业街",1,ROUND(1+(1.6*E8+1.2*E9+0.8*E10+0.4*E11)*C9,4))</f>
        <v>1</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0.75419999999999998</v>
      </c>
      <c r="T7" s="2916">
        <f t="shared" ca="1" si="0"/>
        <v>723</v>
      </c>
      <c r="U7" s="2905"/>
      <c r="V7" s="2916">
        <f t="shared" ca="1" si="1"/>
        <v>0</v>
      </c>
      <c r="W7" s="2914" t="s">
        <v>2765</v>
      </c>
      <c r="X7" s="2906" t="str">
        <f>G2</f>
        <v>九级</v>
      </c>
      <c r="Y7" s="2906" t="s">
        <v>2766</v>
      </c>
      <c r="Z7" s="2907">
        <f>G3</f>
        <v>0.6</v>
      </c>
      <c r="AA7" s="2193"/>
      <c r="AB7" s="2193"/>
      <c r="AC7" s="2194"/>
      <c r="AD7" s="2908"/>
      <c r="AE7" s="2908"/>
      <c r="AF7" s="2908"/>
      <c r="AG7" s="2908"/>
      <c r="AH7" s="2908"/>
      <c r="AI7" s="2908"/>
      <c r="AJ7" s="2909"/>
    </row>
    <row r="8" spans="1:39" ht="25.5" hidden="1">
      <c r="A8" s="3359"/>
      <c r="B8" s="1415" t="s">
        <v>934</v>
      </c>
      <c r="C8" s="1530" t="s">
        <v>3007</v>
      </c>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f t="shared" ca="1" si="0"/>
        <v>0</v>
      </c>
      <c r="U8" s="2905"/>
      <c r="V8" s="2916">
        <f t="shared" ca="1" si="1"/>
        <v>0</v>
      </c>
      <c r="W8" s="3350" t="s">
        <v>2783</v>
      </c>
      <c r="X8" s="3351"/>
      <c r="Y8" s="1850" t="s">
        <v>2767</v>
      </c>
      <c r="Z8" s="1850" t="s">
        <v>2768</v>
      </c>
      <c r="AA8" s="1850" t="s">
        <v>2769</v>
      </c>
      <c r="AB8" s="1850" t="s">
        <v>2770</v>
      </c>
      <c r="AC8" s="1850" t="s">
        <v>2771</v>
      </c>
      <c r="AD8" s="1850" t="s">
        <v>2772</v>
      </c>
      <c r="AE8" s="1850" t="s">
        <v>2773</v>
      </c>
      <c r="AF8" s="1850" t="s">
        <v>2774</v>
      </c>
      <c r="AG8" s="1850" t="s">
        <v>2775</v>
      </c>
      <c r="AH8" s="1850" t="s">
        <v>2776</v>
      </c>
      <c r="AI8" s="1850" t="s">
        <v>2777</v>
      </c>
      <c r="AJ8" s="1850" t="s">
        <v>2778</v>
      </c>
    </row>
    <row r="9" spans="1:39" ht="15" hidden="1">
      <c r="A9" s="3359"/>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830</v>
      </c>
      <c r="N9" s="1888">
        <f>SUMPRODUCT((因素修正幅度!B245:B289=I2)*(因素修正幅度!C3:F3=E2)*(因素修正幅度!C245:F289))</f>
        <v>0.13200000000000001</v>
      </c>
      <c r="O9" s="2190"/>
      <c r="P9" s="2190"/>
      <c r="Q9" s="2190"/>
      <c r="R9" s="2916">
        <v>8</v>
      </c>
      <c r="S9" s="2905"/>
      <c r="T9" s="2916">
        <f t="shared" ca="1" si="0"/>
        <v>0</v>
      </c>
      <c r="U9" s="2905"/>
      <c r="V9" s="2916">
        <f t="shared" ca="1" si="1"/>
        <v>0</v>
      </c>
      <c r="W9" s="3349" t="s">
        <v>2779</v>
      </c>
      <c r="X9" s="2910" t="s">
        <v>2780</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hidden="1">
      <c r="A10" s="3359"/>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f t="shared" ca="1" si="0"/>
        <v>0</v>
      </c>
      <c r="U10" s="2905"/>
      <c r="V10" s="2916">
        <f t="shared" ca="1" si="1"/>
        <v>0</v>
      </c>
      <c r="W10" s="3349"/>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hidden="1" customHeight="1" thickBot="1">
      <c r="A11" s="3359"/>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f t="shared" ca="1" si="0"/>
        <v>0</v>
      </c>
      <c r="U11" s="2905"/>
      <c r="V11" s="2916">
        <f t="shared" ca="1" si="1"/>
        <v>0</v>
      </c>
      <c r="W11" s="3349" t="s">
        <v>2781</v>
      </c>
      <c r="X11" s="1048" t="s">
        <v>2766</v>
      </c>
      <c r="Y11" s="1654">
        <f>$G$3</f>
        <v>0.6</v>
      </c>
      <c r="Z11" s="1654">
        <f t="shared" ref="Z11:AJ11" si="3">$G$3</f>
        <v>0.6</v>
      </c>
      <c r="AA11" s="1654">
        <f t="shared" si="3"/>
        <v>0.6</v>
      </c>
      <c r="AB11" s="1654">
        <f t="shared" si="3"/>
        <v>0.6</v>
      </c>
      <c r="AC11" s="1654">
        <f t="shared" si="3"/>
        <v>0.6</v>
      </c>
      <c r="AD11" s="1654">
        <f t="shared" si="3"/>
        <v>0.6</v>
      </c>
      <c r="AE11" s="1654">
        <f t="shared" si="3"/>
        <v>0.6</v>
      </c>
      <c r="AF11" s="1654">
        <f t="shared" si="3"/>
        <v>0.6</v>
      </c>
      <c r="AG11" s="1654">
        <f t="shared" si="3"/>
        <v>0.6</v>
      </c>
      <c r="AH11" s="1654">
        <f t="shared" si="3"/>
        <v>0.6</v>
      </c>
      <c r="AI11" s="1654">
        <f t="shared" si="3"/>
        <v>0.6</v>
      </c>
      <c r="AJ11" s="1654">
        <f t="shared" si="3"/>
        <v>0.6</v>
      </c>
    </row>
    <row r="12" spans="1:39" ht="25.5" hidden="1" thickBot="1">
      <c r="A12" s="3358"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f t="shared" ca="1" si="0"/>
        <v>0</v>
      </c>
      <c r="U12" s="2905"/>
      <c r="V12" s="2916">
        <f t="shared" ca="1" si="1"/>
        <v>0</v>
      </c>
      <c r="W12" s="3349"/>
      <c r="X12" s="2913" t="s">
        <v>2782</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hidden="1">
      <c r="A13" s="3360"/>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f t="shared" ca="1" si="0"/>
        <v>0</v>
      </c>
      <c r="U13" s="2905"/>
      <c r="V13" s="2916">
        <f t="shared" ca="1" si="1"/>
        <v>0</v>
      </c>
      <c r="W13" s="3349"/>
      <c r="X13" s="2913"/>
      <c r="Y13" s="2912">
        <f>(-0.163*(Y12^2)-0.59*Y12+7617)*(10^(-4))/Y11</f>
        <v>1.2695000000000001</v>
      </c>
      <c r="Z13" s="2912">
        <f t="shared" ref="Z13:AJ13" si="5">(-0.163*(Z12^2)-0.59*Z12+7617)*(10^(-4))/Z11</f>
        <v>1.2695000000000001</v>
      </c>
      <c r="AA13" s="2912">
        <f t="shared" si="5"/>
        <v>1.2695000000000001</v>
      </c>
      <c r="AB13" s="2912">
        <f t="shared" si="5"/>
        <v>1.2695000000000001</v>
      </c>
      <c r="AC13" s="2912">
        <f t="shared" si="5"/>
        <v>1.2695000000000001</v>
      </c>
      <c r="AD13" s="2912">
        <f t="shared" si="5"/>
        <v>1.2695000000000001</v>
      </c>
      <c r="AE13" s="2912">
        <f t="shared" si="5"/>
        <v>1.2695000000000001</v>
      </c>
      <c r="AF13" s="2912">
        <f t="shared" si="5"/>
        <v>1.2695000000000001</v>
      </c>
      <c r="AG13" s="2912">
        <f t="shared" si="5"/>
        <v>1.2695000000000001</v>
      </c>
      <c r="AH13" s="2912">
        <f t="shared" si="5"/>
        <v>1.2695000000000001</v>
      </c>
      <c r="AI13" s="2912">
        <f t="shared" si="5"/>
        <v>1.2695000000000001</v>
      </c>
      <c r="AJ13" s="2912">
        <f t="shared" si="5"/>
        <v>1.2695000000000001</v>
      </c>
    </row>
    <row r="14" spans="1:39" ht="12.75" hidden="1" customHeight="1" thickBot="1">
      <c r="A14" s="3360"/>
      <c r="B14" s="1452"/>
      <c r="C14" s="1453" t="s">
        <v>3008</v>
      </c>
      <c r="D14" s="1454" t="s">
        <v>3008</v>
      </c>
      <c r="E14" s="1454" t="s">
        <v>3008</v>
      </c>
      <c r="F14" s="1455" t="s">
        <v>3009</v>
      </c>
      <c r="G14" s="1456" t="s">
        <v>949</v>
      </c>
      <c r="H14" s="1457"/>
      <c r="I14" s="1458"/>
      <c r="J14" s="1459"/>
      <c r="K14" s="1402"/>
      <c r="L14" s="2190"/>
      <c r="M14" s="2190"/>
      <c r="N14" s="2190"/>
      <c r="O14" s="2190"/>
      <c r="P14" s="2190"/>
      <c r="Q14" s="2190"/>
      <c r="R14" s="2916">
        <v>13</v>
      </c>
      <c r="S14" s="2905"/>
      <c r="T14" s="2916">
        <f t="shared" ca="1" si="0"/>
        <v>0</v>
      </c>
      <c r="U14" s="2905"/>
      <c r="V14" s="2916">
        <f t="shared" ca="1" si="1"/>
        <v>0</v>
      </c>
      <c r="W14" s="2190"/>
      <c r="X14" s="2190"/>
      <c r="Y14" s="2190"/>
      <c r="Z14" s="2190"/>
      <c r="AA14" s="2190"/>
      <c r="AB14" s="2190"/>
      <c r="AC14" s="2191"/>
    </row>
    <row r="15" spans="1:39" ht="13.5" hidden="1" customHeight="1" thickBot="1">
      <c r="A15" s="3361"/>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f t="shared" ca="1" si="0"/>
        <v>0</v>
      </c>
      <c r="U15" s="2905"/>
      <c r="V15" s="2916">
        <f t="shared" ca="1" si="1"/>
        <v>0</v>
      </c>
      <c r="W15" s="2190"/>
      <c r="X15" s="2190"/>
      <c r="Y15" s="2190"/>
      <c r="Z15" s="2190"/>
      <c r="AA15" s="2190"/>
      <c r="AB15" s="2190"/>
      <c r="AC15" s="2191"/>
    </row>
    <row r="16" spans="1:39" ht="24">
      <c r="A16" s="3358" t="s">
        <v>1839</v>
      </c>
      <c r="B16" s="1428" t="s">
        <v>950</v>
      </c>
      <c r="C16" s="1054">
        <f>ROUND(SUM(G17:J17)/C17,0)</f>
        <v>0</v>
      </c>
      <c r="D16" s="1461" t="s">
        <v>951</v>
      </c>
      <c r="E16" s="1462" t="s">
        <v>3010</v>
      </c>
      <c r="F16" s="1463" t="s">
        <v>2997</v>
      </c>
      <c r="G16" s="1464"/>
      <c r="H16" s="1464"/>
      <c r="I16" s="1464"/>
      <c r="J16" s="1464"/>
      <c r="K16" s="1402"/>
      <c r="L16" s="1465" t="s">
        <v>988</v>
      </c>
      <c r="M16" s="1047">
        <v>0.25</v>
      </c>
      <c r="N16" s="1047">
        <v>0.2</v>
      </c>
      <c r="O16" s="1047">
        <v>0.15</v>
      </c>
      <c r="P16" s="1540">
        <v>0.1</v>
      </c>
      <c r="Q16" s="2193"/>
      <c r="R16" s="2916">
        <v>15</v>
      </c>
      <c r="S16" s="2905"/>
      <c r="T16" s="2916">
        <f t="shared" ca="1" si="0"/>
        <v>0</v>
      </c>
      <c r="U16" s="2905"/>
      <c r="V16" s="2916">
        <f t="shared" ca="1" si="1"/>
        <v>0</v>
      </c>
      <c r="W16" s="2193"/>
      <c r="X16" s="2193"/>
      <c r="Y16" s="2193"/>
      <c r="Z16" s="2193"/>
      <c r="AA16" s="2193"/>
      <c r="AB16" s="2193"/>
      <c r="AC16" s="2194"/>
    </row>
    <row r="17" spans="1:40" ht="13.5" thickBot="1">
      <c r="A17" s="3359"/>
      <c r="B17" s="1466" t="s">
        <v>953</v>
      </c>
      <c r="C17" s="1055">
        <f>SUMPRODUCT((修正!A2:A5=E2)*(修正!B1:M1=G2)*(修正!B2:M5))</f>
        <v>1</v>
      </c>
      <c r="D17" s="1468" t="s">
        <v>954</v>
      </c>
      <c r="E17" s="1469" t="str">
        <f>IF(OR(G2="八级",G2="九级",G2="十级",G2="十一级",G2="十二级"),"五通一平","七通一平")</f>
        <v>五通一平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1</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f>ROUND(IF(H19="按公示增长率计算",SUMPRODUCT((地价!A3:A25=YEAR(G19)&amp;"-"&amp;ROUNDUP(MONTH(G19)/3,0))*(地价!X2:AB2=E2)*(地价!X3:AB25)),IF(H19="地价指数",M20/M19,(1+I19)^O19)),4)</f>
        <v>1.3261000000000001</v>
      </c>
      <c r="D19" s="1475" t="s">
        <v>958</v>
      </c>
      <c r="E19" s="1058">
        <v>41640</v>
      </c>
      <c r="F19" s="1475" t="s">
        <v>959</v>
      </c>
      <c r="G19" s="1059">
        <f>'数据-取费表'!B2</f>
        <v>43544</v>
      </c>
      <c r="H19" s="1476" t="s">
        <v>2937</v>
      </c>
      <c r="I19" s="2763" t="str">
        <f>IF(H19="季度增幅（自定义）",SUMIF(N21:N24,E2,O21:O24),"")</f>
        <v/>
      </c>
      <c r="J19" s="1472"/>
      <c r="K19" s="1482"/>
      <c r="L19" s="3016" t="s">
        <v>2841</v>
      </c>
      <c r="M19" s="3017">
        <f>ROUND(SUMIF(地价!B2:F2,E2,地价!B25:F25),0)</f>
        <v>230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f ca="1">ROUND(POWER(1+G20,J20-I20)*(POWER(1+G20,I20)-1)/(POWER(1+G20,J20)-1),4)</f>
        <v>0.83260000000000001</v>
      </c>
      <c r="D20" s="2760" t="s">
        <v>973</v>
      </c>
      <c r="E20" s="3072">
        <f ca="1">存贷款利率!I4/100</f>
        <v>4.3499999999999997E-2</v>
      </c>
      <c r="F20" s="2760" t="s">
        <v>974</v>
      </c>
      <c r="G20" s="2761">
        <f ca="1">SUMIF(M15:P15,E2,M17:P17)</f>
        <v>4.8000000000000001E-2</v>
      </c>
      <c r="H20" s="2760" t="s">
        <v>975</v>
      </c>
      <c r="I20" s="2750">
        <f>SUMIF('数据-取费表'!C6:C15,E2,'数据-取费表'!F6:F15)/COUNTIF('数据-取费表'!C6:C15,E2)</f>
        <v>29.8</v>
      </c>
      <c r="J20" s="2762">
        <f>IF(E2="住宅",70,IF(E2="商业",40,50))</f>
        <v>50</v>
      </c>
      <c r="K20" s="1482"/>
      <c r="L20" s="3018" t="s">
        <v>2842</v>
      </c>
      <c r="M20" s="3019">
        <f>ROUND(SUMPRODUCT((地价!A4:A25=YEAR(G19)&amp;"-"&amp;ROUNDUP(MONTH(G19)/3,0))*(地价!B2:F2=E2)*(地价!B4:F25)),0)</f>
        <v>305</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3011</v>
      </c>
      <c r="C21" s="1158">
        <f>IF(B21="容积率修正",IF(G3&lt;=10,D22,J22),C23)</f>
        <v>1.6667000000000001</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1.6667000000000001</v>
      </c>
      <c r="E22" s="1039">
        <f>ROUNDDOWN(G3,1)</f>
        <v>0.6</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1039">
        <f>ROUNDUP(G3,1)</f>
        <v>0.6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1.6787000000000001</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1.046</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f ca="1">E29+SUM(E33:E39)</f>
        <v>11540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f ca="1">E30+SUM(I33:I39)</f>
        <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f ca="1">ROUND(C5*C18*C19*C20*C21*C24,0)</f>
        <v>1598</v>
      </c>
      <c r="D29" s="1505">
        <f>'数据-基础表'!I13</f>
        <v>72217.899999999994</v>
      </c>
      <c r="E29" s="1850">
        <f ca="1">ROUND(C29*D29/10000,0)</f>
        <v>11540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f ca="1">ROUND(IF(E2="工业",C29*M39,C29*M38),0)</f>
        <v>240</v>
      </c>
      <c r="D30" s="1511"/>
      <c r="E30" s="1850">
        <f ca="1">ROUND(C30*D30/10000,0)</f>
        <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364" t="s">
        <v>2963</v>
      </c>
      <c r="B33" s="1525" t="s">
        <v>1000</v>
      </c>
      <c r="C33" s="1063">
        <f ca="1">ROUND(D5*C19*C20*C24*F33,0)</f>
        <v>575</v>
      </c>
      <c r="D33" s="1538"/>
      <c r="E33" s="1048">
        <f ca="1">ROUND(C33*D33/10000,0)</f>
        <v>0</v>
      </c>
      <c r="F33" s="1048">
        <f>SUMIF(修正!A45:A56,G2,修正!B45:B56)</f>
        <v>0.6</v>
      </c>
      <c r="G33" s="1048">
        <f t="shared" ref="G33" ca="1" si="6">ROUND(IF(E2="工业",C33*$M$39,C33*$M$38),0)</f>
        <v>86</v>
      </c>
      <c r="H33" s="1048">
        <f>D33</f>
        <v>0</v>
      </c>
      <c r="I33" s="1048">
        <f ca="1">ROUND(G33*H33/10000,0)</f>
        <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365"/>
      <c r="B34" s="1446" t="s">
        <v>1001</v>
      </c>
      <c r="C34" s="1063">
        <f ca="1">ROUND(D5*C19*C20*C24*F34,0)</f>
        <v>288</v>
      </c>
      <c r="D34" s="1538"/>
      <c r="E34" s="1048">
        <f t="shared" ref="E34:E39" ca="1" si="7">ROUND(C34*D34/10000,0)</f>
        <v>0</v>
      </c>
      <c r="F34" s="1048">
        <f>SUMIF(修正!A45:A56,G2,修正!C45:C56)</f>
        <v>0.3</v>
      </c>
      <c r="G34" s="1048">
        <f ca="1">ROUND(IF(E2="工业",C34*$M$39,C34*$M$38),0)</f>
        <v>43</v>
      </c>
      <c r="H34" s="1048">
        <f t="shared" ref="H34:H39" si="8">D34</f>
        <v>0</v>
      </c>
      <c r="I34" s="1048">
        <f t="shared" ref="I34:I39" ca="1" si="9">ROUND(G34*H34/10000,0)</f>
        <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365"/>
      <c r="B35" s="1446" t="s">
        <v>1002</v>
      </c>
      <c r="C35" s="1063">
        <f ca="1">ROUND(D5*C19*C20*C24*F35,0)</f>
        <v>192</v>
      </c>
      <c r="D35" s="1538"/>
      <c r="E35" s="1048">
        <f t="shared" ca="1" si="7"/>
        <v>0</v>
      </c>
      <c r="F35" s="1048">
        <f>SUMIF(修正!A45:A56,G2,修正!D45:D56)</f>
        <v>0.2</v>
      </c>
      <c r="G35" s="1048">
        <f ca="1">ROUND(IF(E2="工业",C35*$M$39,C35*$M$38),0)</f>
        <v>29</v>
      </c>
      <c r="H35" s="1048">
        <f t="shared" si="8"/>
        <v>0</v>
      </c>
      <c r="I35" s="1048">
        <f t="shared" ca="1" si="9"/>
        <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366"/>
      <c r="B36" s="1446" t="s">
        <v>1003</v>
      </c>
      <c r="C36" s="1063">
        <f ca="1">ROUND(D5*C19*C20*C24*F36,0)</f>
        <v>192</v>
      </c>
      <c r="D36" s="1538"/>
      <c r="E36" s="1048">
        <f t="shared" ca="1" si="7"/>
        <v>0</v>
      </c>
      <c r="F36" s="1048">
        <f>SUMIF(修正!A45:A56,G2,修正!E45:E56)</f>
        <v>0.2</v>
      </c>
      <c r="G36" s="1048">
        <f ca="1">ROUND(IF(E2="工业",C36*$M$39,C36*$M$38),0)</f>
        <v>29</v>
      </c>
      <c r="H36" s="1048">
        <f t="shared" si="8"/>
        <v>0</v>
      </c>
      <c r="I36" s="1048">
        <f t="shared" ca="1" si="9"/>
        <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f ca="1">ROUND(D5*C19*C20*C24*F37,0)</f>
        <v>192</v>
      </c>
      <c r="D37" s="1538"/>
      <c r="E37" s="1048">
        <f t="shared" ca="1" si="7"/>
        <v>0</v>
      </c>
      <c r="F37" s="1063">
        <f>SUMIF(修正!A45:A56,G2,修正!F45:F56)</f>
        <v>0.2</v>
      </c>
      <c r="G37" s="1048">
        <f ca="1">ROUND(IF(E2="工业",C37*$M$39,C37*$M$38),0)</f>
        <v>29</v>
      </c>
      <c r="H37" s="1048">
        <f t="shared" si="8"/>
        <v>0</v>
      </c>
      <c r="I37" s="1048">
        <f t="shared" ca="1" si="9"/>
        <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f ca="1">ROUND(D5*C19*C41*C24*F38,0)</f>
        <v>0</v>
      </c>
      <c r="D38" s="1538"/>
      <c r="E38" s="1048">
        <f t="shared" ca="1" si="7"/>
        <v>0</v>
      </c>
      <c r="F38" s="1063">
        <f>SUMIF(修正!A45:A56,G2,修正!G45:G56)</f>
        <v>0.2</v>
      </c>
      <c r="G38" s="1048">
        <f ca="1">ROUND(IF(E2="工业",C38*$M$39,C38*$M$38),0)</f>
        <v>0</v>
      </c>
      <c r="H38" s="1048">
        <f t="shared" si="8"/>
        <v>0</v>
      </c>
      <c r="I38" s="1048">
        <f t="shared" ca="1" si="9"/>
        <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f ca="1">ROUND(D5*C19*C41*C24*F39,0)</f>
        <v>0</v>
      </c>
      <c r="D39" s="1539"/>
      <c r="E39" s="1051">
        <f t="shared" ca="1" si="7"/>
        <v>0</v>
      </c>
      <c r="F39" s="1065">
        <f>SUMIF(修正!A45:A56,G2,修正!H45:H56)</f>
        <v>0.15</v>
      </c>
      <c r="G39" s="1051">
        <f ca="1">ROUND(IF(E2="工业",C39*$M$39,C39*$M$38),0)</f>
        <v>0</v>
      </c>
      <c r="H39" s="1051">
        <f t="shared" si="8"/>
        <v>0</v>
      </c>
      <c r="I39" s="1051">
        <f t="shared" ca="1" si="9"/>
        <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4" t="s">
        <v>2990</v>
      </c>
      <c r="C41" s="839">
        <f ca="1">ROUND(POWER(1+E41,H41-G41)*(POWER(1+E41,G41)-1)/(POWER(1+E41,H41)-1),4)</f>
        <v>0</v>
      </c>
      <c r="D41" s="378" t="s">
        <v>2988</v>
      </c>
      <c r="E41" s="3173">
        <f ca="1">G20</f>
        <v>4.8000000000000001E-2</v>
      </c>
      <c r="F41" s="378" t="s">
        <v>2989</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2939</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2938</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2940</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2938</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2938</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1.046</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t="s">
        <v>3005</v>
      </c>
      <c r="D80" s="2397">
        <f t="shared" ref="D80:D87" si="25">SUMIF($J$79:$N$79,C80,J80:N80)</f>
        <v>0</v>
      </c>
      <c r="E80" s="2416">
        <f>ROUND(SUM(D80:D87),4)</f>
        <v>4.5999999999999999E-2</v>
      </c>
      <c r="F80" s="2417">
        <f>IF(E2="工业",SUMIF(L1:L12,G2,N1:N12),"——")</f>
        <v>0.13200000000000001</v>
      </c>
      <c r="G80" s="2395">
        <f>H80</f>
        <v>1.7100000000000001E-2</v>
      </c>
      <c r="H80" s="2441">
        <f t="shared" ref="H80:H87" si="26">IFERROR(ROUNDDOWN($F$80*I80/2,4),"——")</f>
        <v>1.7100000000000001E-2</v>
      </c>
      <c r="I80" s="2415">
        <v>0.26</v>
      </c>
      <c r="J80" s="2418">
        <f t="shared" ref="J80:J87" si="27">K80+$G80</f>
        <v>3.4200000000000001E-2</v>
      </c>
      <c r="K80" s="2418">
        <f t="shared" ref="K80:K87" si="28">$L80+$G80</f>
        <v>1.7100000000000001E-2</v>
      </c>
      <c r="L80" s="2418">
        <v>0</v>
      </c>
      <c r="M80" s="2418">
        <f t="shared" ref="M80:N87" si="29">L80-$G80</f>
        <v>-1.7100000000000001E-2</v>
      </c>
      <c r="N80" s="2418">
        <f t="shared" si="29"/>
        <v>-3.4200000000000001E-2</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t="s">
        <v>3004</v>
      </c>
      <c r="D81" s="2397">
        <f t="shared" si="25"/>
        <v>2.1700000000000001E-2</v>
      </c>
      <c r="E81" s="2425"/>
      <c r="F81" s="2426"/>
      <c r="G81" s="2395">
        <f t="shared" ref="G81:G87" si="30">H81</f>
        <v>2.1700000000000001E-2</v>
      </c>
      <c r="H81" s="2441">
        <f t="shared" si="26"/>
        <v>2.1700000000000001E-2</v>
      </c>
      <c r="I81" s="2415">
        <v>0.33</v>
      </c>
      <c r="J81" s="2418">
        <f t="shared" si="27"/>
        <v>4.3400000000000001E-2</v>
      </c>
      <c r="K81" s="2418">
        <f t="shared" si="28"/>
        <v>2.1700000000000001E-2</v>
      </c>
      <c r="L81" s="2418">
        <v>0</v>
      </c>
      <c r="M81" s="2418">
        <f t="shared" si="29"/>
        <v>-2.1700000000000001E-2</v>
      </c>
      <c r="N81" s="2418">
        <f t="shared" si="29"/>
        <v>-4.3400000000000001E-2</v>
      </c>
      <c r="AC81" s="1406"/>
      <c r="AD81" s="1405"/>
      <c r="AJ81" s="1404"/>
      <c r="AN81" s="1405"/>
    </row>
    <row r="82" spans="1:40" ht="24">
      <c r="A82" s="1067" t="s">
        <v>1023</v>
      </c>
      <c r="B82" s="2388">
        <f>估价对象房地状况!G17</f>
        <v>0</v>
      </c>
      <c r="C82" s="1050" t="s">
        <v>3004</v>
      </c>
      <c r="D82" s="2397">
        <f t="shared" si="25"/>
        <v>3.3E-3</v>
      </c>
      <c r="E82" s="2425"/>
      <c r="F82" s="2426"/>
      <c r="G82" s="2395">
        <f t="shared" si="30"/>
        <v>3.3E-3</v>
      </c>
      <c r="H82" s="2441">
        <f t="shared" si="26"/>
        <v>3.3E-3</v>
      </c>
      <c r="I82" s="2415">
        <v>0.05</v>
      </c>
      <c r="J82" s="2418">
        <f t="shared" si="27"/>
        <v>6.6E-3</v>
      </c>
      <c r="K82" s="2418">
        <f t="shared" si="28"/>
        <v>3.3E-3</v>
      </c>
      <c r="L82" s="2418">
        <v>0</v>
      </c>
      <c r="M82" s="2418">
        <f t="shared" si="29"/>
        <v>-3.3E-3</v>
      </c>
      <c r="N82" s="2418">
        <f t="shared" si="29"/>
        <v>-6.6E-3</v>
      </c>
      <c r="AC82" s="1406"/>
      <c r="AD82" s="1405"/>
      <c r="AJ82" s="1404"/>
      <c r="AN82" s="1405"/>
    </row>
    <row r="83" spans="1:40" ht="14.25">
      <c r="A83" s="3177" t="s">
        <v>1035</v>
      </c>
      <c r="B83" s="2388">
        <f>估价对象房地状况!G22</f>
        <v>0</v>
      </c>
      <c r="C83" s="1050" t="s">
        <v>3005</v>
      </c>
      <c r="D83" s="2397">
        <f t="shared" si="25"/>
        <v>0</v>
      </c>
      <c r="E83" s="2425"/>
      <c r="F83" s="2426"/>
      <c r="G83" s="2395">
        <f t="shared" si="30"/>
        <v>2.5999999999999999E-3</v>
      </c>
      <c r="H83" s="2441">
        <f t="shared" si="26"/>
        <v>2.5999999999999999E-3</v>
      </c>
      <c r="I83" s="2415">
        <v>0.04</v>
      </c>
      <c r="J83" s="2418">
        <f t="shared" si="27"/>
        <v>5.1999999999999998E-3</v>
      </c>
      <c r="K83" s="2418">
        <f t="shared" si="28"/>
        <v>2.5999999999999999E-3</v>
      </c>
      <c r="L83" s="2418">
        <v>0</v>
      </c>
      <c r="M83" s="2418">
        <f t="shared" si="29"/>
        <v>-2.5999999999999999E-3</v>
      </c>
      <c r="N83" s="2418">
        <f t="shared" si="29"/>
        <v>-5.1999999999999998E-3</v>
      </c>
      <c r="AC83" s="1406"/>
      <c r="AD83" s="1405"/>
      <c r="AJ83" s="1404"/>
      <c r="AN83" s="1405"/>
    </row>
    <row r="84" spans="1:40" ht="24">
      <c r="A84" s="1067" t="s">
        <v>1027</v>
      </c>
      <c r="B84" s="2389" t="str">
        <f>估价对象房地状况!G19</f>
        <v>估价对象所在区域公共配套设施齐备情况</v>
      </c>
      <c r="C84" s="1050" t="s">
        <v>3004</v>
      </c>
      <c r="D84" s="2397">
        <f t="shared" si="25"/>
        <v>3.8999999999999998E-3</v>
      </c>
      <c r="E84" s="2425"/>
      <c r="F84" s="2426"/>
      <c r="G84" s="2395">
        <f t="shared" si="30"/>
        <v>3.8999999999999998E-3</v>
      </c>
      <c r="H84" s="2441">
        <f t="shared" si="26"/>
        <v>3.8999999999999998E-3</v>
      </c>
      <c r="I84" s="2415">
        <v>0.06</v>
      </c>
      <c r="J84" s="2418">
        <f t="shared" si="27"/>
        <v>7.7999999999999996E-3</v>
      </c>
      <c r="K84" s="2418">
        <f t="shared" si="28"/>
        <v>3.8999999999999998E-3</v>
      </c>
      <c r="L84" s="2418">
        <v>0</v>
      </c>
      <c r="M84" s="2418">
        <f t="shared" si="29"/>
        <v>-3.8999999999999998E-3</v>
      </c>
      <c r="N84" s="2418">
        <f t="shared" si="29"/>
        <v>-7.7999999999999996E-3</v>
      </c>
      <c r="AC84" s="1406"/>
      <c r="AD84" s="1405"/>
      <c r="AJ84" s="1404"/>
      <c r="AN84" s="1405"/>
    </row>
    <row r="85" spans="1:40" ht="24">
      <c r="A85" s="3177" t="s">
        <v>1028</v>
      </c>
      <c r="B85" s="2389" t="str">
        <f>估价对象房地状况!G20</f>
        <v>估价对象所在区域基础设施水平</v>
      </c>
      <c r="C85" s="1050" t="s">
        <v>3004</v>
      </c>
      <c r="D85" s="2397">
        <f t="shared" si="25"/>
        <v>9.9000000000000008E-3</v>
      </c>
      <c r="E85" s="2425"/>
      <c r="F85" s="2426"/>
      <c r="G85" s="2395">
        <f t="shared" si="30"/>
        <v>9.9000000000000008E-3</v>
      </c>
      <c r="H85" s="2441">
        <f t="shared" si="26"/>
        <v>9.9000000000000008E-3</v>
      </c>
      <c r="I85" s="2415">
        <v>0.15</v>
      </c>
      <c r="J85" s="2418">
        <f t="shared" si="27"/>
        <v>1.9800000000000002E-2</v>
      </c>
      <c r="K85" s="2418">
        <f t="shared" si="28"/>
        <v>9.9000000000000008E-3</v>
      </c>
      <c r="L85" s="2418">
        <v>0</v>
      </c>
      <c r="M85" s="2418">
        <f t="shared" si="29"/>
        <v>-9.9000000000000008E-3</v>
      </c>
      <c r="N85" s="2418">
        <f t="shared" si="29"/>
        <v>-1.9800000000000002E-2</v>
      </c>
      <c r="AC85" s="1406"/>
      <c r="AD85" s="1405"/>
      <c r="AJ85" s="1404"/>
      <c r="AN85" s="1405"/>
    </row>
    <row r="86" spans="1:40" ht="24">
      <c r="A86" s="1067" t="s">
        <v>1026</v>
      </c>
      <c r="B86" s="3073" t="s">
        <v>2938</v>
      </c>
      <c r="C86" s="1050" t="s">
        <v>3004</v>
      </c>
      <c r="D86" s="2397">
        <f t="shared" si="25"/>
        <v>3.3E-3</v>
      </c>
      <c r="E86" s="2425"/>
      <c r="F86" s="2426"/>
      <c r="G86" s="2395">
        <f t="shared" si="30"/>
        <v>3.3E-3</v>
      </c>
      <c r="H86" s="2441">
        <f t="shared" si="26"/>
        <v>3.3E-3</v>
      </c>
      <c r="I86" s="2415">
        <v>0.05</v>
      </c>
      <c r="J86" s="2418">
        <f t="shared" si="27"/>
        <v>6.6E-3</v>
      </c>
      <c r="K86" s="2418">
        <f t="shared" si="28"/>
        <v>3.3E-3</v>
      </c>
      <c r="L86" s="2418">
        <v>0</v>
      </c>
      <c r="M86" s="2418">
        <f t="shared" si="29"/>
        <v>-3.3E-3</v>
      </c>
      <c r="N86" s="2418">
        <f t="shared" si="29"/>
        <v>-6.6E-3</v>
      </c>
      <c r="AC86" s="1406"/>
      <c r="AD86" s="1405"/>
      <c r="AJ86" s="1404"/>
      <c r="AN86" s="1405"/>
    </row>
    <row r="87" spans="1:40" ht="36.75" thickBot="1">
      <c r="A87" s="2421" t="s">
        <v>1039</v>
      </c>
      <c r="B87" s="2390" t="str">
        <f>估价对象房地状况!G18</f>
        <v>该园区内是否有污染型企业，绿化情况，卫生条件，整体环境状况判断</v>
      </c>
      <c r="C87" s="1050" t="s">
        <v>3004</v>
      </c>
      <c r="D87" s="2397">
        <f t="shared" si="25"/>
        <v>3.8999999999999998E-3</v>
      </c>
      <c r="E87" s="2427"/>
      <c r="F87" s="2426"/>
      <c r="G87" s="2395">
        <f t="shared" si="30"/>
        <v>3.8999999999999998E-3</v>
      </c>
      <c r="H87" s="2441">
        <f t="shared" si="26"/>
        <v>3.8999999999999998E-3</v>
      </c>
      <c r="I87" s="2422">
        <v>0.06</v>
      </c>
      <c r="J87" s="2418">
        <f t="shared" si="27"/>
        <v>7.7999999999999996E-3</v>
      </c>
      <c r="K87" s="2418">
        <f t="shared" si="28"/>
        <v>3.8999999999999998E-3</v>
      </c>
      <c r="L87" s="2418">
        <v>0</v>
      </c>
      <c r="M87" s="2418">
        <f t="shared" si="29"/>
        <v>-3.8999999999999998E-3</v>
      </c>
      <c r="N87" s="2418">
        <f t="shared" si="29"/>
        <v>-7.7999999999999996E-3</v>
      </c>
      <c r="AC87" s="1406"/>
      <c r="AD87" s="1405"/>
      <c r="AJ87" s="1404"/>
      <c r="AN87" s="1405"/>
    </row>
    <row r="90" spans="1:40">
      <c r="A90" s="3362" t="s">
        <v>1634</v>
      </c>
      <c r="B90" s="3362"/>
      <c r="C90" s="3362"/>
      <c r="D90" s="3362"/>
      <c r="E90" s="3362"/>
      <c r="F90" s="3362"/>
      <c r="G90" s="3362"/>
      <c r="H90" s="3362"/>
      <c r="I90" s="3362"/>
      <c r="J90" s="3362"/>
      <c r="K90" s="2430"/>
      <c r="L90" s="2430"/>
      <c r="M90" s="2430"/>
      <c r="N90" s="2430"/>
    </row>
    <row r="91" spans="1:40">
      <c r="A91" s="3363" t="s">
        <v>1444</v>
      </c>
      <c r="B91" s="3363" t="s">
        <v>1635</v>
      </c>
      <c r="C91" s="1140" t="s">
        <v>1636</v>
      </c>
      <c r="D91" s="1141"/>
      <c r="E91" s="1141"/>
      <c r="F91" s="1141"/>
      <c r="G91" s="1141"/>
      <c r="H91" s="1141"/>
      <c r="I91" s="1141"/>
      <c r="J91" s="1142"/>
      <c r="K91" s="1134"/>
      <c r="L91" s="1134"/>
      <c r="M91" s="1134"/>
      <c r="N91" s="1134"/>
    </row>
    <row r="92" spans="1:40">
      <c r="A92" s="3363"/>
      <c r="B92" s="3363"/>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352"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5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5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5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5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5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53"/>
      <c r="B99" s="1143" t="s">
        <v>1637</v>
      </c>
      <c r="C99" s="1145">
        <f>$I$3</f>
        <v>3</v>
      </c>
      <c r="D99" s="1145">
        <f t="shared" ref="D99:N99" si="31">$I$3</f>
        <v>3</v>
      </c>
      <c r="E99" s="1145">
        <f t="shared" si="31"/>
        <v>3</v>
      </c>
      <c r="F99" s="1145">
        <f t="shared" si="31"/>
        <v>3</v>
      </c>
      <c r="G99" s="1145">
        <f t="shared" si="31"/>
        <v>3</v>
      </c>
      <c r="H99" s="1145">
        <f t="shared" si="31"/>
        <v>3</v>
      </c>
      <c r="I99" s="1145">
        <f t="shared" si="31"/>
        <v>3</v>
      </c>
      <c r="J99" s="1145">
        <f t="shared" si="31"/>
        <v>3</v>
      </c>
      <c r="K99" s="1145">
        <f t="shared" si="31"/>
        <v>3</v>
      </c>
      <c r="L99" s="1145">
        <f t="shared" si="31"/>
        <v>3</v>
      </c>
      <c r="M99" s="1145">
        <f t="shared" si="31"/>
        <v>3</v>
      </c>
      <c r="N99" s="1145">
        <f t="shared" si="31"/>
        <v>3</v>
      </c>
    </row>
    <row r="100" spans="1:14">
      <c r="A100" s="3354"/>
      <c r="B100" s="1143">
        <v>7</v>
      </c>
      <c r="C100" s="1146">
        <f>(-0.163*(C99^2)-0.59*C99+7617)*(10^(-4))</f>
        <v>0.76137630000000001</v>
      </c>
      <c r="D100" s="1146">
        <f>(-0.163*(D99^2)-0.59*D99+7617)*(10^(-4))</f>
        <v>0.76137630000000001</v>
      </c>
      <c r="E100" s="1146">
        <f>(-0.161*(E99^2)-7.509*E99+6533)*(10^(-4))</f>
        <v>0.6509024000000001</v>
      </c>
      <c r="F100" s="1146">
        <f>(-0.161*(F99^2)-7.509*F99+6533)*(10^(-4))</f>
        <v>0.6509024000000001</v>
      </c>
      <c r="G100" s="1146">
        <f>(-0.161*(G99^2)-7.509*G99+6533)*(10^(-4))</f>
        <v>0.6509024000000001</v>
      </c>
      <c r="H100" s="1146">
        <f>(-0.161*(H99^2)-7.509*H99+6533)*(10^(-4))</f>
        <v>0.6509024000000001</v>
      </c>
      <c r="I100" s="1146">
        <f>(-0.161*(I99^2)-7.509*I99+6533)*(10^(-4))</f>
        <v>0.6509024000000001</v>
      </c>
      <c r="J100" s="1146">
        <f>(-0.214*(J99^2)-21.991*J99+4665)*(10^(-4))</f>
        <v>0.45971010000000001</v>
      </c>
      <c r="K100" s="1146">
        <f>(-0.214*(K99^2)-21.991*K99+4665)*(10^(-4))</f>
        <v>0.45971010000000001</v>
      </c>
      <c r="L100" s="1146">
        <f>(-0.214*(L99^2)-21.991*L99+4665)*(10^(-4))</f>
        <v>0.45971010000000001</v>
      </c>
      <c r="M100" s="1146">
        <f>(-0.214*(M99^2)-21.991*M99+4665)*(10^(-4))</f>
        <v>0.45971010000000001</v>
      </c>
      <c r="N100" s="1146">
        <f>(-0.214*(N99^2)-21.991*N99+4665)*(10^(-4))</f>
        <v>0.45971010000000001</v>
      </c>
    </row>
    <row r="101" spans="1:14">
      <c r="A101" s="3352" t="s">
        <v>1638</v>
      </c>
      <c r="B101" s="1147" t="s">
        <v>906</v>
      </c>
      <c r="C101" s="1148">
        <f>$G$3</f>
        <v>0.6</v>
      </c>
      <c r="D101" s="1148">
        <f t="shared" ref="D101:N101" si="32">$G$3</f>
        <v>0.6</v>
      </c>
      <c r="E101" s="1148">
        <f t="shared" si="32"/>
        <v>0.6</v>
      </c>
      <c r="F101" s="1148">
        <f t="shared" si="32"/>
        <v>0.6</v>
      </c>
      <c r="G101" s="1148">
        <f t="shared" si="32"/>
        <v>0.6</v>
      </c>
      <c r="H101" s="1148">
        <f t="shared" si="32"/>
        <v>0.6</v>
      </c>
      <c r="I101" s="1148">
        <f t="shared" si="32"/>
        <v>0.6</v>
      </c>
      <c r="J101" s="1148">
        <f t="shared" si="32"/>
        <v>0.6</v>
      </c>
      <c r="K101" s="1148">
        <f t="shared" si="32"/>
        <v>0.6</v>
      </c>
      <c r="L101" s="1148">
        <f t="shared" si="32"/>
        <v>0.6</v>
      </c>
      <c r="M101" s="1148">
        <f t="shared" si="32"/>
        <v>0.6</v>
      </c>
      <c r="N101" s="1148">
        <f t="shared" si="32"/>
        <v>0.6</v>
      </c>
    </row>
    <row r="102" spans="1:14">
      <c r="A102" s="3353"/>
      <c r="B102" s="1143">
        <v>1</v>
      </c>
      <c r="C102" s="1144">
        <f>1.9362/C101</f>
        <v>3.2269999999999999</v>
      </c>
      <c r="D102" s="1144">
        <f>1.9362/D101</f>
        <v>3.2269999999999999</v>
      </c>
      <c r="E102" s="1144">
        <f>1.8629/E101</f>
        <v>3.1048333333333336</v>
      </c>
      <c r="F102" s="1144">
        <f>1.8629/F101</f>
        <v>3.1048333333333336</v>
      </c>
      <c r="G102" s="1144">
        <f>1.8629/G101</f>
        <v>3.1048333333333336</v>
      </c>
      <c r="H102" s="1144">
        <f>1.8629/H101</f>
        <v>3.1048333333333336</v>
      </c>
      <c r="I102" s="1144">
        <f>1.8629/I101</f>
        <v>3.1048333333333336</v>
      </c>
      <c r="J102" s="1144">
        <f>1.942/J101</f>
        <v>3.2366666666666668</v>
      </c>
      <c r="K102" s="1144">
        <f>1.942/K101</f>
        <v>3.2366666666666668</v>
      </c>
      <c r="L102" s="1144">
        <f>1.942/L101</f>
        <v>3.2366666666666668</v>
      </c>
      <c r="M102" s="1144">
        <f>1.942/M101</f>
        <v>3.2366666666666668</v>
      </c>
      <c r="N102" s="1144">
        <f>1.942/N101</f>
        <v>3.2366666666666668</v>
      </c>
    </row>
    <row r="103" spans="1:14">
      <c r="A103" s="3353"/>
      <c r="B103" s="1143">
        <v>2</v>
      </c>
      <c r="C103" s="1144">
        <f>1.4198/C101</f>
        <v>2.3663333333333334</v>
      </c>
      <c r="D103" s="1144">
        <f>1.4198/D101</f>
        <v>2.3663333333333334</v>
      </c>
      <c r="E103" s="1144">
        <f>1.3372/E101</f>
        <v>2.2286666666666668</v>
      </c>
      <c r="F103" s="1144">
        <f>1.3372/F101</f>
        <v>2.2286666666666668</v>
      </c>
      <c r="G103" s="1144">
        <f>1.3372/G101</f>
        <v>2.2286666666666668</v>
      </c>
      <c r="H103" s="1144">
        <f>1.3372/H101</f>
        <v>2.2286666666666668</v>
      </c>
      <c r="I103" s="1144">
        <f>1.3372/I101</f>
        <v>2.2286666666666668</v>
      </c>
      <c r="J103" s="1144">
        <f>1.2799/J101</f>
        <v>2.1331666666666669</v>
      </c>
      <c r="K103" s="1144">
        <f>1.2799/K101</f>
        <v>2.1331666666666669</v>
      </c>
      <c r="L103" s="1144">
        <f>1.2799/L101</f>
        <v>2.1331666666666669</v>
      </c>
      <c r="M103" s="1144">
        <f>1.2799/M101</f>
        <v>2.1331666666666669</v>
      </c>
      <c r="N103" s="1144">
        <f>1.2799/N101</f>
        <v>2.1331666666666669</v>
      </c>
    </row>
    <row r="104" spans="1:14">
      <c r="A104" s="3353"/>
      <c r="B104" s="1143">
        <v>3</v>
      </c>
      <c r="C104" s="1144">
        <f>1.1594/C101</f>
        <v>1.9323333333333335</v>
      </c>
      <c r="D104" s="1144">
        <f>1.1594/D101</f>
        <v>1.9323333333333335</v>
      </c>
      <c r="E104" s="1144">
        <f>1.0788/E101</f>
        <v>1.798</v>
      </c>
      <c r="F104" s="1144">
        <f>1.0788/F101</f>
        <v>1.798</v>
      </c>
      <c r="G104" s="1144">
        <f>1.0788/G101</f>
        <v>1.798</v>
      </c>
      <c r="H104" s="1144">
        <f>1.0788/H101</f>
        <v>1.798</v>
      </c>
      <c r="I104" s="1144">
        <f>1.0788/I101</f>
        <v>1.798</v>
      </c>
      <c r="J104" s="1144">
        <f>1.0072/J101</f>
        <v>1.678666666666667</v>
      </c>
      <c r="K104" s="1144">
        <f>1.0072/K101</f>
        <v>1.678666666666667</v>
      </c>
      <c r="L104" s="1144">
        <f>1.0072/L101</f>
        <v>1.678666666666667</v>
      </c>
      <c r="M104" s="1144">
        <f>1.0072/M101</f>
        <v>1.678666666666667</v>
      </c>
      <c r="N104" s="1144">
        <f>1.0072/N101</f>
        <v>1.678666666666667</v>
      </c>
    </row>
    <row r="105" spans="1:14">
      <c r="A105" s="3353"/>
      <c r="B105" s="1143">
        <v>4</v>
      </c>
      <c r="C105" s="1144">
        <f>0.9622/C101</f>
        <v>1.6036666666666668</v>
      </c>
      <c r="D105" s="1144">
        <f>0.9622/D101</f>
        <v>1.6036666666666668</v>
      </c>
      <c r="E105" s="1144">
        <f>0.8656/E101</f>
        <v>1.4426666666666668</v>
      </c>
      <c r="F105" s="1144">
        <f>0.8656/F101</f>
        <v>1.4426666666666668</v>
      </c>
      <c r="G105" s="1144">
        <f>0.8656/G101</f>
        <v>1.4426666666666668</v>
      </c>
      <c r="H105" s="1144">
        <f>0.8656/H101</f>
        <v>1.4426666666666668</v>
      </c>
      <c r="I105" s="1144">
        <f>0.8656/I101</f>
        <v>1.4426666666666668</v>
      </c>
      <c r="J105" s="1144">
        <f>0.7525/J101</f>
        <v>1.2541666666666667</v>
      </c>
      <c r="K105" s="1144">
        <f>0.7525/K101</f>
        <v>1.2541666666666667</v>
      </c>
      <c r="L105" s="1144">
        <f>0.7525/L101</f>
        <v>1.2541666666666667</v>
      </c>
      <c r="M105" s="1144">
        <f>0.7525/M101</f>
        <v>1.2541666666666667</v>
      </c>
      <c r="N105" s="1144">
        <f>0.7525/N101</f>
        <v>1.2541666666666667</v>
      </c>
    </row>
    <row r="106" spans="1:14">
      <c r="A106" s="3353"/>
      <c r="B106" s="1143">
        <v>5</v>
      </c>
      <c r="C106" s="1144">
        <f>0.8417/C101</f>
        <v>1.4028333333333334</v>
      </c>
      <c r="D106" s="1144">
        <f>0.8417/D101</f>
        <v>1.4028333333333334</v>
      </c>
      <c r="E106" s="1144">
        <f>0.7371/E101</f>
        <v>1.2284999999999999</v>
      </c>
      <c r="F106" s="1144">
        <f>0.7371/F101</f>
        <v>1.2284999999999999</v>
      </c>
      <c r="G106" s="1144">
        <f>0.7371/G101</f>
        <v>1.2284999999999999</v>
      </c>
      <c r="H106" s="1144">
        <f>0.7371/H101</f>
        <v>1.2284999999999999</v>
      </c>
      <c r="I106" s="1144">
        <f>0.7371/I101</f>
        <v>1.2284999999999999</v>
      </c>
      <c r="J106" s="1144">
        <f>0.5659/J101</f>
        <v>0.9431666666666666</v>
      </c>
      <c r="K106" s="1144">
        <f>0.5659/K101</f>
        <v>0.9431666666666666</v>
      </c>
      <c r="L106" s="1144">
        <f>0.5659/L101</f>
        <v>0.9431666666666666</v>
      </c>
      <c r="M106" s="1144">
        <f>0.5659/M101</f>
        <v>0.9431666666666666</v>
      </c>
      <c r="N106" s="1144">
        <f>0.5659/N101</f>
        <v>0.9431666666666666</v>
      </c>
    </row>
    <row r="107" spans="1:14">
      <c r="A107" s="3353"/>
      <c r="B107" s="1143">
        <v>6</v>
      </c>
      <c r="C107" s="1144">
        <f>0.7608/C101</f>
        <v>1.268</v>
      </c>
      <c r="D107" s="1144">
        <f>0.7608/D101</f>
        <v>1.268</v>
      </c>
      <c r="E107" s="1144">
        <f>0.6482/E101</f>
        <v>1.0803333333333334</v>
      </c>
      <c r="F107" s="1144">
        <f>0.6482/F101</f>
        <v>1.0803333333333334</v>
      </c>
      <c r="G107" s="1144">
        <f>0.6482/G101</f>
        <v>1.0803333333333334</v>
      </c>
      <c r="H107" s="1144">
        <f>0.6482/H101</f>
        <v>1.0803333333333334</v>
      </c>
      <c r="I107" s="1144">
        <f>0.6482/I101</f>
        <v>1.0803333333333334</v>
      </c>
      <c r="J107" s="1144">
        <f>0.4525/J101</f>
        <v>0.75416666666666676</v>
      </c>
      <c r="K107" s="1144">
        <f>0.4525/K101</f>
        <v>0.75416666666666676</v>
      </c>
      <c r="L107" s="1144">
        <f>0.4525/L101</f>
        <v>0.75416666666666676</v>
      </c>
      <c r="M107" s="1144">
        <f>0.4525/M101</f>
        <v>0.75416666666666676</v>
      </c>
      <c r="N107" s="1144">
        <f>0.4525/N101</f>
        <v>0.75416666666666676</v>
      </c>
    </row>
    <row r="108" spans="1:14">
      <c r="A108" s="3353"/>
      <c r="B108" s="3355" t="s">
        <v>1639</v>
      </c>
      <c r="C108" s="1145">
        <f>C99</f>
        <v>3</v>
      </c>
      <c r="D108" s="1145">
        <f t="shared" ref="D108:N108" si="33">D99</f>
        <v>3</v>
      </c>
      <c r="E108" s="1145">
        <f t="shared" si="33"/>
        <v>3</v>
      </c>
      <c r="F108" s="1145">
        <f t="shared" si="33"/>
        <v>3</v>
      </c>
      <c r="G108" s="1145">
        <f t="shared" si="33"/>
        <v>3</v>
      </c>
      <c r="H108" s="1145">
        <f t="shared" si="33"/>
        <v>3</v>
      </c>
      <c r="I108" s="1145">
        <f t="shared" si="33"/>
        <v>3</v>
      </c>
      <c r="J108" s="1145">
        <f t="shared" si="33"/>
        <v>3</v>
      </c>
      <c r="K108" s="1145">
        <f t="shared" si="33"/>
        <v>3</v>
      </c>
      <c r="L108" s="1145">
        <f t="shared" si="33"/>
        <v>3</v>
      </c>
      <c r="M108" s="1145">
        <f t="shared" si="33"/>
        <v>3</v>
      </c>
      <c r="N108" s="1145">
        <f t="shared" si="33"/>
        <v>3</v>
      </c>
    </row>
    <row r="109" spans="1:14">
      <c r="A109" s="3354"/>
      <c r="B109" s="3356"/>
      <c r="C109" s="1146">
        <f>(-0.163*(C108^2)-0.59*C108+7617)*(10^(-4))/C101</f>
        <v>1.2689605000000002</v>
      </c>
      <c r="D109" s="1146">
        <f>(-0.163*(D108^2)-0.59*D108+7617)*(10^(-4))/D101</f>
        <v>1.2689605000000002</v>
      </c>
      <c r="E109" s="1146">
        <f>(-0.161*(E108^2)-7.509*E108+6533)*(10^(-4))/E101</f>
        <v>1.0848373333333337</v>
      </c>
      <c r="F109" s="1146">
        <f>(-0.161*(F108^2)-7.509*F108+6533)*(10^(-4))/F101</f>
        <v>1.0848373333333337</v>
      </c>
      <c r="G109" s="1146">
        <f>(-0.161*(G108^2)-7.509*G108+6533)*(10^(-4))/G101</f>
        <v>1.0848373333333337</v>
      </c>
      <c r="H109" s="1146">
        <f>(-0.161*(H108^2)-7.509*H108+6533)*(10^(-4))/H101</f>
        <v>1.0848373333333337</v>
      </c>
      <c r="I109" s="1146">
        <f>(-0.161*(I108^2)-7.509*I108+6533)*(10^(-4))/I101</f>
        <v>1.0848373333333337</v>
      </c>
      <c r="J109" s="1146">
        <f>(-0.214*(J108^2)-21.991*J108+4665)*(10^(-4))/J101</f>
        <v>0.76618350000000002</v>
      </c>
      <c r="K109" s="1146">
        <f>(-0.214*(K108^2)-21.991*K108+4665)*(10^(-4))/K101</f>
        <v>0.76618350000000002</v>
      </c>
      <c r="L109" s="1146">
        <f>(-0.214*(L108^2)-21.991*L108+4665)*(10^(-4))/L101</f>
        <v>0.76618350000000002</v>
      </c>
      <c r="M109" s="1146">
        <f>(-0.214*(M108^2)-21.991*M108+4665)*(10^(-4))/M101</f>
        <v>0.76618350000000002</v>
      </c>
      <c r="N109" s="1146">
        <f>(-0.214*(N108^2)-21.991*N108+4665)*(10^(-4))/N101</f>
        <v>0.76618350000000002</v>
      </c>
    </row>
    <row r="110" spans="1:14">
      <c r="A110" s="3357" t="s">
        <v>1640</v>
      </c>
      <c r="B110" s="3357"/>
      <c r="C110" s="3357"/>
      <c r="D110" s="3357"/>
      <c r="E110" s="3357"/>
      <c r="F110" s="3357"/>
      <c r="G110" s="3357"/>
      <c r="H110" s="3357"/>
      <c r="I110" s="3357"/>
      <c r="J110" s="3357"/>
      <c r="K110" s="2428"/>
      <c r="L110" s="2428"/>
      <c r="M110" s="2428"/>
      <c r="N110" s="2428"/>
    </row>
    <row r="112" spans="1:14" ht="12.75" thickBot="1"/>
    <row r="113" spans="1:13" ht="25.5" thickBot="1">
      <c r="A113" s="1016" t="s">
        <v>896</v>
      </c>
      <c r="B113" s="2431">
        <f>G3</f>
        <v>0.6</v>
      </c>
      <c r="C113" s="1017" t="s">
        <v>897</v>
      </c>
      <c r="D113" s="1018">
        <f>SUMPRODUCT((A115:A118=F113)*(B114:M114=H113)*B115:M118)</f>
        <v>0.5585</v>
      </c>
      <c r="E113" s="1019" t="s">
        <v>898</v>
      </c>
      <c r="F113" s="1020" t="str">
        <f>E2</f>
        <v>工业</v>
      </c>
      <c r="G113" s="1019" t="s">
        <v>899</v>
      </c>
      <c r="H113" s="1020" t="str">
        <f>G2</f>
        <v>九级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0.92789999999999995</v>
      </c>
      <c r="C115" s="1030">
        <f>B115</f>
        <v>0.92789999999999995</v>
      </c>
      <c r="D115" s="1030">
        <f>ROUND(0.8331-0.0109*B113,4)</f>
        <v>0.8266</v>
      </c>
      <c r="E115" s="1030">
        <f>D115</f>
        <v>0.8266</v>
      </c>
      <c r="F115" s="1030">
        <f>E115</f>
        <v>0.8266</v>
      </c>
      <c r="G115" s="1030">
        <f>F115</f>
        <v>0.8266</v>
      </c>
      <c r="H115" s="1030">
        <f>G115</f>
        <v>0.8266</v>
      </c>
      <c r="I115" s="1030">
        <f>ROUND(0.689-0.0155*B113,4)</f>
        <v>0.67969999999999997</v>
      </c>
      <c r="J115" s="1030">
        <f t="shared" ref="J115:M118" si="34">I115</f>
        <v>0.67969999999999997</v>
      </c>
      <c r="K115" s="1030">
        <f t="shared" si="34"/>
        <v>0.67969999999999997</v>
      </c>
      <c r="L115" s="1030">
        <f t="shared" si="34"/>
        <v>0.67969999999999997</v>
      </c>
      <c r="M115" s="1031">
        <f t="shared" si="34"/>
        <v>0.67969999999999997</v>
      </c>
    </row>
    <row r="116" spans="1:13" ht="12.75">
      <c r="A116" s="1029" t="s">
        <v>901</v>
      </c>
      <c r="B116" s="1030">
        <f>ROUND(0.949-0.012*B113,4)</f>
        <v>0.94179999999999997</v>
      </c>
      <c r="C116" s="1030">
        <f>B116</f>
        <v>0.94179999999999997</v>
      </c>
      <c r="D116" s="1030">
        <f>ROUND(0.8567-0.013*B113,4)</f>
        <v>0.84889999999999999</v>
      </c>
      <c r="E116" s="1030">
        <f t="shared" ref="E116:H117" si="35">D116</f>
        <v>0.84889999999999999</v>
      </c>
      <c r="F116" s="1030">
        <f t="shared" si="35"/>
        <v>0.84889999999999999</v>
      </c>
      <c r="G116" s="1030">
        <f t="shared" si="35"/>
        <v>0.84889999999999999</v>
      </c>
      <c r="H116" s="1030">
        <f t="shared" si="35"/>
        <v>0.84889999999999999</v>
      </c>
      <c r="I116" s="1030">
        <f>ROUND(0.7694-0.014*B113,4)</f>
        <v>0.76100000000000001</v>
      </c>
      <c r="J116" s="1030">
        <f t="shared" si="34"/>
        <v>0.76100000000000001</v>
      </c>
      <c r="K116" s="1030">
        <f t="shared" si="34"/>
        <v>0.76100000000000001</v>
      </c>
      <c r="L116" s="1030">
        <f t="shared" si="34"/>
        <v>0.76100000000000001</v>
      </c>
      <c r="M116" s="1031">
        <f t="shared" si="34"/>
        <v>0.76100000000000001</v>
      </c>
    </row>
    <row r="117" spans="1:13" ht="12.75">
      <c r="A117" s="1032" t="s">
        <v>902</v>
      </c>
      <c r="B117" s="1030">
        <f>ROUND(0.8808-0.006*B113,4)</f>
        <v>0.87719999999999998</v>
      </c>
      <c r="C117" s="1030">
        <f>B117</f>
        <v>0.87719999999999998</v>
      </c>
      <c r="D117" s="1030">
        <f>ROUND(0.8748-0.008*B113,4)</f>
        <v>0.87</v>
      </c>
      <c r="E117" s="1030">
        <f t="shared" si="35"/>
        <v>0.87</v>
      </c>
      <c r="F117" s="1030">
        <f t="shared" si="35"/>
        <v>0.87</v>
      </c>
      <c r="G117" s="1030">
        <f t="shared" si="35"/>
        <v>0.87</v>
      </c>
      <c r="H117" s="1030">
        <f t="shared" si="35"/>
        <v>0.87</v>
      </c>
      <c r="I117" s="1030">
        <f>ROUND(0.7412-0.0095*B113,4)</f>
        <v>0.73550000000000004</v>
      </c>
      <c r="J117" s="1030">
        <f t="shared" si="34"/>
        <v>0.73550000000000004</v>
      </c>
      <c r="K117" s="1030">
        <f t="shared" si="34"/>
        <v>0.73550000000000004</v>
      </c>
      <c r="L117" s="1030">
        <f t="shared" si="34"/>
        <v>0.73550000000000004</v>
      </c>
      <c r="M117" s="1031">
        <f t="shared" si="34"/>
        <v>0.73550000000000004</v>
      </c>
    </row>
    <row r="118" spans="1:13" ht="13.5" thickBot="1">
      <c r="A118" s="1033" t="s">
        <v>903</v>
      </c>
      <c r="B118" s="1034">
        <f>ROUND(0.7275-0.01*B113,4)</f>
        <v>0.72150000000000003</v>
      </c>
      <c r="C118" s="1034">
        <f>B118</f>
        <v>0.72150000000000003</v>
      </c>
      <c r="D118" s="1034">
        <f>ROUND(0.7043-0.012*B113,4)</f>
        <v>0.69710000000000005</v>
      </c>
      <c r="E118" s="1034">
        <f>D118</f>
        <v>0.69710000000000005</v>
      </c>
      <c r="F118" s="1034">
        <f>E118</f>
        <v>0.69710000000000005</v>
      </c>
      <c r="G118" s="1034">
        <f>ROUND(0.6299-0.0122*B113,4)</f>
        <v>0.62260000000000004</v>
      </c>
      <c r="H118" s="1034">
        <f>G118</f>
        <v>0.62260000000000004</v>
      </c>
      <c r="I118" s="1034">
        <f>ROUND(0.5667-0.0136*B113,4)</f>
        <v>0.5585</v>
      </c>
      <c r="J118" s="1034">
        <f t="shared" si="34"/>
        <v>0.5585</v>
      </c>
      <c r="K118" s="1034">
        <f t="shared" si="34"/>
        <v>0.5585</v>
      </c>
      <c r="L118" s="1034">
        <f t="shared" si="34"/>
        <v>0.5585</v>
      </c>
      <c r="M118" s="1035">
        <f t="shared" si="34"/>
        <v>0.5585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7" sqref="C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7</v>
      </c>
    </row>
    <row r="2" spans="1:31" s="2042" customFormat="1" ht="18" customHeight="1">
      <c r="A2" s="2102" t="s">
        <v>467</v>
      </c>
      <c r="B2" s="2106">
        <f ca="1">C36</f>
        <v>3210</v>
      </c>
      <c r="C2" s="2105"/>
      <c r="D2" s="2105"/>
      <c r="E2" s="2105"/>
      <c r="F2" s="2105"/>
      <c r="G2" s="2105"/>
      <c r="H2" s="2105"/>
      <c r="I2" s="2105"/>
      <c r="J2" s="2105"/>
      <c r="K2" s="2105"/>
    </row>
    <row r="3" spans="1:31" s="2042" customFormat="1" ht="18" customHeight="1">
      <c r="A3" s="2107" t="s">
        <v>1685</v>
      </c>
      <c r="B3" s="2108">
        <f ca="1">ROUND(B2*10000/IF(B1="",'数据-汇总表'!E3,INDIRECT("'数据-取费表'!K"&amp;$K$1)),0)</f>
        <v>444</v>
      </c>
      <c r="C3" s="2105"/>
      <c r="D3" s="2105"/>
      <c r="E3" s="2105"/>
      <c r="F3" s="2105"/>
      <c r="G3" s="2105"/>
      <c r="H3" s="2105"/>
      <c r="I3" s="2105"/>
      <c r="J3" s="2105"/>
      <c r="K3" s="2105"/>
    </row>
    <row r="4" spans="1:31" s="2042" customFormat="1" ht="18" customHeight="1">
      <c r="A4" s="426" t="s">
        <v>468</v>
      </c>
      <c r="B4" s="427">
        <f ca="1">ROUND(B2*10000/IF(B1="",'数据-汇总表'!D3,INDIRECT("'数据-取费表'!R"&amp;$K$1)),0)</f>
        <v>267</v>
      </c>
      <c r="C4" s="428"/>
      <c r="D4" s="422"/>
      <c r="E4" s="422"/>
      <c r="F4" s="422"/>
      <c r="G4" s="422"/>
      <c r="H4" s="422"/>
      <c r="I4" s="422"/>
      <c r="J4" s="422"/>
      <c r="K4" s="422"/>
    </row>
    <row r="5" spans="1:31" s="2042" customFormat="1" ht="18" customHeight="1" thickBot="1">
      <c r="A5" s="429"/>
      <c r="B5" s="430">
        <f ca="1">ROUND(B2/(IF(B1="",'数据-汇总表'!D3,INDIRECT("'数据-取费表'!R"&amp;$K$1))/666.67),0)</f>
        <v>18</v>
      </c>
      <c r="C5" s="431" t="s">
        <v>469</v>
      </c>
      <c r="D5" s="422"/>
      <c r="E5" s="422"/>
      <c r="F5" s="422"/>
      <c r="G5" s="422"/>
      <c r="H5" s="422"/>
      <c r="I5" s="422"/>
      <c r="J5" s="422"/>
      <c r="K5" s="422"/>
    </row>
    <row r="6" spans="1:31" s="2112" customFormat="1" ht="16.5" customHeight="1">
      <c r="A6" s="2807" t="s">
        <v>1843</v>
      </c>
      <c r="B6" s="2808"/>
      <c r="C6" s="2809">
        <f ca="1">SUM(C10:K10)</f>
        <v>27473</v>
      </c>
      <c r="D6" s="2808"/>
      <c r="E6" s="2808"/>
      <c r="F6" s="2808"/>
      <c r="G6" s="2808"/>
      <c r="H6" s="2808"/>
      <c r="I6" s="2808"/>
      <c r="J6" s="2808"/>
      <c r="K6" s="2810"/>
    </row>
    <row r="7" spans="1:31" s="2114" customFormat="1" ht="15">
      <c r="A7" s="2811" t="s">
        <v>470</v>
      </c>
      <c r="B7" s="2812" t="s">
        <v>471</v>
      </c>
      <c r="C7" s="436" t="s">
        <v>3033</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不动产收益法!B3</f>
        <v>3804</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72217.899999999994</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不动产收益法!B2</f>
        <v>27473</v>
      </c>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15888</v>
      </c>
      <c r="D13" s="2823"/>
      <c r="E13" s="2824"/>
      <c r="F13" s="2825"/>
      <c r="G13" s="2791"/>
      <c r="H13" s="2792"/>
      <c r="I13" s="2792"/>
      <c r="J13" s="2792"/>
      <c r="K13" s="2793"/>
    </row>
    <row r="14" spans="1:31" s="2117" customFormat="1" ht="13.5" customHeight="1">
      <c r="A14" s="2821" t="s">
        <v>1850</v>
      </c>
      <c r="B14" s="2822" t="s">
        <v>480</v>
      </c>
      <c r="C14" s="53">
        <f ca="1">ROUND(C13*F14,0)</f>
        <v>477</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v>
      </c>
      <c r="G15" s="2791" t="s">
        <v>483</v>
      </c>
      <c r="H15" s="2792"/>
      <c r="I15" s="2792"/>
      <c r="J15" s="2792"/>
      <c r="K15" s="2793"/>
    </row>
    <row r="16" spans="1:31" s="2118" customFormat="1" ht="13.5" customHeight="1">
      <c r="A16" s="2821" t="s">
        <v>1852</v>
      </c>
      <c r="B16" s="2822" t="s">
        <v>484</v>
      </c>
      <c r="C16" s="53">
        <f ca="1">ROUND(D16*E16/10000,0)</f>
        <v>1083</v>
      </c>
      <c r="D16" s="2823">
        <f ca="1">IF(B1="",'数据-汇总表'!E3,INDIRECT("'数据-取费表'!K"&amp;$K$1)+INDIRECT("'数据-取费表'!S"&amp;$K$1))</f>
        <v>72217.899999999994</v>
      </c>
      <c r="E16" s="53">
        <f>'数据-取费表'!B35</f>
        <v>150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238</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17686</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72217.899999999994</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1228</v>
      </c>
      <c r="D20" s="2833"/>
      <c r="E20" s="2787"/>
      <c r="F20" s="2834"/>
      <c r="G20" s="3065"/>
      <c r="H20" s="2789"/>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0</v>
      </c>
      <c r="F21" s="2826"/>
      <c r="G21" s="26"/>
      <c r="H21" s="51"/>
      <c r="I21" s="51"/>
      <c r="J21" s="51"/>
      <c r="K21" s="2798"/>
    </row>
    <row r="22" spans="1:14" s="2117" customFormat="1" ht="13.5" customHeight="1">
      <c r="A22" s="2821" t="s">
        <v>1858</v>
      </c>
      <c r="B22" s="2822" t="s">
        <v>492</v>
      </c>
      <c r="C22" s="53">
        <f ca="1">ROUND(D22*E22/10000,0)</f>
        <v>1228</v>
      </c>
      <c r="D22" s="2823">
        <f ca="1">IF(B1="",'数据-汇总表'!E6,IF(INDIRECT("'数据-取费表'!c"&amp;$K$1)="住宅",INDIRECT("'数据-取费表'!s"&amp;$K$1),INDIRECT("'数据-取费表'!k"&amp;$K$1)+INDIRECT("'数据-取费表'!s"&amp;$K$1)))</f>
        <v>72217.899999999994</v>
      </c>
      <c r="E22" s="53">
        <f>'数据-取费表'!B28</f>
        <v>170</v>
      </c>
      <c r="F22" s="2826"/>
      <c r="G22" s="26"/>
      <c r="H22" s="51"/>
      <c r="I22" s="51"/>
      <c r="J22" s="51"/>
      <c r="K22" s="2798"/>
    </row>
    <row r="23" spans="1:14" s="2117" customFormat="1" ht="13.5" customHeight="1">
      <c r="A23" s="2829" t="s">
        <v>1859</v>
      </c>
      <c r="B23" s="3011" t="s">
        <v>2834</v>
      </c>
      <c r="C23" s="2831">
        <f ca="1">ROUND((C18+C19+C20)*F23,0)</f>
        <v>378</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2837</v>
      </c>
      <c r="C24" s="2831">
        <f ca="1">ROUND(C6*F24,0)</f>
        <v>549</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1" t="s">
        <v>2835</v>
      </c>
      <c r="C25" s="467">
        <f>ROUND(F25/(1+'数据-取费表'!C42),4)</f>
        <v>2.9000000000000001E-2</v>
      </c>
      <c r="D25" s="462" t="s">
        <v>2829</v>
      </c>
      <c r="E25" s="469"/>
      <c r="F25" s="2835">
        <f>'数据-取费表'!B48+'数据-取费表'!B49</f>
        <v>3.0499999999999999E-2</v>
      </c>
      <c r="G25" s="2799" t="s">
        <v>2290</v>
      </c>
      <c r="H25" s="2792"/>
      <c r="I25" s="2792"/>
      <c r="J25" s="2792"/>
      <c r="K25" s="2793"/>
    </row>
    <row r="26" spans="1:14" s="2119" customFormat="1" ht="13.5" customHeight="1">
      <c r="A26" s="2829" t="s">
        <v>1862</v>
      </c>
      <c r="B26" s="3012" t="s">
        <v>2836</v>
      </c>
      <c r="C26" s="2836">
        <f ca="1">C28</f>
        <v>432</v>
      </c>
      <c r="D26" s="467">
        <f ca="1">C27</f>
        <v>4.48E-2</v>
      </c>
      <c r="E26" s="469" t="s">
        <v>495</v>
      </c>
      <c r="F26" s="471">
        <f ca="1">'数据-取费表'!B40</f>
        <v>4.3499999999999997E-2</v>
      </c>
      <c r="G26" s="2552" t="str">
        <f>IF('数据-取费表'!B22&lt;=1,"单利计息。","复利计息。")&amp;"后续开发成本、管理费用及销售费用产生的利息。"</f>
        <v>单利计息。后续开发成本、管理费用及销售费用产生的利息。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4.48E-2</v>
      </c>
      <c r="D27" s="472"/>
      <c r="E27" s="473"/>
      <c r="F27" s="474"/>
      <c r="G27" s="2552" t="str">
        <f>IF('数据-取费表'!B22&lt;=1,"（1+取得税费率/(1+5%)）×年利率×建设期","（1+取得税费率）/(1+5%)×((1+年利率)^建设期-1)")</f>
        <v>（1+取得税费率/(1+5%)）×年利率×建设期</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432</v>
      </c>
      <c r="D28" s="472"/>
      <c r="E28" s="473"/>
      <c r="F28" s="474"/>
      <c r="G28" s="2552" t="str">
        <f>IF('数据-取费表'!B22&lt;=1,"（1）-（4）项×年利率×建设期÷2","（1）-（4）项×((1+年利率)^(建设期÷2)-1)")</f>
        <v>（1）-（4）项×年利率×建设期÷2</v>
      </c>
      <c r="H28" s="2794"/>
      <c r="I28" s="2794"/>
      <c r="J28" s="2794"/>
      <c r="K28" s="279"/>
    </row>
    <row r="29" spans="1:14" s="2121" customFormat="1" ht="13.5" customHeight="1">
      <c r="A29" s="2840" t="s">
        <v>1863</v>
      </c>
      <c r="B29" s="2830" t="s">
        <v>497</v>
      </c>
      <c r="C29" s="2831">
        <f ca="1">ROUND(C6*F29/(1+'数据-取费表'!C42),0)</f>
        <v>1439</v>
      </c>
      <c r="D29" s="468"/>
      <c r="E29" s="468"/>
      <c r="F29" s="3013">
        <f>'数据-取费表'!B41</f>
        <v>5.5000000000000007E-2</v>
      </c>
      <c r="G29" s="2800" t="s">
        <v>498</v>
      </c>
      <c r="H29" s="2792"/>
      <c r="I29" s="2792"/>
      <c r="J29" s="2792"/>
      <c r="K29" s="2793"/>
    </row>
    <row r="30" spans="1:14" s="2122" customFormat="1" ht="13.5" customHeight="1">
      <c r="A30" s="1636" t="s">
        <v>1864</v>
      </c>
      <c r="B30" s="2841" t="s">
        <v>500</v>
      </c>
      <c r="C30" s="2836">
        <f ca="1">C31</f>
        <v>21712</v>
      </c>
      <c r="D30" s="477">
        <f ca="1">C32</f>
        <v>7.3800000000000004E-2</v>
      </c>
      <c r="E30" s="469" t="s">
        <v>495</v>
      </c>
      <c r="F30" s="471"/>
      <c r="G30" s="2799" t="s">
        <v>2974</v>
      </c>
      <c r="H30" s="2792"/>
      <c r="I30" s="2792"/>
      <c r="J30" s="2792"/>
      <c r="K30" s="2793"/>
    </row>
    <row r="31" spans="1:14" s="2121" customFormat="1" ht="13.5" customHeight="1">
      <c r="A31" s="803" t="s">
        <v>1857</v>
      </c>
      <c r="B31" s="2837"/>
      <c r="C31" s="450">
        <f ca="1">C18+C19+C20+C23+C24+C26+C29</f>
        <v>21712</v>
      </c>
      <c r="D31" s="472"/>
      <c r="E31" s="473"/>
      <c r="F31" s="474"/>
      <c r="G31" s="261"/>
      <c r="H31" s="2794"/>
      <c r="I31" s="2794"/>
      <c r="J31" s="2794"/>
      <c r="K31" s="279"/>
    </row>
    <row r="32" spans="1:14" s="2121" customFormat="1" ht="13.5" customHeight="1">
      <c r="A32" s="803" t="s">
        <v>1858</v>
      </c>
      <c r="B32" s="2837"/>
      <c r="C32" s="53">
        <f ca="1">ROUND(C25+D26,4)</f>
        <v>7.3800000000000004E-2</v>
      </c>
      <c r="D32" s="472"/>
      <c r="E32" s="473"/>
      <c r="F32" s="474"/>
      <c r="G32" s="261"/>
      <c r="H32" s="2794"/>
      <c r="I32" s="2794"/>
      <c r="J32" s="2794"/>
      <c r="K32" s="279"/>
    </row>
    <row r="33" spans="1:11" s="2123" customFormat="1" ht="13.5" customHeight="1">
      <c r="A33" s="3010" t="s">
        <v>2833</v>
      </c>
      <c r="B33" s="3008" t="s">
        <v>2831</v>
      </c>
      <c r="C33" s="478">
        <f ca="1">C35</f>
        <v>1984</v>
      </c>
      <c r="D33" s="467">
        <f ca="1">C34</f>
        <v>0.10290000000000001</v>
      </c>
      <c r="E33" s="469" t="s">
        <v>495</v>
      </c>
      <c r="F33" s="479">
        <f ca="1">IF(B1="",'数据-取费表'!Q16,INDIRECT("'数据-取费表'!q"&amp;$K$1))</f>
        <v>0.1</v>
      </c>
      <c r="G33" s="2795"/>
      <c r="H33" s="2796"/>
      <c r="I33" s="2796"/>
      <c r="J33" s="2796"/>
      <c r="K33" s="2797"/>
    </row>
    <row r="34" spans="1:11" s="2124" customFormat="1" ht="13.5" customHeight="1">
      <c r="A34" s="375" t="s">
        <v>1857</v>
      </c>
      <c r="B34" s="2842" t="s">
        <v>501</v>
      </c>
      <c r="C34" s="472">
        <f ca="1">ROUND((1+C25)*F33,4)</f>
        <v>0.10290000000000001</v>
      </c>
      <c r="D34" s="472"/>
      <c r="E34" s="473"/>
      <c r="F34" s="480"/>
      <c r="G34" s="261" t="s">
        <v>2291</v>
      </c>
      <c r="H34" s="2794"/>
      <c r="I34" s="2794"/>
      <c r="J34" s="2794"/>
      <c r="K34" s="279"/>
    </row>
    <row r="35" spans="1:11" s="2124" customFormat="1" ht="13.5" customHeight="1" thickBot="1">
      <c r="A35" s="1637" t="s">
        <v>1858</v>
      </c>
      <c r="B35" s="3009" t="s">
        <v>2839</v>
      </c>
      <c r="C35" s="1629">
        <f ca="1">ROUND((C18+C19+C20+C23+C24)*F33,0)</f>
        <v>1984</v>
      </c>
      <c r="D35" s="1630"/>
      <c r="E35" s="2843"/>
      <c r="F35" s="1631"/>
      <c r="G35" s="2801"/>
      <c r="H35" s="2802"/>
      <c r="I35" s="2802"/>
      <c r="J35" s="2802"/>
      <c r="K35" s="2803"/>
    </row>
    <row r="36" spans="1:11" s="2086" customFormat="1" ht="13.5" customHeight="1" thickBot="1">
      <c r="A36" s="284" t="s">
        <v>1845</v>
      </c>
      <c r="B36" s="2805"/>
      <c r="C36" s="2844">
        <f ca="1">ROUND((C6-C30-C33)/(1+D30+D33),0)</f>
        <v>3210</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0" t="str">
        <f>项目基本情况!B1</f>
        <v>北京市通州区靛庄村一区16号院3号楼1至3层101出让国有建设用地使用权抵押价格预评估</v>
      </c>
      <c r="C37" s="3180"/>
      <c r="D37" s="3180"/>
      <c r="E37" s="3180"/>
      <c r="F37" s="3180"/>
      <c r="G37" s="3180"/>
      <c r="H37" s="3180"/>
      <c r="I37" s="3180"/>
    </row>
    <row r="38" spans="1:9">
      <c r="A38" s="1657"/>
      <c r="B38" s="1657"/>
    </row>
    <row r="39" spans="1:9">
      <c r="A39" s="1655" t="s">
        <v>1902</v>
      </c>
      <c r="B39" s="1655" t="s">
        <v>2047</v>
      </c>
    </row>
    <row r="40" spans="1:9">
      <c r="A40" s="1655"/>
      <c r="B40" s="1655" t="str">
        <f>项目基本情况!B5</f>
        <v>工商银行通州支行</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15888</v>
      </c>
      <c r="D13" s="451"/>
      <c r="E13" s="365"/>
      <c r="F13" s="452"/>
      <c r="G13" s="444"/>
      <c r="H13" s="447"/>
      <c r="I13" s="447"/>
      <c r="J13" s="447"/>
      <c r="K13" s="448"/>
    </row>
    <row r="14" spans="1:41" s="2117" customFormat="1" ht="13.5" customHeight="1">
      <c r="A14" s="1634" t="s">
        <v>1850</v>
      </c>
      <c r="B14" s="449" t="s">
        <v>480</v>
      </c>
      <c r="C14" s="53">
        <f ca="1">ROUND(C13*F14,0)</f>
        <v>477</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1852</v>
      </c>
      <c r="B16" s="449" t="s">
        <v>484</v>
      </c>
      <c r="C16" s="53">
        <f ca="1">ROUND(D16*E16/10000,0)</f>
        <v>1083</v>
      </c>
      <c r="D16" s="451">
        <f ca="1">IF(B1="",'数据-汇总表'!E3,INDIRECT("'数据-取费表'!K"&amp;$K$1)+INDIRECT("'数据-取费表'!S"&amp;$K$1))</f>
        <v>72217.899999999994</v>
      </c>
      <c r="E16" s="53">
        <f>'数据-取费表'!B35</f>
        <v>150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238</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17686</v>
      </c>
      <c r="D18" s="461"/>
      <c r="E18" s="462"/>
      <c r="F18" s="462"/>
      <c r="G18" s="1327" t="s">
        <v>2433</v>
      </c>
      <c r="H18" s="447"/>
      <c r="I18" s="447"/>
      <c r="J18" s="447"/>
      <c r="K18" s="448"/>
    </row>
    <row r="19" spans="1:14" s="2120" customFormat="1" ht="13.5" customHeight="1">
      <c r="A19" s="1635" t="s">
        <v>1855</v>
      </c>
      <c r="B19" s="459" t="s">
        <v>493</v>
      </c>
      <c r="C19" s="460">
        <f ca="1">ROUND(C18*F19,0)</f>
        <v>354</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392</v>
      </c>
      <c r="D21" s="467">
        <f ca="1">C23</f>
        <v>4.0000000000000002E-4</v>
      </c>
      <c r="E21" s="469" t="s">
        <v>507</v>
      </c>
      <c r="F21" s="471">
        <f ca="1">'数据-取费表'!B40</f>
        <v>4.3499999999999997E-2</v>
      </c>
      <c r="G21" s="1327" t="str">
        <f>IF('数据-取费表'!B22&lt;=1,"单利计息。","复利计息。")&amp;"建造成本、管理费用及销售费用产生的利息。"</f>
        <v>单利计息。建造成本、管理费用及销售费用产生的利息。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392</v>
      </c>
      <c r="D22" s="472"/>
      <c r="E22" s="473"/>
      <c r="F22" s="474"/>
      <c r="G22" s="2547" t="str">
        <f>IF('数据-取费表'!B22&lt;=1,"((1)+(2))×年利率×建设期÷2","((1)+(2))×((1+年利率)^(建设期÷2)-1)")</f>
        <v>((1)+(2))×年利率×建设期÷2</v>
      </c>
      <c r="H22" s="457"/>
      <c r="I22" s="457"/>
      <c r="J22" s="457"/>
      <c r="K22" s="458"/>
    </row>
    <row r="23" spans="1:14" s="2121" customFormat="1" ht="13.5" customHeight="1">
      <c r="A23" s="1634" t="s">
        <v>1850</v>
      </c>
      <c r="B23" s="1328" t="s">
        <v>508</v>
      </c>
      <c r="C23" s="488">
        <f ca="1">ROUND(IF('数据-取费表'!B22&lt;=1,F20*F21*'数据-取费表'!B20/2,F20*(POWER((1+F21),'数据-取费表'!B20/2)-1)),4)</f>
        <v>4.0000000000000002E-4</v>
      </c>
      <c r="D23" s="472"/>
      <c r="E23" s="473"/>
      <c r="F23" s="474"/>
      <c r="G23" s="2547" t="str">
        <f>IF('数据-取费表'!B22&lt;=1,"销售费用率×年利率×建设期÷2","销售费用率×((1+年利率)^(建设期÷2)-1)")</f>
        <v>销售费用率×年利率×建设期÷2</v>
      </c>
      <c r="H23" s="457"/>
      <c r="I23" s="457"/>
      <c r="J23" s="457"/>
      <c r="K23" s="458"/>
    </row>
    <row r="24" spans="1:14" s="2121" customFormat="1" ht="13.5" customHeight="1">
      <c r="A24" s="1635" t="s">
        <v>1860</v>
      </c>
      <c r="B24" s="3008" t="s">
        <v>2832</v>
      </c>
      <c r="C24" s="478">
        <f ca="1">C25</f>
        <v>1804</v>
      </c>
      <c r="D24" s="489">
        <f ca="1">C26</f>
        <v>2E-3</v>
      </c>
      <c r="E24" s="469" t="s">
        <v>507</v>
      </c>
      <c r="F24" s="479">
        <f ca="1">IF(B1="",'数据-取费表'!Q16,INDIRECT("'数据-取费表'!q"&amp;$K$1))</f>
        <v>0.1</v>
      </c>
      <c r="G24" s="444"/>
      <c r="H24" s="447"/>
      <c r="I24" s="447"/>
      <c r="J24" s="447"/>
      <c r="K24" s="448"/>
    </row>
    <row r="25" spans="1:14" s="2121" customFormat="1" ht="13.5" customHeight="1">
      <c r="A25" s="1634" t="s">
        <v>1849</v>
      </c>
      <c r="B25" s="1328" t="s">
        <v>2437</v>
      </c>
      <c r="C25" s="490">
        <f ca="1">ROUND((C18+C19)*F24,0)</f>
        <v>1804</v>
      </c>
      <c r="D25" s="472"/>
      <c r="E25" s="473"/>
      <c r="F25" s="480"/>
      <c r="G25" s="1326" t="s">
        <v>2434</v>
      </c>
      <c r="H25" s="457"/>
      <c r="I25" s="457"/>
      <c r="J25" s="457"/>
      <c r="K25" s="458"/>
    </row>
    <row r="26" spans="1:14" s="2121" customFormat="1" ht="13.5" customHeight="1">
      <c r="A26" s="1634" t="s">
        <v>1850</v>
      </c>
      <c r="B26" s="1328" t="s">
        <v>509</v>
      </c>
      <c r="C26" s="491">
        <f ca="1">ROUND(F20*F24,4)</f>
        <v>2E-3</v>
      </c>
      <c r="D26" s="472"/>
      <c r="E26" s="481"/>
      <c r="F26" s="480"/>
      <c r="G26" s="1326" t="s">
        <v>510</v>
      </c>
      <c r="H26" s="457"/>
      <c r="I26" s="457"/>
      <c r="J26" s="457"/>
      <c r="K26" s="458"/>
    </row>
    <row r="27" spans="1:14" s="2121" customFormat="1" ht="13.5" customHeight="1">
      <c r="A27" s="1638" t="s">
        <v>1868</v>
      </c>
      <c r="B27" s="459" t="s">
        <v>511</v>
      </c>
      <c r="C27" s="3007">
        <f>ROUND(F27/(1+'数据-取费表'!C42),4)</f>
        <v>5.2400000000000002E-2</v>
      </c>
      <c r="D27" s="462" t="s">
        <v>2830</v>
      </c>
      <c r="E27" s="462"/>
      <c r="F27" s="466">
        <f>'数据-取费表'!B41</f>
        <v>5.5000000000000007E-2</v>
      </c>
      <c r="G27" s="1961" t="s">
        <v>2292</v>
      </c>
      <c r="H27" s="447"/>
      <c r="I27" s="447"/>
      <c r="J27" s="447"/>
      <c r="K27" s="448"/>
    </row>
    <row r="28" spans="1:14" s="2122" customFormat="1" ht="13.5" customHeight="1">
      <c r="A28" s="1638" t="s">
        <v>1869</v>
      </c>
      <c r="B28" s="476" t="s">
        <v>512</v>
      </c>
      <c r="C28" s="470">
        <f ca="1">ROUND((C18+C19+C21+C24)/(1-C20-D21-D24-C27),0)</f>
        <v>21872</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76" t="s">
        <v>522</v>
      </c>
      <c r="D6" s="3377"/>
      <c r="E6" s="3376" t="s">
        <v>523</v>
      </c>
      <c r="F6" s="3377"/>
      <c r="G6" s="3376" t="s">
        <v>524</v>
      </c>
      <c r="H6" s="3377"/>
      <c r="I6" s="3376" t="s">
        <v>525</v>
      </c>
      <c r="J6" s="3377"/>
      <c r="K6" s="514" t="s">
        <v>526</v>
      </c>
      <c r="L6" s="2134"/>
      <c r="M6" s="2133"/>
      <c r="N6" s="2133"/>
      <c r="O6" s="2135"/>
      <c r="P6" s="3378" t="s">
        <v>527</v>
      </c>
      <c r="Q6" s="3379"/>
      <c r="R6" s="3384" t="s">
        <v>523</v>
      </c>
      <c r="S6" s="3385"/>
      <c r="T6" s="3384" t="s">
        <v>524</v>
      </c>
      <c r="U6" s="3385"/>
      <c r="V6" s="3371" t="s">
        <v>525</v>
      </c>
      <c r="W6" s="3371"/>
      <c r="X6" s="1568"/>
      <c r="Y6" s="3384" t="s">
        <v>527</v>
      </c>
      <c r="Z6" s="3385"/>
      <c r="AA6" s="3373" t="s">
        <v>523</v>
      </c>
      <c r="AB6" s="3374" t="s">
        <v>524</v>
      </c>
      <c r="AC6" s="3373" t="s">
        <v>525</v>
      </c>
    </row>
    <row r="7" spans="1:30" ht="20.25">
      <c r="A7" s="515"/>
      <c r="B7" s="516"/>
      <c r="C7" s="3392" t="s">
        <v>2929</v>
      </c>
      <c r="D7" s="3393"/>
      <c r="E7" s="3392" t="s">
        <v>2930</v>
      </c>
      <c r="F7" s="3393"/>
      <c r="G7" s="3392" t="s">
        <v>2931</v>
      </c>
      <c r="H7" s="3393"/>
      <c r="I7" s="3392" t="s">
        <v>2932</v>
      </c>
      <c r="J7" s="3393"/>
      <c r="K7" s="514"/>
      <c r="L7" s="2134"/>
      <c r="M7" s="2133"/>
      <c r="N7" s="2133"/>
      <c r="O7" s="2135"/>
      <c r="P7" s="3380"/>
      <c r="Q7" s="3381"/>
      <c r="R7" s="3386"/>
      <c r="S7" s="3387"/>
      <c r="T7" s="3386"/>
      <c r="U7" s="3387"/>
      <c r="V7" s="3371"/>
      <c r="W7" s="3371"/>
      <c r="X7" s="1568"/>
      <c r="Y7" s="3386"/>
      <c r="Z7" s="3387"/>
      <c r="AA7" s="3374"/>
      <c r="AB7" s="3374"/>
      <c r="AC7" s="3374"/>
    </row>
    <row r="8" spans="1:30" ht="21" thickBot="1">
      <c r="A8" s="515"/>
      <c r="B8" s="516"/>
      <c r="C8" s="3394" t="s">
        <v>2933</v>
      </c>
      <c r="D8" s="3395"/>
      <c r="E8" s="3394" t="s">
        <v>2933</v>
      </c>
      <c r="F8" s="3395"/>
      <c r="G8" s="3390" t="s">
        <v>2933</v>
      </c>
      <c r="H8" s="3391"/>
      <c r="I8" s="3390" t="s">
        <v>2933</v>
      </c>
      <c r="J8" s="3391"/>
      <c r="K8" s="514" t="s">
        <v>528</v>
      </c>
      <c r="L8" s="2134"/>
      <c r="M8" s="2133"/>
      <c r="N8" s="2133"/>
      <c r="O8" s="2135"/>
      <c r="P8" s="3382"/>
      <c r="Q8" s="3383"/>
      <c r="R8" s="3386"/>
      <c r="S8" s="3387"/>
      <c r="T8" s="3388"/>
      <c r="U8" s="3389"/>
      <c r="V8" s="3371"/>
      <c r="W8" s="3371"/>
      <c r="X8" s="1568"/>
      <c r="Y8" s="3388"/>
      <c r="Z8" s="3389"/>
      <c r="AA8" s="3375"/>
      <c r="AB8" s="3375"/>
      <c r="AC8" s="3375"/>
    </row>
    <row r="9" spans="1:30" s="1220" customFormat="1" ht="21" thickBot="1">
      <c r="A9" s="2891"/>
      <c r="B9" s="2898" t="s">
        <v>529</v>
      </c>
      <c r="C9" s="2890">
        <f>'数据-取费表'!B2</f>
        <v>43544</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401" t="s">
        <v>530</v>
      </c>
      <c r="Q9" s="3403"/>
      <c r="R9" s="1569" t="s">
        <v>8</v>
      </c>
      <c r="S9" s="1570">
        <f t="shared" ref="S9:S17" si="0">F9</f>
        <v>0</v>
      </c>
      <c r="T9" s="1569" t="s">
        <v>8</v>
      </c>
      <c r="U9" s="1570">
        <f t="shared" ref="U9:U17" si="1">H9</f>
        <v>0</v>
      </c>
      <c r="V9" s="1569" t="s">
        <v>8</v>
      </c>
      <c r="W9" s="1570">
        <f t="shared" ref="W9:W17" si="2">J9</f>
        <v>0</v>
      </c>
      <c r="X9" s="1571"/>
      <c r="Y9" s="3401" t="s">
        <v>530</v>
      </c>
      <c r="Z9" s="3402"/>
      <c r="AA9" s="1572" t="e">
        <f>D9/F9</f>
        <v>#DIV/0!</v>
      </c>
      <c r="AB9" s="1572" t="e">
        <f>D9/H9</f>
        <v>#DIV/0!</v>
      </c>
      <c r="AC9" s="1572" t="e">
        <f>D9/J9</f>
        <v>#DIV/0!</v>
      </c>
    </row>
    <row r="10" spans="1:30" s="1220" customFormat="1" ht="21" thickBot="1">
      <c r="A10" s="2892"/>
      <c r="B10" s="2899"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401" t="s">
        <v>533</v>
      </c>
      <c r="Q10" s="3402"/>
      <c r="R10" s="1569" t="s">
        <v>8</v>
      </c>
      <c r="S10" s="1570">
        <f t="shared" si="0"/>
        <v>0</v>
      </c>
      <c r="T10" s="1569" t="s">
        <v>8</v>
      </c>
      <c r="U10" s="1570">
        <f t="shared" si="1"/>
        <v>0</v>
      </c>
      <c r="V10" s="1569" t="s">
        <v>8</v>
      </c>
      <c r="W10" s="1570">
        <f t="shared" si="2"/>
        <v>0</v>
      </c>
      <c r="X10" s="1571"/>
      <c r="Y10" s="3401" t="s">
        <v>533</v>
      </c>
      <c r="Z10" s="3402"/>
      <c r="AA10" s="1572" t="e">
        <f t="shared" ref="AA10:AA47" si="3">D10/F10</f>
        <v>#DIV/0!</v>
      </c>
      <c r="AB10" s="1572" t="e">
        <f t="shared" ref="AB10:AB47" si="4">D10/H10</f>
        <v>#DIV/0!</v>
      </c>
      <c r="AC10" s="1572" t="e">
        <f t="shared" ref="AC10:AC47" si="5">D10/J10</f>
        <v>#DIV/0!</v>
      </c>
    </row>
    <row r="11" spans="1:30" s="1220" customFormat="1" ht="20.25">
      <c r="A11" s="2893"/>
      <c r="B11" s="2900" t="s">
        <v>2757</v>
      </c>
      <c r="C11" s="2887"/>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370" t="s">
        <v>535</v>
      </c>
      <c r="Q11" s="1151" t="str">
        <f t="shared" ref="Q11:Q17" si="6">B11</f>
        <v>用途</v>
      </c>
      <c r="R11" s="1569" t="s">
        <v>8</v>
      </c>
      <c r="S11" s="1570">
        <f t="shared" si="0"/>
        <v>100</v>
      </c>
      <c r="T11" s="1569" t="s">
        <v>8</v>
      </c>
      <c r="U11" s="1570">
        <f t="shared" si="1"/>
        <v>100</v>
      </c>
      <c r="V11" s="1569" t="s">
        <v>8</v>
      </c>
      <c r="W11" s="1570">
        <f t="shared" si="2"/>
        <v>100</v>
      </c>
      <c r="X11" s="1571"/>
      <c r="Y11" s="3294"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122</v>
      </c>
      <c r="G12" s="530"/>
      <c r="H12" s="255">
        <f>ROUND(100/'数据-取费表'!G16,0)</f>
        <v>122</v>
      </c>
      <c r="I12" s="530"/>
      <c r="J12" s="255">
        <f>ROUND(100/'数据-取费表'!G16,0)</f>
        <v>122</v>
      </c>
      <c r="K12" s="531"/>
      <c r="L12" s="2139"/>
      <c r="M12" s="2133"/>
      <c r="N12" s="2133"/>
      <c r="O12" s="2140"/>
      <c r="P12" s="3370"/>
      <c r="Q12" s="1151" t="str">
        <f t="shared" si="6"/>
        <v>土地使用年限（年）</v>
      </c>
      <c r="R12" s="1569" t="s">
        <v>8</v>
      </c>
      <c r="S12" s="1570">
        <f t="shared" si="0"/>
        <v>122</v>
      </c>
      <c r="T12" s="1569" t="s">
        <v>8</v>
      </c>
      <c r="U12" s="1570">
        <f t="shared" si="1"/>
        <v>122</v>
      </c>
      <c r="V12" s="1569" t="s">
        <v>8</v>
      </c>
      <c r="W12" s="1570">
        <f t="shared" si="2"/>
        <v>122</v>
      </c>
      <c r="X12" s="1571"/>
      <c r="Y12" s="3294"/>
      <c r="Z12" s="1150" t="str">
        <f t="shared" si="7"/>
        <v>土地使用年限（年）</v>
      </c>
      <c r="AA12" s="1572">
        <f t="shared" si="3"/>
        <v>0.81967213114754101</v>
      </c>
      <c r="AB12" s="1572">
        <f t="shared" si="4"/>
        <v>0.81967213114754101</v>
      </c>
      <c r="AC12" s="1572">
        <f t="shared" si="5"/>
        <v>0.81967213114754101</v>
      </c>
    </row>
    <row r="13" spans="1:30" ht="20.25">
      <c r="A13" s="2895"/>
      <c r="B13" s="2899" t="s">
        <v>2759</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370"/>
      <c r="Q13" s="1151" t="str">
        <f t="shared" si="6"/>
        <v>容积率</v>
      </c>
      <c r="R13" s="1569" t="s">
        <v>8</v>
      </c>
      <c r="S13" s="1570" t="e">
        <f t="shared" si="0"/>
        <v>#N/A</v>
      </c>
      <c r="T13" s="1569" t="s">
        <v>8</v>
      </c>
      <c r="U13" s="1570" t="e">
        <f t="shared" si="1"/>
        <v>#N/A</v>
      </c>
      <c r="V13" s="1569" t="s">
        <v>8</v>
      </c>
      <c r="W13" s="1570" t="e">
        <f t="shared" si="2"/>
        <v>#N/A</v>
      </c>
      <c r="X13" s="1571"/>
      <c r="Y13" s="3294"/>
      <c r="Z13" s="1150" t="str">
        <f t="shared" si="7"/>
        <v>容积率</v>
      </c>
      <c r="AA13" s="1572" t="e">
        <f t="shared" si="3"/>
        <v>#N/A</v>
      </c>
      <c r="AB13" s="1572" t="e">
        <f t="shared" si="4"/>
        <v>#N/A</v>
      </c>
      <c r="AC13" s="1572" t="e">
        <f t="shared" si="5"/>
        <v>#N/A</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70"/>
      <c r="Q14" s="1151" t="str">
        <f t="shared" si="6"/>
        <v>配建</v>
      </c>
      <c r="R14" s="1569" t="s">
        <v>8</v>
      </c>
      <c r="S14" s="1570">
        <f t="shared" si="0"/>
        <v>100</v>
      </c>
      <c r="T14" s="1569" t="s">
        <v>8</v>
      </c>
      <c r="U14" s="1570">
        <f t="shared" si="1"/>
        <v>100</v>
      </c>
      <c r="V14" s="1569" t="s">
        <v>8</v>
      </c>
      <c r="W14" s="1570">
        <f t="shared" si="2"/>
        <v>100</v>
      </c>
      <c r="X14" s="1571"/>
      <c r="Y14" s="3294"/>
      <c r="Z14" s="1150" t="str">
        <f t="shared" si="7"/>
        <v>配建</v>
      </c>
      <c r="AA14" s="1572">
        <f>D14/F14</f>
        <v>1</v>
      </c>
      <c r="AB14" s="1572">
        <f>D14/H14</f>
        <v>1</v>
      </c>
      <c r="AC14" s="1572">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70"/>
      <c r="Q15" s="1151">
        <f t="shared" si="6"/>
        <v>111</v>
      </c>
      <c r="R15" s="1569" t="s">
        <v>8</v>
      </c>
      <c r="S15" s="1570">
        <f t="shared" si="0"/>
        <v>100</v>
      </c>
      <c r="T15" s="1569" t="s">
        <v>8</v>
      </c>
      <c r="U15" s="1570">
        <f t="shared" si="1"/>
        <v>100</v>
      </c>
      <c r="V15" s="1569" t="s">
        <v>8</v>
      </c>
      <c r="W15" s="1570">
        <f t="shared" si="2"/>
        <v>100</v>
      </c>
      <c r="X15" s="1571"/>
      <c r="Y15" s="3294"/>
      <c r="Z15" s="1150">
        <f t="shared" si="7"/>
        <v>111</v>
      </c>
      <c r="AA15" s="1572">
        <f>D15/F15</f>
        <v>1</v>
      </c>
      <c r="AB15" s="1572">
        <f>D15/H15</f>
        <v>1</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70"/>
      <c r="Q16" s="1151">
        <f t="shared" si="6"/>
        <v>111</v>
      </c>
      <c r="R16" s="1569" t="s">
        <v>8</v>
      </c>
      <c r="S16" s="1570">
        <f t="shared" si="0"/>
        <v>100</v>
      </c>
      <c r="T16" s="1569" t="s">
        <v>8</v>
      </c>
      <c r="U16" s="1570">
        <f t="shared" si="1"/>
        <v>100</v>
      </c>
      <c r="V16" s="1569" t="s">
        <v>8</v>
      </c>
      <c r="W16" s="1570">
        <f t="shared" si="2"/>
        <v>100</v>
      </c>
      <c r="X16" s="1571"/>
      <c r="Y16" s="3294"/>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04" t="s">
        <v>540</v>
      </c>
      <c r="Q17" s="1573" t="str">
        <f t="shared" si="6"/>
        <v>居住社区成熟度</v>
      </c>
      <c r="R17" s="1574" t="s">
        <v>8</v>
      </c>
      <c r="S17" s="1575">
        <f t="shared" si="0"/>
        <v>100</v>
      </c>
      <c r="T17" s="1574" t="s">
        <v>8</v>
      </c>
      <c r="U17" s="1575">
        <f t="shared" si="1"/>
        <v>100</v>
      </c>
      <c r="V17" s="1574" t="s">
        <v>8</v>
      </c>
      <c r="W17" s="1575">
        <f t="shared" si="2"/>
        <v>100</v>
      </c>
      <c r="X17" s="1568"/>
      <c r="Y17" s="3404"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405"/>
      <c r="Q18" s="1573"/>
      <c r="R18" s="1574"/>
      <c r="S18" s="1575"/>
      <c r="T18" s="1574"/>
      <c r="U18" s="1575"/>
      <c r="V18" s="1574"/>
      <c r="W18" s="1575"/>
      <c r="X18" s="1568"/>
      <c r="Y18" s="340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05"/>
      <c r="Q19" s="1573" t="str">
        <f>B19</f>
        <v>商业繁华度</v>
      </c>
      <c r="R19" s="1574" t="s">
        <v>8</v>
      </c>
      <c r="S19" s="1575">
        <f>F19</f>
        <v>100</v>
      </c>
      <c r="T19" s="1574" t="s">
        <v>8</v>
      </c>
      <c r="U19" s="1575">
        <f>H19</f>
        <v>100</v>
      </c>
      <c r="V19" s="1574" t="s">
        <v>8</v>
      </c>
      <c r="W19" s="1575">
        <f>J19</f>
        <v>100</v>
      </c>
      <c r="X19" s="1568"/>
      <c r="Y19" s="3405"/>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405"/>
      <c r="Q20" s="1573"/>
      <c r="R20" s="1574"/>
      <c r="S20" s="1575"/>
      <c r="T20" s="1574"/>
      <c r="U20" s="1575"/>
      <c r="V20" s="1574"/>
      <c r="W20" s="1575"/>
      <c r="X20" s="1568"/>
      <c r="Y20" s="3405"/>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05"/>
      <c r="Q21" s="1573" t="str">
        <f>B21</f>
        <v>办公集聚程度</v>
      </c>
      <c r="R21" s="1574" t="s">
        <v>8</v>
      </c>
      <c r="S21" s="1575">
        <f>F21</f>
        <v>100</v>
      </c>
      <c r="T21" s="1574" t="s">
        <v>8</v>
      </c>
      <c r="U21" s="1575">
        <f>H21</f>
        <v>100</v>
      </c>
      <c r="V21" s="1574" t="s">
        <v>8</v>
      </c>
      <c r="W21" s="1575">
        <f>J21</f>
        <v>100</v>
      </c>
      <c r="X21" s="1568"/>
      <c r="Y21" s="3405"/>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405"/>
      <c r="Q22" s="1573"/>
      <c r="R22" s="1574"/>
      <c r="S22" s="1575"/>
      <c r="T22" s="1574"/>
      <c r="U22" s="1575"/>
      <c r="V22" s="1574"/>
      <c r="W22" s="1575"/>
      <c r="X22" s="1568"/>
      <c r="Y22" s="340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405"/>
      <c r="Q23" s="1573" t="str">
        <f>B23</f>
        <v>交通便捷度</v>
      </c>
      <c r="R23" s="1574" t="s">
        <v>8</v>
      </c>
      <c r="S23" s="1575">
        <f>F23</f>
        <v>100</v>
      </c>
      <c r="T23" s="1574" t="s">
        <v>8</v>
      </c>
      <c r="U23" s="1575">
        <f>H23</f>
        <v>100</v>
      </c>
      <c r="V23" s="1574" t="s">
        <v>8</v>
      </c>
      <c r="W23" s="1575">
        <f>J23</f>
        <v>100</v>
      </c>
      <c r="X23" s="1568"/>
      <c r="Y23" s="3405"/>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405"/>
      <c r="Q24" s="1573"/>
      <c r="R24" s="1574"/>
      <c r="S24" s="1575"/>
      <c r="T24" s="1574"/>
      <c r="U24" s="1575"/>
      <c r="V24" s="1574"/>
      <c r="W24" s="1575"/>
      <c r="X24" s="1568"/>
      <c r="Y24" s="340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05"/>
      <c r="Q25" s="1573" t="str">
        <f t="shared" ref="Q25:Q39" si="8">B25</f>
        <v>区域土地利用方向</v>
      </c>
      <c r="R25" s="1574" t="s">
        <v>8</v>
      </c>
      <c r="S25" s="1575">
        <f>F25</f>
        <v>100</v>
      </c>
      <c r="T25" s="1574" t="s">
        <v>8</v>
      </c>
      <c r="U25" s="1575">
        <f>H25</f>
        <v>100</v>
      </c>
      <c r="V25" s="1574" t="s">
        <v>8</v>
      </c>
      <c r="W25" s="1575">
        <f>J25</f>
        <v>100</v>
      </c>
      <c r="X25" s="1568"/>
      <c r="Y25" s="3405"/>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405"/>
      <c r="Q26" s="1573"/>
      <c r="R26" s="1574"/>
      <c r="S26" s="1575"/>
      <c r="T26" s="1574"/>
      <c r="U26" s="1575"/>
      <c r="V26" s="1574"/>
      <c r="W26" s="1575"/>
      <c r="X26" s="1568"/>
      <c r="Y26" s="340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405"/>
      <c r="Q27" s="1573" t="str">
        <f t="shared" si="8"/>
        <v>自然及人文环境状况</v>
      </c>
      <c r="R27" s="1574" t="s">
        <v>8</v>
      </c>
      <c r="S27" s="1575">
        <f>F27</f>
        <v>100</v>
      </c>
      <c r="T27" s="1574" t="s">
        <v>8</v>
      </c>
      <c r="U27" s="1575">
        <f>H27</f>
        <v>100</v>
      </c>
      <c r="V27" s="1574" t="s">
        <v>8</v>
      </c>
      <c r="W27" s="1575">
        <f>J27</f>
        <v>100</v>
      </c>
      <c r="X27" s="1568"/>
      <c r="Y27" s="3405"/>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405"/>
      <c r="Q28" s="1573"/>
      <c r="R28" s="1574"/>
      <c r="S28" s="1575"/>
      <c r="T28" s="1574"/>
      <c r="U28" s="1575"/>
      <c r="V28" s="1574"/>
      <c r="W28" s="1575"/>
      <c r="X28" s="1568"/>
      <c r="Y28" s="3405"/>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405"/>
      <c r="Q29" s="1151" t="str">
        <f t="shared" si="8"/>
        <v>公共配套设施</v>
      </c>
      <c r="R29" s="1569" t="s">
        <v>8</v>
      </c>
      <c r="S29" s="1570">
        <f>F29</f>
        <v>100</v>
      </c>
      <c r="T29" s="1569" t="s">
        <v>8</v>
      </c>
      <c r="U29" s="1570">
        <f>H29</f>
        <v>100</v>
      </c>
      <c r="V29" s="1569" t="s">
        <v>8</v>
      </c>
      <c r="W29" s="1570">
        <f>J29</f>
        <v>100</v>
      </c>
      <c r="X29" s="1571"/>
      <c r="Y29" s="3405"/>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405"/>
      <c r="Q30" s="1151"/>
      <c r="R30" s="1569"/>
      <c r="S30" s="1570"/>
      <c r="T30" s="1569"/>
      <c r="U30" s="1570"/>
      <c r="V30" s="1569"/>
      <c r="W30" s="1570"/>
      <c r="X30" s="1571"/>
      <c r="Y30" s="3405"/>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405"/>
      <c r="Q31" s="2558" t="str">
        <f t="shared" ref="Q31" si="9">B31</f>
        <v>基础设施水平</v>
      </c>
      <c r="R31" s="1569" t="s">
        <v>8</v>
      </c>
      <c r="S31" s="1570">
        <f>F31</f>
        <v>100</v>
      </c>
      <c r="T31" s="1569" t="s">
        <v>8</v>
      </c>
      <c r="U31" s="1570">
        <f>H31</f>
        <v>100</v>
      </c>
      <c r="V31" s="1569" t="s">
        <v>8</v>
      </c>
      <c r="W31" s="1570">
        <f>J31</f>
        <v>100</v>
      </c>
      <c r="X31" s="1571"/>
      <c r="Y31" s="3405"/>
      <c r="Z31" s="2555" t="str">
        <f>Q31</f>
        <v>基础设施水平</v>
      </c>
      <c r="AA31" s="1577">
        <f>D31/F31</f>
        <v>1</v>
      </c>
      <c r="AB31" s="1577">
        <f>D31/H31</f>
        <v>1</v>
      </c>
      <c r="AC31" s="1577">
        <f>D31/J31</f>
        <v>1</v>
      </c>
    </row>
    <row r="32" spans="1:29" s="1220" customFormat="1" ht="20.25">
      <c r="A32" s="577"/>
      <c r="B32" s="566"/>
      <c r="C32" s="579"/>
      <c r="D32" s="557"/>
      <c r="E32" s="2572"/>
      <c r="F32" s="555"/>
      <c r="G32" s="579"/>
      <c r="H32" s="555"/>
      <c r="I32" s="579"/>
      <c r="J32" s="555"/>
      <c r="K32" s="531"/>
      <c r="L32" s="2136"/>
      <c r="M32" s="2133"/>
      <c r="N32" s="2133"/>
      <c r="O32" s="2138"/>
      <c r="P32" s="3405"/>
      <c r="Q32" s="2558"/>
      <c r="R32" s="1569"/>
      <c r="S32" s="1570"/>
      <c r="T32" s="1569"/>
      <c r="U32" s="1570"/>
      <c r="V32" s="1569"/>
      <c r="W32" s="1570"/>
      <c r="X32" s="1571"/>
      <c r="Y32" s="3405"/>
      <c r="Z32" s="255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40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5"/>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05"/>
      <c r="Q34" s="1573" t="str">
        <f t="shared" si="8"/>
        <v>毗邻道路的类型与等级</v>
      </c>
      <c r="R34" s="1574" t="s">
        <v>8</v>
      </c>
      <c r="S34" s="1575">
        <f t="shared" si="10"/>
        <v>100</v>
      </c>
      <c r="T34" s="1574" t="s">
        <v>8</v>
      </c>
      <c r="U34" s="1575">
        <f t="shared" si="11"/>
        <v>100</v>
      </c>
      <c r="V34" s="1574" t="s">
        <v>8</v>
      </c>
      <c r="W34" s="1575">
        <f t="shared" si="12"/>
        <v>100</v>
      </c>
      <c r="X34" s="1568"/>
      <c r="Y34" s="3405"/>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405"/>
      <c r="Q35" s="1573"/>
      <c r="R35" s="1574"/>
      <c r="S35" s="1575"/>
      <c r="T35" s="1574"/>
      <c r="U35" s="1575"/>
      <c r="V35" s="1574"/>
      <c r="W35" s="1575"/>
      <c r="X35" s="1568"/>
      <c r="Y35" s="340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05"/>
      <c r="Q36" s="1573" t="str">
        <f t="shared" si="8"/>
        <v>土地级别</v>
      </c>
      <c r="R36" s="1574" t="s">
        <v>8</v>
      </c>
      <c r="S36" s="1575">
        <f t="shared" si="10"/>
        <v>100</v>
      </c>
      <c r="T36" s="1574" t="s">
        <v>8</v>
      </c>
      <c r="U36" s="1575">
        <f t="shared" si="11"/>
        <v>100</v>
      </c>
      <c r="V36" s="1574" t="s">
        <v>8</v>
      </c>
      <c r="W36" s="1575">
        <f t="shared" si="12"/>
        <v>100</v>
      </c>
      <c r="X36" s="1568"/>
      <c r="Y36" s="3405"/>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05"/>
      <c r="Q37" s="1573">
        <f t="shared" si="8"/>
        <v>111</v>
      </c>
      <c r="R37" s="1574" t="s">
        <v>8</v>
      </c>
      <c r="S37" s="1575">
        <f t="shared" si="10"/>
        <v>100</v>
      </c>
      <c r="T37" s="1574" t="s">
        <v>8</v>
      </c>
      <c r="U37" s="1575">
        <f t="shared" si="11"/>
        <v>100</v>
      </c>
      <c r="V37" s="1574" t="s">
        <v>8</v>
      </c>
      <c r="W37" s="1575">
        <f t="shared" si="12"/>
        <v>100</v>
      </c>
      <c r="X37" s="1568"/>
      <c r="Y37" s="3405"/>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06" t="s">
        <v>550</v>
      </c>
      <c r="Q38" s="1573">
        <f t="shared" si="8"/>
        <v>111</v>
      </c>
      <c r="R38" s="1574" t="s">
        <v>8</v>
      </c>
      <c r="S38" s="1575">
        <f t="shared" si="10"/>
        <v>100</v>
      </c>
      <c r="T38" s="1574" t="s">
        <v>8</v>
      </c>
      <c r="U38" s="1575">
        <f t="shared" si="11"/>
        <v>100</v>
      </c>
      <c r="V38" s="1574" t="s">
        <v>8</v>
      </c>
      <c r="W38" s="1575">
        <f t="shared" si="12"/>
        <v>100</v>
      </c>
      <c r="X38" s="1568"/>
      <c r="Y38" s="3407"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07"/>
      <c r="Q39" s="1573">
        <f t="shared" si="8"/>
        <v>111</v>
      </c>
      <c r="R39" s="1578" t="s">
        <v>8</v>
      </c>
      <c r="S39" s="1579">
        <f t="shared" si="10"/>
        <v>100</v>
      </c>
      <c r="T39" s="1578" t="s">
        <v>8</v>
      </c>
      <c r="U39" s="1579">
        <f t="shared" si="11"/>
        <v>100</v>
      </c>
      <c r="V39" s="1578" t="s">
        <v>8</v>
      </c>
      <c r="W39" s="1579">
        <f t="shared" si="12"/>
        <v>100</v>
      </c>
      <c r="X39" s="1580"/>
      <c r="Y39" s="3407"/>
      <c r="Z39" s="1581">
        <f t="shared" si="13"/>
        <v>111</v>
      </c>
      <c r="AA39" s="1577">
        <f t="shared" si="3"/>
        <v>1</v>
      </c>
      <c r="AB39" s="1577">
        <f t="shared" si="4"/>
        <v>1</v>
      </c>
      <c r="AC39" s="1577">
        <f t="shared" si="5"/>
        <v>1</v>
      </c>
    </row>
    <row r="40" spans="1:29" ht="20.25">
      <c r="A40" s="2886" t="s">
        <v>2756</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407"/>
      <c r="Q40" s="1573" t="str">
        <f>B40</f>
        <v>宗地面积</v>
      </c>
      <c r="R40" s="1574" t="s">
        <v>8</v>
      </c>
      <c r="S40" s="1575" t="e">
        <f t="shared" si="10"/>
        <v>#N/A</v>
      </c>
      <c r="T40" s="1574" t="s">
        <v>8</v>
      </c>
      <c r="U40" s="1575" t="e">
        <f t="shared" si="11"/>
        <v>#N/A</v>
      </c>
      <c r="V40" s="1574" t="s">
        <v>8</v>
      </c>
      <c r="W40" s="1575" t="e">
        <f t="shared" si="12"/>
        <v>#N/A</v>
      </c>
      <c r="X40" s="1568"/>
      <c r="Y40" s="3407"/>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407"/>
      <c r="Q41" s="1573" t="str">
        <f t="shared" ref="Q41:Q47" si="14">B41</f>
        <v>宗地形状</v>
      </c>
      <c r="R41" s="1574" t="s">
        <v>8</v>
      </c>
      <c r="S41" s="1575">
        <f t="shared" si="10"/>
        <v>100</v>
      </c>
      <c r="T41" s="1574" t="s">
        <v>8</v>
      </c>
      <c r="U41" s="1575">
        <f t="shared" si="11"/>
        <v>100</v>
      </c>
      <c r="V41" s="1574" t="s">
        <v>8</v>
      </c>
      <c r="W41" s="1575">
        <f t="shared" si="12"/>
        <v>100</v>
      </c>
      <c r="X41" s="1568"/>
      <c r="Y41" s="3407"/>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07"/>
      <c r="Q42" s="1573" t="str">
        <f t="shared" si="14"/>
        <v>临街宽度及深度</v>
      </c>
      <c r="R42" s="1574" t="s">
        <v>8</v>
      </c>
      <c r="S42" s="1575">
        <f t="shared" si="10"/>
        <v>100</v>
      </c>
      <c r="T42" s="1574" t="s">
        <v>8</v>
      </c>
      <c r="U42" s="1575">
        <f t="shared" si="11"/>
        <v>100</v>
      </c>
      <c r="V42" s="1574" t="s">
        <v>8</v>
      </c>
      <c r="W42" s="1575">
        <f t="shared" si="12"/>
        <v>100</v>
      </c>
      <c r="X42" s="1568"/>
      <c r="Y42" s="3407"/>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407"/>
      <c r="Q43" s="1573" t="str">
        <f t="shared" si="14"/>
        <v>宗地开发程度</v>
      </c>
      <c r="R43" s="1569" t="s">
        <v>8</v>
      </c>
      <c r="S43" s="1570">
        <f t="shared" si="10"/>
        <v>100</v>
      </c>
      <c r="T43" s="1569" t="s">
        <v>8</v>
      </c>
      <c r="U43" s="1570">
        <f t="shared" si="11"/>
        <v>100</v>
      </c>
      <c r="V43" s="1569" t="s">
        <v>8</v>
      </c>
      <c r="W43" s="1570">
        <f t="shared" si="12"/>
        <v>100</v>
      </c>
      <c r="X43" s="1571"/>
      <c r="Y43" s="3407"/>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407" t="s">
        <v>550</v>
      </c>
      <c r="Q44" s="1573" t="str">
        <f t="shared" si="14"/>
        <v>工程地质条件</v>
      </c>
      <c r="R44" s="1574" t="s">
        <v>8</v>
      </c>
      <c r="S44" s="1575">
        <f t="shared" si="10"/>
        <v>100</v>
      </c>
      <c r="T44" s="1574" t="s">
        <v>8</v>
      </c>
      <c r="U44" s="1575">
        <f t="shared" si="11"/>
        <v>100</v>
      </c>
      <c r="V44" s="1574" t="s">
        <v>8</v>
      </c>
      <c r="W44" s="1575">
        <f t="shared" si="12"/>
        <v>100</v>
      </c>
      <c r="X44" s="1568"/>
      <c r="Y44" s="3407"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07"/>
      <c r="Q45" s="1573">
        <f t="shared" si="14"/>
        <v>111</v>
      </c>
      <c r="R45" s="1574" t="s">
        <v>8</v>
      </c>
      <c r="S45" s="1575">
        <f t="shared" si="10"/>
        <v>100</v>
      </c>
      <c r="T45" s="1574" t="s">
        <v>8</v>
      </c>
      <c r="U45" s="1575">
        <f t="shared" si="11"/>
        <v>100</v>
      </c>
      <c r="V45" s="1574" t="s">
        <v>8</v>
      </c>
      <c r="W45" s="1575">
        <f t="shared" si="12"/>
        <v>100</v>
      </c>
      <c r="X45" s="1568"/>
      <c r="Y45" s="3407"/>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07"/>
      <c r="Q46" s="1573">
        <f t="shared" si="14"/>
        <v>111</v>
      </c>
      <c r="R46" s="1574" t="s">
        <v>8</v>
      </c>
      <c r="S46" s="1575">
        <f t="shared" si="10"/>
        <v>100</v>
      </c>
      <c r="T46" s="1574" t="s">
        <v>8</v>
      </c>
      <c r="U46" s="1575">
        <f t="shared" si="11"/>
        <v>100</v>
      </c>
      <c r="V46" s="1574" t="s">
        <v>8</v>
      </c>
      <c r="W46" s="1575">
        <f t="shared" si="12"/>
        <v>100</v>
      </c>
      <c r="X46" s="1568"/>
      <c r="Y46" s="3407"/>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07"/>
      <c r="Q47" s="1573">
        <f t="shared" si="14"/>
        <v>111</v>
      </c>
      <c r="R47" s="1578" t="s">
        <v>8</v>
      </c>
      <c r="S47" s="1579">
        <f t="shared" si="10"/>
        <v>100</v>
      </c>
      <c r="T47" s="1578" t="s">
        <v>8</v>
      </c>
      <c r="U47" s="1579">
        <f t="shared" si="11"/>
        <v>100</v>
      </c>
      <c r="V47" s="1578" t="s">
        <v>8</v>
      </c>
      <c r="W47" s="1579">
        <f t="shared" si="12"/>
        <v>100</v>
      </c>
      <c r="X47" s="1580"/>
      <c r="Y47" s="3407"/>
      <c r="Z47" s="1581">
        <f t="shared" si="13"/>
        <v>111</v>
      </c>
      <c r="AA47" s="1577">
        <f t="shared" si="3"/>
        <v>1</v>
      </c>
      <c r="AB47" s="1577">
        <f t="shared" si="4"/>
        <v>1</v>
      </c>
      <c r="AC47" s="1577">
        <f t="shared" si="5"/>
        <v>1</v>
      </c>
    </row>
    <row r="48" spans="1:29" ht="20.25">
      <c r="A48" s="607" t="s">
        <v>556</v>
      </c>
      <c r="B48" s="608" t="s">
        <v>2934</v>
      </c>
      <c r="C48" s="609" t="s">
        <v>1</v>
      </c>
      <c r="D48" s="610"/>
      <c r="E48" s="611"/>
      <c r="F48" s="612"/>
      <c r="G48" s="613"/>
      <c r="H48" s="614"/>
      <c r="I48" s="611"/>
      <c r="J48" s="614"/>
      <c r="K48" s="1340"/>
      <c r="L48" s="2145"/>
      <c r="M48" s="2133"/>
      <c r="N48" s="2133"/>
      <c r="O48" s="2146"/>
      <c r="P48" s="3370" t="str">
        <f>A48</f>
        <v>成交单价</v>
      </c>
      <c r="Q48" s="3370"/>
      <c r="R48" s="3371">
        <f>E48</f>
        <v>0</v>
      </c>
      <c r="S48" s="3371"/>
      <c r="T48" s="3371">
        <f>G48</f>
        <v>0</v>
      </c>
      <c r="U48" s="3371"/>
      <c r="V48" s="3371">
        <f>I48</f>
        <v>0</v>
      </c>
      <c r="W48" s="3371"/>
      <c r="X48" s="1560"/>
      <c r="Y48" s="1582"/>
      <c r="Z48" s="1560"/>
      <c r="AA48" s="1560"/>
      <c r="AB48" s="1560"/>
      <c r="AC48" s="1560"/>
    </row>
    <row r="49" spans="1:29" ht="21" thickBot="1">
      <c r="A49" s="615" t="s">
        <v>2694</v>
      </c>
      <c r="B49" s="616"/>
      <c r="C49" s="617" t="e">
        <f>R50</f>
        <v>#DIV/0!</v>
      </c>
      <c r="D49" s="618"/>
      <c r="E49" s="617" t="e">
        <f>R49</f>
        <v>#DIV/0!</v>
      </c>
      <c r="F49" s="619"/>
      <c r="G49" s="620" t="e">
        <f>T49</f>
        <v>#DIV/0!</v>
      </c>
      <c r="H49" s="618"/>
      <c r="I49" s="617" t="e">
        <f>V49</f>
        <v>#DIV/0!</v>
      </c>
      <c r="J49" s="618"/>
      <c r="K49" s="1341"/>
      <c r="L49" s="2145"/>
      <c r="M49" s="2133"/>
      <c r="N49" s="2133"/>
      <c r="O49" s="2146"/>
      <c r="P49" s="3370" t="str">
        <f>A49</f>
        <v>比较价格（元/平方米）</v>
      </c>
      <c r="Q49" s="3370"/>
      <c r="R49" s="3372" t="e">
        <f>ROUND(PRODUCT(R48,AA9:AA47),0)</f>
        <v>#DIV/0!</v>
      </c>
      <c r="S49" s="3372"/>
      <c r="T49" s="3372" t="e">
        <f>ROUND(PRODUCT(T48,AB9:AB47),0)</f>
        <v>#DIV/0!</v>
      </c>
      <c r="U49" s="3372"/>
      <c r="V49" s="3372" t="e">
        <f>ROUND(PRODUCT(V48,AC9:AC47),0)</f>
        <v>#DIV/0!</v>
      </c>
      <c r="W49" s="3372"/>
      <c r="X49" s="1560"/>
      <c r="Y49" s="1560"/>
      <c r="Z49" s="1560"/>
      <c r="AA49" s="1560"/>
      <c r="AB49" s="1560"/>
      <c r="AC49" s="1560"/>
    </row>
    <row r="50" spans="1:29" ht="21" thickBot="1">
      <c r="A50" s="621" t="s">
        <v>2935</v>
      </c>
      <c r="B50" s="622"/>
      <c r="C50" s="623" t="e">
        <f>R50</f>
        <v>#DIV/0!</v>
      </c>
      <c r="D50" s="623"/>
      <c r="E50" s="623"/>
      <c r="F50" s="623"/>
      <c r="G50" s="623"/>
      <c r="H50" s="623"/>
      <c r="I50" s="623"/>
      <c r="J50" s="623"/>
      <c r="K50" s="1342"/>
      <c r="L50" s="2145"/>
      <c r="M50" s="2133"/>
      <c r="N50" s="2133"/>
      <c r="O50" s="2146"/>
      <c r="P50" s="3367" t="str">
        <f>A50</f>
        <v>估价对象XX用房的比较价格（楼面单价，元/平方米）</v>
      </c>
      <c r="Q50" s="3368"/>
      <c r="R50" s="3369" t="e">
        <f>ROUND(AVERAGE(R49:V49),0)</f>
        <v>#DIV/0!</v>
      </c>
      <c r="S50" s="3369"/>
      <c r="T50" s="3369"/>
      <c r="U50" s="3369"/>
      <c r="V50" s="3369"/>
      <c r="W50" s="3369"/>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96" t="s">
        <v>2282</v>
      </c>
      <c r="H57" s="3397"/>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t="e">
        <f>C50</f>
        <v>#DIV/0!</v>
      </c>
      <c r="C58" s="635">
        <v>1</v>
      </c>
      <c r="D58" s="2229">
        <v>1</v>
      </c>
      <c r="E58" s="635">
        <f>'数据-汇总表'!E8+'数据-汇总表'!E9</f>
        <v>72217.899999999994</v>
      </c>
      <c r="F58" s="636" t="e">
        <f t="shared" ref="F58:F67" si="15">ROUND(B58*E58/10000,0)</f>
        <v>#DIV/0!</v>
      </c>
      <c r="G58" s="3398"/>
      <c r="H58" s="3399"/>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ROUND($C$50*C59*D59,0)</f>
        <v>#DIV/0!</v>
      </c>
      <c r="C59" s="378">
        <f t="shared" ref="C59:C67" si="16">IF($C$57="北京市系数",I59,J59)</f>
        <v>0</v>
      </c>
      <c r="D59" s="2230">
        <v>0.25</v>
      </c>
      <c r="E59" s="639">
        <v>0</v>
      </c>
      <c r="F59" s="636" t="e">
        <f t="shared" si="15"/>
        <v>#DIV/0!</v>
      </c>
      <c r="G59" s="3400"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ref="B60:B67" si="17">ROUND($C$50*C60*D60,0)</f>
        <v>#DIV/0!</v>
      </c>
      <c r="C60" s="378">
        <f t="shared" si="16"/>
        <v>0</v>
      </c>
      <c r="D60" s="2230">
        <v>0.25</v>
      </c>
      <c r="E60" s="639">
        <v>0</v>
      </c>
      <c r="F60" s="636" t="e">
        <f t="shared" si="15"/>
        <v>#DIV/0!</v>
      </c>
      <c r="G60" s="3400"/>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v>
      </c>
      <c r="D61" s="2230">
        <v>0.25</v>
      </c>
      <c r="E61" s="639">
        <v>0</v>
      </c>
      <c r="F61" s="636" t="e">
        <f t="shared" si="15"/>
        <v>#DIV/0!</v>
      </c>
      <c r="G61" s="3400"/>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t="e">
        <f t="shared" si="17"/>
        <v>#DIV/0!</v>
      </c>
      <c r="C62" s="378">
        <f t="shared" si="16"/>
        <v>0</v>
      </c>
      <c r="D62" s="2230">
        <v>0.25</v>
      </c>
      <c r="E62" s="639">
        <v>0</v>
      </c>
      <c r="F62" s="636" t="e">
        <f t="shared" si="15"/>
        <v>#DIV/0!</v>
      </c>
      <c r="G62" s="3400"/>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t="e">
        <f t="shared" si="17"/>
        <v>#DIV/0!</v>
      </c>
      <c r="C63" s="378">
        <f t="shared" si="16"/>
        <v>0</v>
      </c>
      <c r="D63" s="2230">
        <v>0.25</v>
      </c>
      <c r="E63" s="641">
        <f>'数据-汇总表'!E11</f>
        <v>0</v>
      </c>
      <c r="F63" s="636" t="e">
        <f t="shared" si="15"/>
        <v>#DIV/0!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t="e">
        <f t="shared" si="17"/>
        <v>#DIV/0!</v>
      </c>
      <c r="C64" s="378">
        <f t="shared" si="16"/>
        <v>0</v>
      </c>
      <c r="D64" s="2230">
        <v>0.25</v>
      </c>
      <c r="E64" s="641">
        <f>'数据-汇总表'!E12</f>
        <v>0</v>
      </c>
      <c r="F64" s="636" t="e">
        <f t="shared" si="15"/>
        <v>#DIV/0!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t="e">
        <f t="shared" si="17"/>
        <v>#DIV/0!</v>
      </c>
      <c r="C65" s="378">
        <f t="shared" si="16"/>
        <v>0</v>
      </c>
      <c r="D65" s="2230">
        <v>0.25</v>
      </c>
      <c r="E65" s="641">
        <f>'数据-汇总表'!E13</f>
        <v>0</v>
      </c>
      <c r="F65" s="636" t="e">
        <f t="shared" si="15"/>
        <v>#DIV/0!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t="e">
        <f t="shared" si="17"/>
        <v>#DIV/0!</v>
      </c>
      <c r="C66" s="378">
        <f t="shared" si="16"/>
        <v>0</v>
      </c>
      <c r="D66" s="2230">
        <v>0.25</v>
      </c>
      <c r="E66" s="641">
        <f>'数据-汇总表'!E14</f>
        <v>0</v>
      </c>
      <c r="F66" s="636" t="e">
        <f t="shared" si="15"/>
        <v>#DIV/0!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t="e">
        <f t="shared" si="17"/>
        <v>#DIV/0!</v>
      </c>
      <c r="C67" s="378">
        <f t="shared" si="16"/>
        <v>0</v>
      </c>
      <c r="D67" s="2230">
        <v>0.25</v>
      </c>
      <c r="E67" s="641">
        <f>'数据-汇总表'!E15</f>
        <v>0</v>
      </c>
      <c r="F67" s="636" t="e">
        <f t="shared" si="15"/>
        <v>#DIV/0!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120363.16</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8">EDATE(D70,-3)</f>
        <v>43344</v>
      </c>
      <c r="F70" s="2778">
        <f t="shared" si="18"/>
        <v>43252</v>
      </c>
      <c r="G70" s="2778">
        <f t="shared" si="18"/>
        <v>43160</v>
      </c>
      <c r="H70" s="2778">
        <f t="shared" si="18"/>
        <v>43070</v>
      </c>
      <c r="I70" s="2778">
        <f t="shared" si="18"/>
        <v>42979</v>
      </c>
      <c r="J70" s="2778">
        <f t="shared" si="18"/>
        <v>42887</v>
      </c>
      <c r="K70" s="2778">
        <f t="shared" si="18"/>
        <v>42795</v>
      </c>
      <c r="L70" s="2778">
        <f t="shared" si="18"/>
        <v>42705</v>
      </c>
      <c r="M70" s="2778">
        <f t="shared" si="18"/>
        <v>42614</v>
      </c>
      <c r="N70" s="2778">
        <f t="shared" si="18"/>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c r="E73" s="730"/>
      <c r="F73" s="730"/>
      <c r="G73" s="730"/>
      <c r="H73" s="730"/>
      <c r="I73" s="730"/>
      <c r="J73" s="730"/>
      <c r="K73" s="730"/>
      <c r="L73" s="730"/>
      <c r="M73" s="2771"/>
      <c r="N73" s="2772"/>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9" t="str">
        <f t="shared" si="25"/>
        <v>(含)-</v>
      </c>
      <c r="K118" s="3069" t="str">
        <f t="shared" si="25"/>
        <v>(含)-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76" t="s">
        <v>522</v>
      </c>
      <c r="D6" s="3377"/>
      <c r="E6" s="3410" t="s">
        <v>523</v>
      </c>
      <c r="F6" s="3411"/>
      <c r="G6" s="3376" t="s">
        <v>524</v>
      </c>
      <c r="H6" s="3377"/>
      <c r="I6" s="3376" t="s">
        <v>525</v>
      </c>
      <c r="J6" s="3377"/>
      <c r="K6" s="514" t="s">
        <v>526</v>
      </c>
      <c r="L6" s="2134"/>
      <c r="M6" s="2135"/>
      <c r="N6" s="2135"/>
      <c r="O6" s="2135"/>
      <c r="P6" s="3378" t="s">
        <v>527</v>
      </c>
      <c r="Q6" s="3379"/>
      <c r="R6" s="3384" t="s">
        <v>523</v>
      </c>
      <c r="S6" s="3385"/>
      <c r="T6" s="3384" t="s">
        <v>524</v>
      </c>
      <c r="U6" s="3385"/>
      <c r="V6" s="3371" t="s">
        <v>525</v>
      </c>
      <c r="W6" s="3371"/>
      <c r="X6" s="1568"/>
      <c r="Y6" s="3384" t="s">
        <v>527</v>
      </c>
      <c r="Z6" s="3385"/>
      <c r="AA6" s="3373" t="s">
        <v>523</v>
      </c>
      <c r="AB6" s="3374" t="s">
        <v>524</v>
      </c>
      <c r="AC6" s="3373" t="s">
        <v>525</v>
      </c>
    </row>
    <row r="7" spans="1:29" ht="15">
      <c r="A7" s="515"/>
      <c r="B7" s="516"/>
      <c r="C7" s="3392" t="s">
        <v>2929</v>
      </c>
      <c r="D7" s="3393"/>
      <c r="E7" s="3412" t="s">
        <v>2930</v>
      </c>
      <c r="F7" s="3413"/>
      <c r="G7" s="3392" t="s">
        <v>2931</v>
      </c>
      <c r="H7" s="3393"/>
      <c r="I7" s="3392" t="s">
        <v>2932</v>
      </c>
      <c r="J7" s="3393"/>
      <c r="K7" s="514"/>
      <c r="L7" s="2134"/>
      <c r="M7" s="2135"/>
      <c r="N7" s="2135"/>
      <c r="O7" s="2135"/>
      <c r="P7" s="3380"/>
      <c r="Q7" s="3381"/>
      <c r="R7" s="3386"/>
      <c r="S7" s="3387"/>
      <c r="T7" s="3386"/>
      <c r="U7" s="3387"/>
      <c r="V7" s="3371"/>
      <c r="W7" s="3371"/>
      <c r="X7" s="1568"/>
      <c r="Y7" s="3386"/>
      <c r="Z7" s="3387"/>
      <c r="AA7" s="3374"/>
      <c r="AB7" s="3374"/>
      <c r="AC7" s="3374"/>
    </row>
    <row r="8" spans="1:29" ht="15.75" thickBot="1">
      <c r="A8" s="517"/>
      <c r="B8" s="518"/>
      <c r="C8" s="3390" t="s">
        <v>2933</v>
      </c>
      <c r="D8" s="3391"/>
      <c r="E8" s="3408" t="s">
        <v>2933</v>
      </c>
      <c r="F8" s="3409"/>
      <c r="G8" s="3390" t="s">
        <v>2933</v>
      </c>
      <c r="H8" s="3391"/>
      <c r="I8" s="3390" t="s">
        <v>2933</v>
      </c>
      <c r="J8" s="3391"/>
      <c r="K8" s="514" t="s">
        <v>528</v>
      </c>
      <c r="L8" s="2134"/>
      <c r="M8" s="2135"/>
      <c r="N8" s="2135"/>
      <c r="O8" s="2135"/>
      <c r="P8" s="3382"/>
      <c r="Q8" s="3383"/>
      <c r="R8" s="3386"/>
      <c r="S8" s="3387"/>
      <c r="T8" s="3388"/>
      <c r="U8" s="3389"/>
      <c r="V8" s="3371"/>
      <c r="W8" s="3371"/>
      <c r="X8" s="1568"/>
      <c r="Y8" s="3388"/>
      <c r="Z8" s="3389"/>
      <c r="AA8" s="3375"/>
      <c r="AB8" s="3375"/>
      <c r="AC8" s="3375"/>
    </row>
    <row r="9" spans="1:29" s="1220" customFormat="1" ht="15.75" thickBot="1">
      <c r="A9" s="2891"/>
      <c r="B9" s="2898" t="s">
        <v>529</v>
      </c>
      <c r="C9" s="519">
        <f>'数据-取费表'!B2</f>
        <v>43544</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01" t="s">
        <v>530</v>
      </c>
      <c r="Q9" s="3403"/>
      <c r="R9" s="1569" t="s">
        <v>8</v>
      </c>
      <c r="S9" s="1570">
        <f t="shared" ref="S9:S17" si="0">F9</f>
        <v>0</v>
      </c>
      <c r="T9" s="1569" t="s">
        <v>8</v>
      </c>
      <c r="U9" s="1570">
        <f t="shared" ref="U9:U17" si="1">H9</f>
        <v>0</v>
      </c>
      <c r="V9" s="1569" t="s">
        <v>8</v>
      </c>
      <c r="W9" s="1570">
        <f t="shared" ref="W9:W17" si="2">J9</f>
        <v>0</v>
      </c>
      <c r="X9" s="1571"/>
      <c r="Y9" s="3401" t="s">
        <v>530</v>
      </c>
      <c r="Z9" s="3402"/>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01" t="s">
        <v>533</v>
      </c>
      <c r="Q10" s="3402"/>
      <c r="R10" s="1569" t="s">
        <v>8</v>
      </c>
      <c r="S10" s="1570">
        <f t="shared" si="0"/>
        <v>0</v>
      </c>
      <c r="T10" s="1569" t="s">
        <v>8</v>
      </c>
      <c r="U10" s="1570">
        <f t="shared" si="1"/>
        <v>0</v>
      </c>
      <c r="V10" s="1569" t="s">
        <v>8</v>
      </c>
      <c r="W10" s="1570">
        <f t="shared" si="2"/>
        <v>0</v>
      </c>
      <c r="X10" s="1571"/>
      <c r="Y10" s="3401" t="s">
        <v>533</v>
      </c>
      <c r="Z10" s="3402"/>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70" t="s">
        <v>535</v>
      </c>
      <c r="Q11" s="1151" t="str">
        <f t="shared" ref="Q11:Q17" si="6">B11</f>
        <v>用途</v>
      </c>
      <c r="R11" s="1569" t="s">
        <v>8</v>
      </c>
      <c r="S11" s="1570">
        <f t="shared" si="0"/>
        <v>100</v>
      </c>
      <c r="T11" s="1569" t="s">
        <v>8</v>
      </c>
      <c r="U11" s="1570">
        <f t="shared" si="1"/>
        <v>100</v>
      </c>
      <c r="V11" s="1569" t="s">
        <v>8</v>
      </c>
      <c r="W11" s="1570">
        <f t="shared" si="2"/>
        <v>100</v>
      </c>
      <c r="X11" s="1571"/>
      <c r="Y11" s="3294"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122</v>
      </c>
      <c r="G12" s="528"/>
      <c r="H12" s="255">
        <f>ROUND(100/'数据-取费表'!G16,0)</f>
        <v>122</v>
      </c>
      <c r="I12" s="528"/>
      <c r="J12" s="255">
        <f>ROUND(100/'数据-取费表'!G16,0)</f>
        <v>122</v>
      </c>
      <c r="K12" s="531"/>
      <c r="L12" s="2139"/>
      <c r="M12" s="2179"/>
      <c r="N12" s="2179"/>
      <c r="O12" s="2140"/>
      <c r="P12" s="3370"/>
      <c r="Q12" s="1151" t="str">
        <f t="shared" si="6"/>
        <v>土地使用年限（年）</v>
      </c>
      <c r="R12" s="1569" t="s">
        <v>8</v>
      </c>
      <c r="S12" s="1570">
        <f t="shared" si="0"/>
        <v>122</v>
      </c>
      <c r="T12" s="1569" t="s">
        <v>8</v>
      </c>
      <c r="U12" s="1570">
        <f t="shared" si="1"/>
        <v>122</v>
      </c>
      <c r="V12" s="1569" t="s">
        <v>8</v>
      </c>
      <c r="W12" s="1570">
        <f t="shared" si="2"/>
        <v>122</v>
      </c>
      <c r="X12" s="1571"/>
      <c r="Y12" s="3294"/>
      <c r="Z12" s="1150" t="str">
        <f t="shared" si="7"/>
        <v>土地使用年限（年）</v>
      </c>
      <c r="AA12" s="1572">
        <f t="shared" si="3"/>
        <v>0.81967213114754101</v>
      </c>
      <c r="AB12" s="1572">
        <f t="shared" si="4"/>
        <v>0.81967213114754101</v>
      </c>
      <c r="AC12" s="1572">
        <f t="shared" si="5"/>
        <v>0.81967213114754101</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70"/>
      <c r="Q13" s="1151" t="str">
        <f t="shared" si="6"/>
        <v>容积率</v>
      </c>
      <c r="R13" s="1569" t="s">
        <v>8</v>
      </c>
      <c r="S13" s="1570" t="e">
        <f t="shared" si="0"/>
        <v>#N/A</v>
      </c>
      <c r="T13" s="1569" t="s">
        <v>8</v>
      </c>
      <c r="U13" s="1570" t="e">
        <f t="shared" si="1"/>
        <v>#N/A</v>
      </c>
      <c r="V13" s="1569" t="s">
        <v>8</v>
      </c>
      <c r="W13" s="1570" t="e">
        <f t="shared" si="2"/>
        <v>#N/A</v>
      </c>
      <c r="X13" s="1571"/>
      <c r="Y13" s="3294"/>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70"/>
      <c r="Q14" s="1151">
        <f t="shared" si="6"/>
        <v>111</v>
      </c>
      <c r="R14" s="1569" t="s">
        <v>8</v>
      </c>
      <c r="S14" s="1570">
        <f t="shared" si="0"/>
        <v>100</v>
      </c>
      <c r="T14" s="1569" t="s">
        <v>8</v>
      </c>
      <c r="U14" s="1570">
        <f t="shared" si="1"/>
        <v>100</v>
      </c>
      <c r="V14" s="1569" t="s">
        <v>8</v>
      </c>
      <c r="W14" s="1570">
        <f t="shared" si="2"/>
        <v>100</v>
      </c>
      <c r="X14" s="1571"/>
      <c r="Y14" s="3294"/>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70"/>
      <c r="Q15" s="1151">
        <f t="shared" si="6"/>
        <v>111</v>
      </c>
      <c r="R15" s="1569" t="s">
        <v>8</v>
      </c>
      <c r="S15" s="1570">
        <f t="shared" si="0"/>
        <v>100</v>
      </c>
      <c r="T15" s="1569" t="s">
        <v>8</v>
      </c>
      <c r="U15" s="1570">
        <f t="shared" si="1"/>
        <v>100</v>
      </c>
      <c r="V15" s="1569" t="s">
        <v>8</v>
      </c>
      <c r="W15" s="1570">
        <f t="shared" si="2"/>
        <v>100</v>
      </c>
      <c r="X15" s="1571"/>
      <c r="Y15" s="3294"/>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70"/>
      <c r="Q16" s="1151">
        <f t="shared" si="6"/>
        <v>111</v>
      </c>
      <c r="R16" s="1569" t="s">
        <v>8</v>
      </c>
      <c r="S16" s="1570">
        <f t="shared" si="0"/>
        <v>100</v>
      </c>
      <c r="T16" s="1569" t="s">
        <v>8</v>
      </c>
      <c r="U16" s="1570">
        <f t="shared" si="1"/>
        <v>100</v>
      </c>
      <c r="V16" s="1569" t="s">
        <v>8</v>
      </c>
      <c r="W16" s="1570">
        <f t="shared" si="2"/>
        <v>100</v>
      </c>
      <c r="X16" s="1571"/>
      <c r="Y16" s="3294"/>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04" t="s">
        <v>540</v>
      </c>
      <c r="Q17" s="1573" t="str">
        <f t="shared" si="6"/>
        <v>产业集聚程度</v>
      </c>
      <c r="R17" s="1574" t="s">
        <v>8</v>
      </c>
      <c r="S17" s="1575">
        <f t="shared" si="0"/>
        <v>100</v>
      </c>
      <c r="T17" s="1574" t="s">
        <v>8</v>
      </c>
      <c r="U17" s="1575">
        <f t="shared" si="1"/>
        <v>100</v>
      </c>
      <c r="V17" s="1574" t="s">
        <v>8</v>
      </c>
      <c r="W17" s="1575">
        <f t="shared" si="2"/>
        <v>100</v>
      </c>
      <c r="X17" s="1568"/>
      <c r="Y17" s="340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05"/>
      <c r="Q18" s="1573"/>
      <c r="R18" s="1574"/>
      <c r="S18" s="1575"/>
      <c r="T18" s="1574"/>
      <c r="U18" s="1575"/>
      <c r="V18" s="1574"/>
      <c r="W18" s="1575"/>
      <c r="X18" s="1568"/>
      <c r="Y18" s="340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05"/>
      <c r="Q19" s="1573" t="str">
        <f>B19</f>
        <v>交通便捷度</v>
      </c>
      <c r="R19" s="1574" t="s">
        <v>8</v>
      </c>
      <c r="S19" s="1575">
        <f>F19</f>
        <v>100</v>
      </c>
      <c r="T19" s="1574" t="s">
        <v>8</v>
      </c>
      <c r="U19" s="1575">
        <f>H19</f>
        <v>100</v>
      </c>
      <c r="V19" s="1574" t="s">
        <v>8</v>
      </c>
      <c r="W19" s="1575">
        <f>J19</f>
        <v>100</v>
      </c>
      <c r="X19" s="1568"/>
      <c r="Y19" s="340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05"/>
      <c r="Q20" s="1573"/>
      <c r="R20" s="1574"/>
      <c r="S20" s="1575"/>
      <c r="T20" s="1574"/>
      <c r="U20" s="1575"/>
      <c r="V20" s="1574"/>
      <c r="W20" s="1575"/>
      <c r="X20" s="1568"/>
      <c r="Y20" s="340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05"/>
      <c r="Q21" s="1573" t="str">
        <f t="shared" ref="Q21:Q35" si="8">B21</f>
        <v>区域土地利用方向</v>
      </c>
      <c r="R21" s="1574" t="s">
        <v>8</v>
      </c>
      <c r="S21" s="1575">
        <f>F21</f>
        <v>100</v>
      </c>
      <c r="T21" s="1574" t="s">
        <v>8</v>
      </c>
      <c r="U21" s="1575">
        <f>H21</f>
        <v>100</v>
      </c>
      <c r="V21" s="1574" t="s">
        <v>8</v>
      </c>
      <c r="W21" s="1575">
        <f>J21</f>
        <v>100</v>
      </c>
      <c r="X21" s="1568"/>
      <c r="Y21" s="340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05"/>
      <c r="Q22" s="1573"/>
      <c r="R22" s="1574"/>
      <c r="S22" s="1575"/>
      <c r="T22" s="1574"/>
      <c r="U22" s="1575"/>
      <c r="V22" s="1574"/>
      <c r="W22" s="1575"/>
      <c r="X22" s="1568"/>
      <c r="Y22" s="340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05"/>
      <c r="Q23" s="1573" t="str">
        <f t="shared" si="8"/>
        <v>环境状况</v>
      </c>
      <c r="R23" s="1574" t="s">
        <v>8</v>
      </c>
      <c r="S23" s="1575">
        <f>F23</f>
        <v>100</v>
      </c>
      <c r="T23" s="1574" t="s">
        <v>8</v>
      </c>
      <c r="U23" s="1575">
        <f>H23</f>
        <v>100</v>
      </c>
      <c r="V23" s="1574" t="s">
        <v>8</v>
      </c>
      <c r="W23" s="1575">
        <f>J23</f>
        <v>100</v>
      </c>
      <c r="X23" s="1568"/>
      <c r="Y23" s="340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05"/>
      <c r="Q24" s="1573"/>
      <c r="R24" s="1574"/>
      <c r="S24" s="1575"/>
      <c r="T24" s="1574"/>
      <c r="U24" s="1575"/>
      <c r="V24" s="1574"/>
      <c r="W24" s="1575"/>
      <c r="X24" s="1568"/>
      <c r="Y24" s="3405"/>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05"/>
      <c r="Q25" s="1151" t="str">
        <f t="shared" si="8"/>
        <v>公共配套设施</v>
      </c>
      <c r="R25" s="1569" t="s">
        <v>8</v>
      </c>
      <c r="S25" s="1570">
        <f>F25</f>
        <v>100</v>
      </c>
      <c r="T25" s="1569" t="s">
        <v>8</v>
      </c>
      <c r="U25" s="1570">
        <f>H25</f>
        <v>100</v>
      </c>
      <c r="V25" s="1569" t="s">
        <v>8</v>
      </c>
      <c r="W25" s="1570">
        <f>J25</f>
        <v>100</v>
      </c>
      <c r="X25" s="1571"/>
      <c r="Y25" s="3405"/>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405"/>
      <c r="Q26" s="1151"/>
      <c r="R26" s="1569"/>
      <c r="S26" s="1570"/>
      <c r="T26" s="1569"/>
      <c r="U26" s="1570"/>
      <c r="V26" s="1569"/>
      <c r="W26" s="1570"/>
      <c r="X26" s="1571"/>
      <c r="Y26" s="3405"/>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05"/>
      <c r="Q27" s="2558" t="str">
        <f t="shared" ref="Q27" si="9">B27</f>
        <v>基础设施水平</v>
      </c>
      <c r="R27" s="1569" t="s">
        <v>8</v>
      </c>
      <c r="S27" s="1570">
        <f>F27</f>
        <v>100</v>
      </c>
      <c r="T27" s="1569" t="s">
        <v>8</v>
      </c>
      <c r="U27" s="1570">
        <f>H27</f>
        <v>100</v>
      </c>
      <c r="V27" s="1569" t="s">
        <v>8</v>
      </c>
      <c r="W27" s="1570">
        <f>J27</f>
        <v>100</v>
      </c>
      <c r="X27" s="1571"/>
      <c r="Y27" s="3405"/>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405"/>
      <c r="Q28" s="2558"/>
      <c r="R28" s="1569"/>
      <c r="S28" s="1570"/>
      <c r="T28" s="1569"/>
      <c r="U28" s="1570"/>
      <c r="V28" s="1569"/>
      <c r="W28" s="1570"/>
      <c r="X28" s="1571"/>
      <c r="Y28" s="3405"/>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0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5"/>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05"/>
      <c r="Q30" s="1573" t="str">
        <f t="shared" si="8"/>
        <v>毗邻道路的类型与等级</v>
      </c>
      <c r="R30" s="1574" t="s">
        <v>8</v>
      </c>
      <c r="S30" s="1575">
        <f t="shared" si="10"/>
        <v>100</v>
      </c>
      <c r="T30" s="1574" t="s">
        <v>8</v>
      </c>
      <c r="U30" s="1575">
        <f t="shared" si="11"/>
        <v>100</v>
      </c>
      <c r="V30" s="1574" t="s">
        <v>8</v>
      </c>
      <c r="W30" s="1575">
        <f t="shared" si="12"/>
        <v>100</v>
      </c>
      <c r="X30" s="1568"/>
      <c r="Y30" s="340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05"/>
      <c r="Q31" s="1573"/>
      <c r="R31" s="1574"/>
      <c r="S31" s="1575"/>
      <c r="T31" s="1574"/>
      <c r="U31" s="1575"/>
      <c r="V31" s="1574"/>
      <c r="W31" s="1575"/>
      <c r="X31" s="1568"/>
      <c r="Y31" s="3405"/>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05"/>
      <c r="Q32" s="1573" t="str">
        <f t="shared" si="8"/>
        <v>土地级别</v>
      </c>
      <c r="R32" s="1574" t="s">
        <v>8</v>
      </c>
      <c r="S32" s="1575">
        <f t="shared" si="10"/>
        <v>100</v>
      </c>
      <c r="T32" s="1574" t="s">
        <v>8</v>
      </c>
      <c r="U32" s="1575">
        <f t="shared" si="11"/>
        <v>100</v>
      </c>
      <c r="V32" s="1574" t="s">
        <v>8</v>
      </c>
      <c r="W32" s="1575">
        <f t="shared" si="12"/>
        <v>100</v>
      </c>
      <c r="X32" s="1568"/>
      <c r="Y32" s="340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05"/>
      <c r="Q33" s="1573">
        <f t="shared" si="8"/>
        <v>111</v>
      </c>
      <c r="R33" s="1574" t="s">
        <v>8</v>
      </c>
      <c r="S33" s="1575">
        <f t="shared" si="10"/>
        <v>100</v>
      </c>
      <c r="T33" s="1574" t="s">
        <v>8</v>
      </c>
      <c r="U33" s="1575">
        <f t="shared" si="11"/>
        <v>100</v>
      </c>
      <c r="V33" s="1574" t="s">
        <v>8</v>
      </c>
      <c r="W33" s="1575">
        <f t="shared" si="12"/>
        <v>100</v>
      </c>
      <c r="X33" s="1568"/>
      <c r="Y33" s="340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06" t="s">
        <v>550</v>
      </c>
      <c r="Q34" s="1573">
        <f t="shared" si="8"/>
        <v>111</v>
      </c>
      <c r="R34" s="1574" t="s">
        <v>8</v>
      </c>
      <c r="S34" s="1575">
        <f t="shared" si="10"/>
        <v>100</v>
      </c>
      <c r="T34" s="1574" t="s">
        <v>8</v>
      </c>
      <c r="U34" s="1575">
        <f t="shared" si="11"/>
        <v>100</v>
      </c>
      <c r="V34" s="1574" t="s">
        <v>8</v>
      </c>
      <c r="W34" s="1575">
        <f t="shared" si="12"/>
        <v>100</v>
      </c>
      <c r="X34" s="1568"/>
      <c r="Y34" s="3407"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07"/>
      <c r="Q35" s="1573">
        <f t="shared" si="8"/>
        <v>111</v>
      </c>
      <c r="R35" s="1578" t="s">
        <v>8</v>
      </c>
      <c r="S35" s="1579">
        <f t="shared" si="10"/>
        <v>100</v>
      </c>
      <c r="T35" s="1578" t="s">
        <v>8</v>
      </c>
      <c r="U35" s="1579">
        <f t="shared" si="11"/>
        <v>100</v>
      </c>
      <c r="V35" s="1578" t="s">
        <v>8</v>
      </c>
      <c r="W35" s="1579">
        <f t="shared" si="12"/>
        <v>100</v>
      </c>
      <c r="X35" s="1580"/>
      <c r="Y35" s="3407"/>
      <c r="Z35" s="1581">
        <f t="shared" si="13"/>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07"/>
      <c r="Q36" s="1573" t="str">
        <f>B36</f>
        <v>宗地面积</v>
      </c>
      <c r="R36" s="1574" t="s">
        <v>8</v>
      </c>
      <c r="S36" s="1575" t="e">
        <f t="shared" si="10"/>
        <v>#N/A</v>
      </c>
      <c r="T36" s="1574" t="s">
        <v>8</v>
      </c>
      <c r="U36" s="1575" t="e">
        <f t="shared" si="11"/>
        <v>#N/A</v>
      </c>
      <c r="V36" s="1574" t="s">
        <v>8</v>
      </c>
      <c r="W36" s="1575" t="e">
        <f t="shared" si="12"/>
        <v>#N/A</v>
      </c>
      <c r="X36" s="1568"/>
      <c r="Y36" s="340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07"/>
      <c r="Q37" s="1573" t="str">
        <f t="shared" ref="Q37:Q42" si="14">B37</f>
        <v>宗地形状</v>
      </c>
      <c r="R37" s="1574" t="s">
        <v>8</v>
      </c>
      <c r="S37" s="1575">
        <f t="shared" si="10"/>
        <v>100</v>
      </c>
      <c r="T37" s="1574" t="s">
        <v>8</v>
      </c>
      <c r="U37" s="1575">
        <f t="shared" si="11"/>
        <v>100</v>
      </c>
      <c r="V37" s="1574" t="s">
        <v>8</v>
      </c>
      <c r="W37" s="1575">
        <f t="shared" si="12"/>
        <v>100</v>
      </c>
      <c r="X37" s="1568"/>
      <c r="Y37" s="3407"/>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07"/>
      <c r="Q38" s="1573" t="str">
        <f t="shared" si="14"/>
        <v>宗地开发程度</v>
      </c>
      <c r="R38" s="1569" t="s">
        <v>8</v>
      </c>
      <c r="S38" s="1570">
        <f t="shared" si="10"/>
        <v>100</v>
      </c>
      <c r="T38" s="1569" t="s">
        <v>8</v>
      </c>
      <c r="U38" s="1570">
        <f t="shared" si="11"/>
        <v>100</v>
      </c>
      <c r="V38" s="1569" t="s">
        <v>8</v>
      </c>
      <c r="W38" s="1570">
        <f t="shared" si="12"/>
        <v>100</v>
      </c>
      <c r="X38" s="1571"/>
      <c r="Y38" s="340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7" t="s">
        <v>601</v>
      </c>
      <c r="Q39" s="1573" t="str">
        <f t="shared" si="14"/>
        <v>工程地质条件</v>
      </c>
      <c r="R39" s="1574" t="s">
        <v>8</v>
      </c>
      <c r="S39" s="1575">
        <f t="shared" si="10"/>
        <v>100</v>
      </c>
      <c r="T39" s="1574" t="s">
        <v>8</v>
      </c>
      <c r="U39" s="1575">
        <f t="shared" si="11"/>
        <v>100</v>
      </c>
      <c r="V39" s="1574" t="s">
        <v>8</v>
      </c>
      <c r="W39" s="1575">
        <f t="shared" si="12"/>
        <v>100</v>
      </c>
      <c r="X39" s="1568"/>
      <c r="Y39" s="340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07"/>
      <c r="Q40" s="1573">
        <f t="shared" si="14"/>
        <v>111</v>
      </c>
      <c r="R40" s="1574" t="s">
        <v>8</v>
      </c>
      <c r="S40" s="1575">
        <f t="shared" si="10"/>
        <v>100</v>
      </c>
      <c r="T40" s="1574" t="s">
        <v>8</v>
      </c>
      <c r="U40" s="1575">
        <f t="shared" si="11"/>
        <v>100</v>
      </c>
      <c r="V40" s="1574" t="s">
        <v>8</v>
      </c>
      <c r="W40" s="1575">
        <f t="shared" si="12"/>
        <v>100</v>
      </c>
      <c r="X40" s="1568"/>
      <c r="Y40" s="340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07"/>
      <c r="Q41" s="1573">
        <f t="shared" si="14"/>
        <v>111</v>
      </c>
      <c r="R41" s="1574" t="s">
        <v>8</v>
      </c>
      <c r="S41" s="1575">
        <f t="shared" si="10"/>
        <v>100</v>
      </c>
      <c r="T41" s="1574" t="s">
        <v>8</v>
      </c>
      <c r="U41" s="1575">
        <f t="shared" si="11"/>
        <v>100</v>
      </c>
      <c r="V41" s="1574" t="s">
        <v>8</v>
      </c>
      <c r="W41" s="1575">
        <f t="shared" si="12"/>
        <v>100</v>
      </c>
      <c r="X41" s="1568"/>
      <c r="Y41" s="340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07"/>
      <c r="Q42" s="1573">
        <f t="shared" si="14"/>
        <v>111</v>
      </c>
      <c r="R42" s="1578" t="s">
        <v>8</v>
      </c>
      <c r="S42" s="1579">
        <f t="shared" si="10"/>
        <v>100</v>
      </c>
      <c r="T42" s="1578" t="s">
        <v>8</v>
      </c>
      <c r="U42" s="1579">
        <f t="shared" si="11"/>
        <v>100</v>
      </c>
      <c r="V42" s="1578" t="s">
        <v>8</v>
      </c>
      <c r="W42" s="1579">
        <f t="shared" si="12"/>
        <v>100</v>
      </c>
      <c r="X42" s="1580"/>
      <c r="Y42" s="3407"/>
      <c r="Z42" s="1581">
        <f t="shared" si="13"/>
        <v>111</v>
      </c>
      <c r="AA42" s="1577">
        <f t="shared" si="3"/>
        <v>1</v>
      </c>
      <c r="AB42" s="1577">
        <f t="shared" si="4"/>
        <v>1</v>
      </c>
      <c r="AC42" s="1577">
        <f t="shared" si="5"/>
        <v>1</v>
      </c>
    </row>
    <row r="43" spans="1:29" ht="15">
      <c r="A43" s="607" t="s">
        <v>556</v>
      </c>
      <c r="B43" s="608" t="s">
        <v>2934</v>
      </c>
      <c r="C43" s="609" t="s">
        <v>1</v>
      </c>
      <c r="D43" s="610"/>
      <c r="E43" s="611"/>
      <c r="F43" s="612"/>
      <c r="G43" s="613"/>
      <c r="H43" s="614"/>
      <c r="I43" s="611"/>
      <c r="J43" s="614"/>
      <c r="K43" s="1340"/>
      <c r="L43" s="2145"/>
      <c r="M43" s="2135"/>
      <c r="N43" s="2135"/>
      <c r="O43" s="2146"/>
      <c r="P43" s="3370" t="str">
        <f>A43</f>
        <v>成交单价</v>
      </c>
      <c r="Q43" s="3370"/>
      <c r="R43" s="3371">
        <f>E43</f>
        <v>0</v>
      </c>
      <c r="S43" s="3371"/>
      <c r="T43" s="3371">
        <f>G43</f>
        <v>0</v>
      </c>
      <c r="U43" s="3371"/>
      <c r="V43" s="3371">
        <f>I43</f>
        <v>0</v>
      </c>
      <c r="W43" s="3371"/>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70" t="str">
        <f>A44</f>
        <v>比较价格（元/平方米）</v>
      </c>
      <c r="Q44" s="3370"/>
      <c r="R44" s="3372" t="e">
        <f>ROUND(PRODUCT(R43,AA9:AA42),0)</f>
        <v>#DIV/0!</v>
      </c>
      <c r="S44" s="3372"/>
      <c r="T44" s="3372" t="e">
        <f>ROUND(PRODUCT(T43,AB9:AB42),0)</f>
        <v>#DIV/0!</v>
      </c>
      <c r="U44" s="3372"/>
      <c r="V44" s="3372" t="e">
        <f>ROUND(PRODUCT(V43,AC9:AC42),0)</f>
        <v>#DIV/0!</v>
      </c>
      <c r="W44" s="3372"/>
      <c r="X44" s="1560"/>
      <c r="Y44" s="1560"/>
      <c r="Z44" s="1560"/>
      <c r="AA44" s="1560"/>
      <c r="AB44" s="1560"/>
      <c r="AC44" s="1560"/>
    </row>
    <row r="45" spans="1:29" ht="15.75" thickBot="1">
      <c r="A45" s="621" t="s">
        <v>2935</v>
      </c>
      <c r="B45" s="622"/>
      <c r="C45" s="623" t="e">
        <f>R45</f>
        <v>#DIV/0!</v>
      </c>
      <c r="D45" s="623"/>
      <c r="E45" s="623"/>
      <c r="F45" s="623"/>
      <c r="G45" s="623"/>
      <c r="H45" s="623"/>
      <c r="I45" s="623"/>
      <c r="J45" s="623"/>
      <c r="K45" s="1342"/>
      <c r="L45" s="2145"/>
      <c r="M45" s="2135"/>
      <c r="N45" s="2135"/>
      <c r="O45" s="2146"/>
      <c r="P45" s="3367" t="str">
        <f>A45</f>
        <v>估价对象XX用房的比较价格（楼面单价，元/平方米）</v>
      </c>
      <c r="Q45" s="3368"/>
      <c r="R45" s="3369" t="e">
        <f>ROUND(AVERAGE(R44:V44),0)</f>
        <v>#DIV/0!</v>
      </c>
      <c r="S45" s="3369"/>
      <c r="T45" s="3369"/>
      <c r="U45" s="3369"/>
      <c r="V45" s="3369"/>
      <c r="W45" s="3369"/>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414" t="s">
        <v>2285</v>
      </c>
      <c r="H52" s="3415"/>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72217.899999999994</v>
      </c>
      <c r="F53" s="1951" t="e">
        <f t="shared" ref="F53:F62" si="15">ROUND(B53*E53/10000,0)</f>
        <v>#DIV/0!</v>
      </c>
      <c r="G53" s="3416"/>
      <c r="H53" s="3417"/>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18"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18"/>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18"/>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18"/>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120363.16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8">EDATE(D65,-3)</f>
        <v>43344</v>
      </c>
      <c r="F65" s="2778">
        <f t="shared" si="18"/>
        <v>43252</v>
      </c>
      <c r="G65" s="2778">
        <f t="shared" si="18"/>
        <v>43160</v>
      </c>
      <c r="H65" s="2778">
        <f t="shared" si="18"/>
        <v>43070</v>
      </c>
      <c r="I65" s="2778">
        <f t="shared" si="18"/>
        <v>42979</v>
      </c>
      <c r="J65" s="2778">
        <f t="shared" si="18"/>
        <v>42887</v>
      </c>
      <c r="K65" s="2778">
        <f t="shared" si="18"/>
        <v>42795</v>
      </c>
      <c r="L65" s="2778">
        <f t="shared" si="18"/>
        <v>42705</v>
      </c>
      <c r="M65" s="2778">
        <f t="shared" si="18"/>
        <v>42614</v>
      </c>
      <c r="N65" s="2778">
        <f t="shared" si="18"/>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363" t="s">
        <v>1008</v>
      </c>
      <c r="B18" s="1154" t="s">
        <v>1447</v>
      </c>
      <c r="C18" s="1131" t="s">
        <v>1448</v>
      </c>
      <c r="D18" s="1132"/>
      <c r="E18" s="1154">
        <v>1</v>
      </c>
      <c r="F18" s="1133" t="s">
        <v>1449</v>
      </c>
      <c r="G18" s="1134"/>
      <c r="H18" s="1105"/>
      <c r="I18" s="1105"/>
    </row>
    <row r="19" spans="1:9" s="1600" customFormat="1" ht="19.5" customHeight="1">
      <c r="A19" s="3363"/>
      <c r="B19" s="3363" t="s">
        <v>1450</v>
      </c>
      <c r="C19" s="1131" t="s">
        <v>1451</v>
      </c>
      <c r="D19" s="1132"/>
      <c r="E19" s="1154">
        <v>0.9</v>
      </c>
      <c r="F19" s="1133" t="s">
        <v>1452</v>
      </c>
      <c r="G19" s="1134"/>
      <c r="H19" s="1105"/>
      <c r="I19" s="1105"/>
    </row>
    <row r="20" spans="1:9" s="1600" customFormat="1" ht="19.5" customHeight="1">
      <c r="A20" s="3363"/>
      <c r="B20" s="3363"/>
      <c r="C20" s="1131" t="s">
        <v>1453</v>
      </c>
      <c r="D20" s="1132"/>
      <c r="E20" s="1154">
        <v>1.1000000000000001</v>
      </c>
      <c r="F20" s="1133" t="s">
        <v>1454</v>
      </c>
      <c r="G20" s="1134"/>
      <c r="H20" s="1105"/>
      <c r="I20" s="1105"/>
    </row>
    <row r="21" spans="1:9" s="1600" customFormat="1" ht="19.5" customHeight="1">
      <c r="A21" s="3363"/>
      <c r="B21" s="3363"/>
      <c r="C21" s="1131" t="s">
        <v>1455</v>
      </c>
      <c r="D21" s="1132"/>
      <c r="E21" s="1154">
        <v>0.8</v>
      </c>
      <c r="F21" s="1133" t="s">
        <v>1456</v>
      </c>
      <c r="G21" s="1134"/>
      <c r="H21" s="1105"/>
      <c r="I21" s="1105"/>
    </row>
    <row r="22" spans="1:9" s="1600" customFormat="1" ht="19.5" customHeight="1">
      <c r="A22" s="3363"/>
      <c r="B22" s="3363"/>
      <c r="C22" s="1131" t="s">
        <v>1457</v>
      </c>
      <c r="D22" s="1132"/>
      <c r="E22" s="1154">
        <v>0.5</v>
      </c>
      <c r="F22" s="1133"/>
      <c r="G22" s="1134"/>
      <c r="H22" s="1105"/>
      <c r="I22" s="1105"/>
    </row>
    <row r="23" spans="1:9" s="1600" customFormat="1" ht="19.5" customHeight="1">
      <c r="A23" s="3363" t="s">
        <v>1030</v>
      </c>
      <c r="B23" s="1154" t="s">
        <v>1447</v>
      </c>
      <c r="C23" s="1131" t="s">
        <v>1458</v>
      </c>
      <c r="D23" s="1132"/>
      <c r="E23" s="1154">
        <v>1</v>
      </c>
      <c r="F23" s="1133" t="s">
        <v>1459</v>
      </c>
      <c r="G23" s="1134"/>
      <c r="H23" s="1105"/>
      <c r="I23" s="1105"/>
    </row>
    <row r="24" spans="1:9" s="1600" customFormat="1" ht="19.5" customHeight="1">
      <c r="A24" s="3363"/>
      <c r="B24" s="3363" t="s">
        <v>1450</v>
      </c>
      <c r="C24" s="1131" t="s">
        <v>1460</v>
      </c>
      <c r="D24" s="1132"/>
      <c r="E24" s="1154">
        <v>0.5</v>
      </c>
      <c r="F24" s="1133"/>
      <c r="G24" s="1134"/>
      <c r="H24" s="1105"/>
      <c r="I24" s="1105"/>
    </row>
    <row r="25" spans="1:9" s="1600" customFormat="1" ht="19.5" customHeight="1">
      <c r="A25" s="3363"/>
      <c r="B25" s="3363"/>
      <c r="C25" s="1131" t="s">
        <v>1461</v>
      </c>
      <c r="D25" s="1132"/>
      <c r="E25" s="1154">
        <v>1.1000000000000001</v>
      </c>
      <c r="F25" s="1133"/>
      <c r="G25" s="1134"/>
      <c r="H25" s="1105"/>
      <c r="I25" s="1105"/>
    </row>
    <row r="26" spans="1:9" s="1600" customFormat="1" ht="19.5" customHeight="1">
      <c r="A26" s="3363"/>
      <c r="B26" s="3363"/>
      <c r="C26" s="1131" t="s">
        <v>1462</v>
      </c>
      <c r="D26" s="1132"/>
      <c r="E26" s="1154">
        <v>1.1000000000000001</v>
      </c>
      <c r="F26" s="1133"/>
      <c r="G26" s="1134"/>
      <c r="H26" s="1105"/>
      <c r="I26" s="1105"/>
    </row>
    <row r="27" spans="1:9" s="1600" customFormat="1" ht="19.5" customHeight="1">
      <c r="A27" s="3363"/>
      <c r="B27" s="3363"/>
      <c r="C27" s="1131" t="s">
        <v>1463</v>
      </c>
      <c r="D27" s="1132"/>
      <c r="E27" s="1154">
        <v>0.9</v>
      </c>
      <c r="F27" s="1133" t="s">
        <v>1464</v>
      </c>
      <c r="G27" s="1134"/>
      <c r="H27" s="1105"/>
      <c r="I27" s="1105"/>
    </row>
    <row r="28" spans="1:9" s="1600" customFormat="1" ht="19.5" customHeight="1">
      <c r="A28" s="3363"/>
      <c r="B28" s="3363"/>
      <c r="C28" s="1131" t="s">
        <v>1465</v>
      </c>
      <c r="D28" s="1132"/>
      <c r="E28" s="1154">
        <v>0.9</v>
      </c>
      <c r="F28" s="1133" t="s">
        <v>1466</v>
      </c>
      <c r="G28" s="1134"/>
      <c r="H28" s="1105"/>
      <c r="I28" s="1105"/>
    </row>
    <row r="29" spans="1:9" s="1600" customFormat="1" ht="19.5" customHeight="1">
      <c r="A29" s="3363"/>
      <c r="B29" s="3363"/>
      <c r="C29" s="1131" t="s">
        <v>1467</v>
      </c>
      <c r="D29" s="1132"/>
      <c r="E29" s="1154">
        <v>0.9</v>
      </c>
      <c r="F29" s="1133" t="s">
        <v>1468</v>
      </c>
      <c r="G29" s="1134"/>
      <c r="H29" s="1105"/>
      <c r="I29" s="1105"/>
    </row>
    <row r="30" spans="1:9" s="1600" customFormat="1" ht="19.5" customHeight="1">
      <c r="A30" s="3363"/>
      <c r="B30" s="3363"/>
      <c r="C30" s="1131" t="s">
        <v>1469</v>
      </c>
      <c r="D30" s="1132"/>
      <c r="E30" s="1154">
        <v>0.9</v>
      </c>
      <c r="F30" s="1133" t="s">
        <v>1470</v>
      </c>
      <c r="G30" s="1134"/>
      <c r="H30" s="1105"/>
      <c r="I30" s="1105"/>
    </row>
    <row r="31" spans="1:9" s="1600" customFormat="1" ht="19.5" customHeight="1">
      <c r="A31" s="3363"/>
      <c r="B31" s="3363"/>
      <c r="C31" s="1131" t="s">
        <v>1471</v>
      </c>
      <c r="D31" s="1132"/>
      <c r="E31" s="1154">
        <v>0.8</v>
      </c>
      <c r="F31" s="1133" t="s">
        <v>1472</v>
      </c>
      <c r="G31" s="1134"/>
      <c r="H31" s="1105"/>
      <c r="I31" s="1105"/>
    </row>
    <row r="32" spans="1:9" s="1600" customFormat="1" ht="19.5" customHeight="1">
      <c r="A32" s="3363"/>
      <c r="B32" s="3363"/>
      <c r="C32" s="1131" t="s">
        <v>1473</v>
      </c>
      <c r="D32" s="1132"/>
      <c r="E32" s="1154">
        <v>0.8</v>
      </c>
      <c r="F32" s="1133" t="s">
        <v>1474</v>
      </c>
      <c r="G32" s="1134"/>
      <c r="H32" s="1105"/>
      <c r="I32" s="1105"/>
    </row>
    <row r="33" spans="1:9" s="1600" customFormat="1" ht="19.5" customHeight="1">
      <c r="A33" s="3363" t="s">
        <v>1475</v>
      </c>
      <c r="B33" s="1154" t="s">
        <v>1447</v>
      </c>
      <c r="C33" s="1131" t="s">
        <v>1476</v>
      </c>
      <c r="D33" s="1132"/>
      <c r="E33" s="1154">
        <v>1</v>
      </c>
      <c r="F33" s="1133" t="s">
        <v>1477</v>
      </c>
      <c r="G33" s="1134"/>
      <c r="H33" s="1105"/>
      <c r="I33" s="1105"/>
    </row>
    <row r="34" spans="1:9" s="1600" customFormat="1" ht="19.5" customHeight="1">
      <c r="A34" s="3363"/>
      <c r="B34" s="1154" t="s">
        <v>1450</v>
      </c>
      <c r="C34" s="1131" t="s">
        <v>1478</v>
      </c>
      <c r="D34" s="1132"/>
      <c r="E34" s="1154">
        <v>1.5</v>
      </c>
      <c r="F34" s="1133" t="s">
        <v>1479</v>
      </c>
      <c r="G34" s="1134"/>
      <c r="H34" s="1105"/>
      <c r="I34" s="1105"/>
    </row>
    <row r="35" spans="1:9" s="1600" customFormat="1" ht="19.5" customHeight="1">
      <c r="A35" s="3363" t="s">
        <v>1433</v>
      </c>
      <c r="B35" s="1154" t="s">
        <v>1447</v>
      </c>
      <c r="C35" s="1131" t="s">
        <v>1480</v>
      </c>
      <c r="D35" s="1132"/>
      <c r="E35" s="1154">
        <v>1</v>
      </c>
      <c r="F35" s="1133" t="s">
        <v>1481</v>
      </c>
      <c r="G35" s="1134"/>
      <c r="H35" s="1105"/>
      <c r="I35" s="1105"/>
    </row>
    <row r="36" spans="1:9" s="1600" customFormat="1" ht="19.5" customHeight="1">
      <c r="A36" s="3363"/>
      <c r="B36" s="3363" t="s">
        <v>1450</v>
      </c>
      <c r="C36" s="1131" t="s">
        <v>1482</v>
      </c>
      <c r="D36" s="1132"/>
      <c r="E36" s="1154">
        <v>1</v>
      </c>
      <c r="F36" s="1133" t="s">
        <v>1483</v>
      </c>
      <c r="G36" s="1134"/>
      <c r="H36" s="1105"/>
      <c r="I36" s="1105"/>
    </row>
    <row r="37" spans="1:9" s="1600" customFormat="1" ht="19.5" customHeight="1">
      <c r="A37" s="3363"/>
      <c r="B37" s="3363"/>
      <c r="C37" s="1131" t="s">
        <v>1484</v>
      </c>
      <c r="D37" s="1132"/>
      <c r="E37" s="1154">
        <v>1.5</v>
      </c>
      <c r="F37" s="1133" t="s">
        <v>1485</v>
      </c>
      <c r="G37" s="1134"/>
      <c r="H37" s="1105"/>
      <c r="I37" s="1105"/>
    </row>
    <row r="38" spans="1:9" s="1600" customFormat="1" ht="19.5" customHeight="1">
      <c r="A38" s="3363"/>
      <c r="B38" s="3363"/>
      <c r="C38" s="1131" t="s">
        <v>1486</v>
      </c>
      <c r="D38" s="1132"/>
      <c r="E38" s="1154">
        <v>1</v>
      </c>
      <c r="F38" s="1133" t="s">
        <v>1487</v>
      </c>
      <c r="G38" s="1134"/>
      <c r="H38" s="1105"/>
      <c r="I38" s="1105"/>
    </row>
    <row r="39" spans="1:9" s="1600" customFormat="1" ht="19.5" customHeight="1">
      <c r="A39" s="3363"/>
      <c r="B39" s="3363"/>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363" t="s">
        <v>1502</v>
      </c>
      <c r="C61" s="1068" t="s">
        <v>1503</v>
      </c>
      <c r="D61" s="1068" t="s">
        <v>1504</v>
      </c>
      <c r="E61" s="1139">
        <v>0.5</v>
      </c>
      <c r="F61" s="1154">
        <v>80</v>
      </c>
      <c r="H61" s="1105">
        <f>SUMIF(C59:C119,基准地价!C8,E59:E119)</f>
        <v>0</v>
      </c>
    </row>
    <row r="62" spans="1:8" s="1105" customFormat="1" ht="24">
      <c r="A62" s="1154">
        <v>2</v>
      </c>
      <c r="B62" s="3363"/>
      <c r="C62" s="1068" t="s">
        <v>1505</v>
      </c>
      <c r="D62" s="1068" t="s">
        <v>1506</v>
      </c>
      <c r="E62" s="1139">
        <v>0.5</v>
      </c>
      <c r="F62" s="1154">
        <v>80</v>
      </c>
    </row>
    <row r="63" spans="1:8" s="1105" customFormat="1" ht="36">
      <c r="A63" s="1154">
        <v>3</v>
      </c>
      <c r="B63" s="3363"/>
      <c r="C63" s="1068" t="s">
        <v>1507</v>
      </c>
      <c r="D63" s="1068" t="s">
        <v>1508</v>
      </c>
      <c r="E63" s="1139">
        <v>0.5</v>
      </c>
      <c r="F63" s="1154">
        <v>80</v>
      </c>
    </row>
    <row r="64" spans="1:8" s="1105" customFormat="1" ht="36">
      <c r="A64" s="1154">
        <v>4</v>
      </c>
      <c r="B64" s="3363"/>
      <c r="C64" s="1068" t="s">
        <v>1509</v>
      </c>
      <c r="D64" s="1068" t="s">
        <v>1510</v>
      </c>
      <c r="E64" s="1139">
        <v>0.4</v>
      </c>
      <c r="F64" s="1154">
        <v>60</v>
      </c>
    </row>
    <row r="65" spans="1:6" s="1105" customFormat="1" ht="36">
      <c r="A65" s="1154">
        <v>5</v>
      </c>
      <c r="B65" s="3363"/>
      <c r="C65" s="1068" t="s">
        <v>1511</v>
      </c>
      <c r="D65" s="1068" t="s">
        <v>1512</v>
      </c>
      <c r="E65" s="1139">
        <v>0.2</v>
      </c>
      <c r="F65" s="1154">
        <v>30</v>
      </c>
    </row>
    <row r="66" spans="1:6" s="1105" customFormat="1" ht="36">
      <c r="A66" s="1154">
        <v>6</v>
      </c>
      <c r="B66" s="3363"/>
      <c r="C66" s="1068" t="s">
        <v>1513</v>
      </c>
      <c r="D66" s="1068" t="s">
        <v>1514</v>
      </c>
      <c r="E66" s="1139">
        <v>0.3</v>
      </c>
      <c r="F66" s="1154">
        <v>50</v>
      </c>
    </row>
    <row r="67" spans="1:6" s="1105" customFormat="1" ht="36">
      <c r="A67" s="1154">
        <v>7</v>
      </c>
      <c r="B67" s="3363"/>
      <c r="C67" s="1068" t="s">
        <v>1515</v>
      </c>
      <c r="D67" s="1068" t="s">
        <v>1516</v>
      </c>
      <c r="E67" s="1139">
        <v>0.2</v>
      </c>
      <c r="F67" s="1154">
        <v>30</v>
      </c>
    </row>
    <row r="68" spans="1:6" s="1105" customFormat="1" ht="36">
      <c r="A68" s="1154">
        <v>8</v>
      </c>
      <c r="B68" s="3363"/>
      <c r="C68" s="1068" t="s">
        <v>1517</v>
      </c>
      <c r="D68" s="1068" t="s">
        <v>1518</v>
      </c>
      <c r="E68" s="1139">
        <v>0.2</v>
      </c>
      <c r="F68" s="1154">
        <v>30</v>
      </c>
    </row>
    <row r="69" spans="1:6" s="1105" customFormat="1" ht="36">
      <c r="A69" s="1154">
        <v>9</v>
      </c>
      <c r="B69" s="3363"/>
      <c r="C69" s="1068" t="s">
        <v>1519</v>
      </c>
      <c r="D69" s="1068" t="s">
        <v>1520</v>
      </c>
      <c r="E69" s="1139">
        <v>0.2</v>
      </c>
      <c r="F69" s="1154">
        <v>30</v>
      </c>
    </row>
    <row r="70" spans="1:6" s="1105" customFormat="1" ht="48">
      <c r="A70" s="1154">
        <v>10</v>
      </c>
      <c r="B70" s="3363"/>
      <c r="C70" s="1068" t="s">
        <v>1521</v>
      </c>
      <c r="D70" s="1068" t="s">
        <v>1522</v>
      </c>
      <c r="E70" s="1139">
        <v>0.2</v>
      </c>
      <c r="F70" s="1154">
        <v>30</v>
      </c>
    </row>
    <row r="71" spans="1:6" s="1105" customFormat="1" ht="48">
      <c r="A71" s="1154">
        <v>11</v>
      </c>
      <c r="B71" s="3363"/>
      <c r="C71" s="1068" t="s">
        <v>1523</v>
      </c>
      <c r="D71" s="1068" t="s">
        <v>1524</v>
      </c>
      <c r="E71" s="1139">
        <v>0.2</v>
      </c>
      <c r="F71" s="1154">
        <v>30</v>
      </c>
    </row>
    <row r="72" spans="1:6" s="1105" customFormat="1" ht="36">
      <c r="A72" s="1154">
        <v>12</v>
      </c>
      <c r="B72" s="3363"/>
      <c r="C72" s="1068" t="s">
        <v>1525</v>
      </c>
      <c r="D72" s="1068" t="s">
        <v>1526</v>
      </c>
      <c r="E72" s="1139">
        <v>0.5</v>
      </c>
      <c r="F72" s="1154">
        <v>80</v>
      </c>
    </row>
    <row r="73" spans="1:6" s="1105" customFormat="1" ht="24">
      <c r="A73" s="1154">
        <v>13</v>
      </c>
      <c r="B73" s="3363"/>
      <c r="C73" s="1068" t="s">
        <v>1527</v>
      </c>
      <c r="D73" s="1068" t="s">
        <v>1528</v>
      </c>
      <c r="E73" s="1139">
        <v>0.4</v>
      </c>
      <c r="F73" s="1154">
        <v>60</v>
      </c>
    </row>
    <row r="74" spans="1:6" s="1105" customFormat="1" ht="24">
      <c r="A74" s="1154">
        <v>14</v>
      </c>
      <c r="B74" s="3363"/>
      <c r="C74" s="1068" t="s">
        <v>1529</v>
      </c>
      <c r="D74" s="1068" t="s">
        <v>1530</v>
      </c>
      <c r="E74" s="1139">
        <v>0.2</v>
      </c>
      <c r="F74" s="1154">
        <v>30</v>
      </c>
    </row>
    <row r="75" spans="1:6" s="1105" customFormat="1" ht="24">
      <c r="A75" s="1154">
        <v>15</v>
      </c>
      <c r="B75" s="3363"/>
      <c r="C75" s="1068" t="s">
        <v>1531</v>
      </c>
      <c r="D75" s="1068" t="s">
        <v>1532</v>
      </c>
      <c r="E75" s="1139">
        <v>0.2</v>
      </c>
      <c r="F75" s="1154">
        <v>30</v>
      </c>
    </row>
    <row r="76" spans="1:6" s="1105" customFormat="1" ht="24">
      <c r="A76" s="1154">
        <v>16</v>
      </c>
      <c r="B76" s="3363" t="s">
        <v>1533</v>
      </c>
      <c r="C76" s="1068" t="s">
        <v>1534</v>
      </c>
      <c r="D76" s="1068" t="s">
        <v>1535</v>
      </c>
      <c r="E76" s="1139">
        <v>0.5</v>
      </c>
      <c r="F76" s="1154">
        <v>80</v>
      </c>
    </row>
    <row r="77" spans="1:6" s="1105" customFormat="1" ht="24">
      <c r="A77" s="1154">
        <v>17</v>
      </c>
      <c r="B77" s="3363"/>
      <c r="C77" s="1068" t="s">
        <v>1536</v>
      </c>
      <c r="D77" s="1068" t="s">
        <v>1537</v>
      </c>
      <c r="E77" s="1139">
        <v>0.5</v>
      </c>
      <c r="F77" s="1154">
        <v>80</v>
      </c>
    </row>
    <row r="78" spans="1:6" s="1105" customFormat="1" ht="24">
      <c r="A78" s="1154">
        <v>18</v>
      </c>
      <c r="B78" s="3363"/>
      <c r="C78" s="1068" t="s">
        <v>1538</v>
      </c>
      <c r="D78" s="1068" t="s">
        <v>1539</v>
      </c>
      <c r="E78" s="1139">
        <v>0.2</v>
      </c>
      <c r="F78" s="1154">
        <v>30</v>
      </c>
    </row>
    <row r="79" spans="1:6" s="1105" customFormat="1" ht="24">
      <c r="A79" s="1154">
        <v>19</v>
      </c>
      <c r="B79" s="3363"/>
      <c r="C79" s="1068" t="s">
        <v>1540</v>
      </c>
      <c r="D79" s="1068" t="s">
        <v>1541</v>
      </c>
      <c r="E79" s="1139">
        <v>0.5</v>
      </c>
      <c r="F79" s="1154">
        <v>80</v>
      </c>
    </row>
    <row r="80" spans="1:6" s="1105" customFormat="1" ht="36">
      <c r="A80" s="1154">
        <v>20</v>
      </c>
      <c r="B80" s="3363"/>
      <c r="C80" s="1068" t="s">
        <v>1542</v>
      </c>
      <c r="D80" s="1068" t="s">
        <v>1543</v>
      </c>
      <c r="E80" s="1139">
        <v>0.2</v>
      </c>
      <c r="F80" s="1154">
        <v>30</v>
      </c>
    </row>
    <row r="81" spans="1:6" s="1105" customFormat="1" ht="36">
      <c r="A81" s="1154">
        <v>21</v>
      </c>
      <c r="B81" s="3363"/>
      <c r="C81" s="1068" t="s">
        <v>1544</v>
      </c>
      <c r="D81" s="1068" t="s">
        <v>1545</v>
      </c>
      <c r="E81" s="1139">
        <v>0.2</v>
      </c>
      <c r="F81" s="1154">
        <v>30</v>
      </c>
    </row>
    <row r="82" spans="1:6" s="1105" customFormat="1" ht="48">
      <c r="A82" s="1154">
        <v>22</v>
      </c>
      <c r="B82" s="3363"/>
      <c r="C82" s="1068" t="s">
        <v>1546</v>
      </c>
      <c r="D82" s="1068" t="s">
        <v>1547</v>
      </c>
      <c r="E82" s="1139">
        <v>0.2</v>
      </c>
      <c r="F82" s="1154">
        <v>30</v>
      </c>
    </row>
    <row r="83" spans="1:6" s="1105" customFormat="1" ht="48">
      <c r="A83" s="1154">
        <v>23</v>
      </c>
      <c r="B83" s="3363"/>
      <c r="C83" s="1068" t="s">
        <v>1548</v>
      </c>
      <c r="D83" s="1068" t="s">
        <v>1549</v>
      </c>
      <c r="E83" s="1139">
        <v>0.2</v>
      </c>
      <c r="F83" s="1154">
        <v>30</v>
      </c>
    </row>
    <row r="84" spans="1:6" s="1105" customFormat="1" ht="36">
      <c r="A84" s="1154">
        <v>24</v>
      </c>
      <c r="B84" s="3363"/>
      <c r="C84" s="1068" t="s">
        <v>1550</v>
      </c>
      <c r="D84" s="1068" t="s">
        <v>1551</v>
      </c>
      <c r="E84" s="1139">
        <v>0.2</v>
      </c>
      <c r="F84" s="1154">
        <v>30</v>
      </c>
    </row>
    <row r="85" spans="1:6" s="1105" customFormat="1" ht="36">
      <c r="A85" s="1154">
        <v>25</v>
      </c>
      <c r="B85" s="3363"/>
      <c r="C85" s="1068" t="s">
        <v>1552</v>
      </c>
      <c r="D85" s="1068" t="s">
        <v>1553</v>
      </c>
      <c r="E85" s="1139">
        <v>0.5</v>
      </c>
      <c r="F85" s="1154">
        <v>80</v>
      </c>
    </row>
    <row r="86" spans="1:6" s="1105" customFormat="1" ht="36">
      <c r="A86" s="1154">
        <v>26</v>
      </c>
      <c r="B86" s="3363"/>
      <c r="C86" s="1068" t="s">
        <v>1554</v>
      </c>
      <c r="D86" s="1068" t="s">
        <v>1555</v>
      </c>
      <c r="E86" s="1139">
        <v>0.2</v>
      </c>
      <c r="F86" s="1154">
        <v>30</v>
      </c>
    </row>
    <row r="87" spans="1:6" s="1105" customFormat="1" ht="36">
      <c r="A87" s="1154">
        <v>27</v>
      </c>
      <c r="B87" s="3363"/>
      <c r="C87" s="1068" t="s">
        <v>1556</v>
      </c>
      <c r="D87" s="1068" t="s">
        <v>1557</v>
      </c>
      <c r="E87" s="1139">
        <v>0.2</v>
      </c>
      <c r="F87" s="1154">
        <v>30</v>
      </c>
    </row>
    <row r="88" spans="1:6" s="1105" customFormat="1" ht="36">
      <c r="A88" s="1154">
        <v>28</v>
      </c>
      <c r="B88" s="3363"/>
      <c r="C88" s="1068" t="s">
        <v>1558</v>
      </c>
      <c r="D88" s="1068" t="s">
        <v>1559</v>
      </c>
      <c r="E88" s="1139">
        <v>0.2</v>
      </c>
      <c r="F88" s="1154">
        <v>30</v>
      </c>
    </row>
    <row r="89" spans="1:6" s="1105" customFormat="1" ht="24">
      <c r="A89" s="1154">
        <v>29</v>
      </c>
      <c r="B89" s="3363"/>
      <c r="C89" s="1068" t="s">
        <v>1560</v>
      </c>
      <c r="D89" s="1068" t="s">
        <v>1561</v>
      </c>
      <c r="E89" s="1139">
        <v>0.2</v>
      </c>
      <c r="F89" s="1154">
        <v>30</v>
      </c>
    </row>
    <row r="90" spans="1:6" s="1105" customFormat="1" ht="24">
      <c r="A90" s="1154">
        <v>30</v>
      </c>
      <c r="B90" s="3363"/>
      <c r="C90" s="1068" t="s">
        <v>1562</v>
      </c>
      <c r="D90" s="1068" t="s">
        <v>1563</v>
      </c>
      <c r="E90" s="1139">
        <v>0.2</v>
      </c>
      <c r="F90" s="1154">
        <v>30</v>
      </c>
    </row>
    <row r="91" spans="1:6" s="1105" customFormat="1" ht="36">
      <c r="A91" s="1154">
        <v>31</v>
      </c>
      <c r="B91" s="3363"/>
      <c r="C91" s="1068" t="s">
        <v>1564</v>
      </c>
      <c r="D91" s="1068" t="s">
        <v>1565</v>
      </c>
      <c r="E91" s="1139">
        <v>0.2</v>
      </c>
      <c r="F91" s="1154">
        <v>30</v>
      </c>
    </row>
    <row r="92" spans="1:6" s="1105" customFormat="1" ht="24">
      <c r="A92" s="1154">
        <v>32</v>
      </c>
      <c r="B92" s="3363" t="s">
        <v>1566</v>
      </c>
      <c r="C92" s="1154" t="s">
        <v>1567</v>
      </c>
      <c r="D92" s="1068" t="s">
        <v>1568</v>
      </c>
      <c r="E92" s="1139">
        <v>0.2</v>
      </c>
      <c r="F92" s="1154">
        <v>30</v>
      </c>
    </row>
    <row r="93" spans="1:6" s="1105" customFormat="1" ht="36">
      <c r="A93" s="1154">
        <v>33</v>
      </c>
      <c r="B93" s="3363"/>
      <c r="C93" s="1154" t="s">
        <v>1569</v>
      </c>
      <c r="D93" s="1068" t="s">
        <v>1570</v>
      </c>
      <c r="E93" s="1139">
        <v>0.2</v>
      </c>
      <c r="F93" s="1154">
        <v>30</v>
      </c>
    </row>
    <row r="94" spans="1:6" s="1105" customFormat="1" ht="48">
      <c r="A94" s="1154">
        <v>34</v>
      </c>
      <c r="B94" s="3363"/>
      <c r="C94" s="1154" t="s">
        <v>1571</v>
      </c>
      <c r="D94" s="1068" t="s">
        <v>1572</v>
      </c>
      <c r="E94" s="1139">
        <v>0.2</v>
      </c>
      <c r="F94" s="1154">
        <v>30</v>
      </c>
    </row>
    <row r="95" spans="1:6" s="1105" customFormat="1" ht="36">
      <c r="A95" s="1154">
        <v>35</v>
      </c>
      <c r="B95" s="3363"/>
      <c r="C95" s="1154" t="s">
        <v>1573</v>
      </c>
      <c r="D95" s="1068" t="s">
        <v>1574</v>
      </c>
      <c r="E95" s="1139">
        <v>0.2</v>
      </c>
      <c r="F95" s="1154">
        <v>30</v>
      </c>
    </row>
    <row r="96" spans="1:6" s="1105" customFormat="1" ht="48">
      <c r="A96" s="1154">
        <v>36</v>
      </c>
      <c r="B96" s="3363"/>
      <c r="C96" s="1068" t="s">
        <v>1575</v>
      </c>
      <c r="D96" s="1068" t="s">
        <v>1576</v>
      </c>
      <c r="E96" s="1139">
        <v>0.2</v>
      </c>
      <c r="F96" s="1154">
        <v>30</v>
      </c>
    </row>
    <row r="97" spans="1:6" s="1105" customFormat="1" ht="36">
      <c r="A97" s="1154">
        <v>37</v>
      </c>
      <c r="B97" s="3363"/>
      <c r="C97" s="1154" t="s">
        <v>1577</v>
      </c>
      <c r="D97" s="1068" t="s">
        <v>1578</v>
      </c>
      <c r="E97" s="1139">
        <v>0.2</v>
      </c>
      <c r="F97" s="1154">
        <v>30</v>
      </c>
    </row>
    <row r="98" spans="1:6" s="1105" customFormat="1" ht="36">
      <c r="A98" s="1154">
        <v>38</v>
      </c>
      <c r="B98" s="3363"/>
      <c r="C98" s="1154" t="s">
        <v>1579</v>
      </c>
      <c r="D98" s="1068" t="s">
        <v>1580</v>
      </c>
      <c r="E98" s="1139">
        <v>0.2</v>
      </c>
      <c r="F98" s="1154">
        <v>30</v>
      </c>
    </row>
    <row r="99" spans="1:6" s="1105" customFormat="1" ht="36">
      <c r="A99" s="1154">
        <v>39</v>
      </c>
      <c r="B99" s="3363" t="s">
        <v>1581</v>
      </c>
      <c r="C99" s="1154" t="s">
        <v>1582</v>
      </c>
      <c r="D99" s="1068" t="s">
        <v>1583</v>
      </c>
      <c r="E99" s="1139">
        <v>0.3</v>
      </c>
      <c r="F99" s="1154">
        <v>50</v>
      </c>
    </row>
    <row r="100" spans="1:6" s="1105" customFormat="1" ht="24">
      <c r="A100" s="1154">
        <v>40</v>
      </c>
      <c r="B100" s="3363"/>
      <c r="C100" s="1154" t="s">
        <v>1584</v>
      </c>
      <c r="D100" s="1068" t="s">
        <v>1585</v>
      </c>
      <c r="E100" s="1139">
        <v>0.2</v>
      </c>
      <c r="F100" s="1154">
        <v>30</v>
      </c>
    </row>
    <row r="101" spans="1:6" s="1105" customFormat="1" ht="36">
      <c r="A101" s="1154">
        <v>41</v>
      </c>
      <c r="B101" s="336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363" t="s">
        <v>1596</v>
      </c>
      <c r="C105" s="1154" t="s">
        <v>1597</v>
      </c>
      <c r="D105" s="1068" t="s">
        <v>1598</v>
      </c>
      <c r="E105" s="1139">
        <v>0.2</v>
      </c>
      <c r="F105" s="1154">
        <v>30</v>
      </c>
    </row>
    <row r="106" spans="1:6" s="1105" customFormat="1" ht="36">
      <c r="A106" s="1154">
        <v>46</v>
      </c>
      <c r="B106" s="3363"/>
      <c r="C106" s="1154" t="s">
        <v>1599</v>
      </c>
      <c r="D106" s="1068" t="s">
        <v>1600</v>
      </c>
      <c r="E106" s="1139">
        <v>0.2</v>
      </c>
      <c r="F106" s="1154">
        <v>30</v>
      </c>
    </row>
    <row r="107" spans="1:6" s="1105" customFormat="1" ht="36">
      <c r="A107" s="1154">
        <v>47</v>
      </c>
      <c r="B107" s="3363" t="s">
        <v>1601</v>
      </c>
      <c r="C107" s="1154" t="s">
        <v>1602</v>
      </c>
      <c r="D107" s="1068" t="s">
        <v>1603</v>
      </c>
      <c r="E107" s="1139">
        <v>0.3</v>
      </c>
      <c r="F107" s="1154">
        <v>50</v>
      </c>
    </row>
    <row r="108" spans="1:6" s="1105" customFormat="1" ht="36">
      <c r="A108" s="1154">
        <v>48</v>
      </c>
      <c r="B108" s="336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363" t="s">
        <v>1612</v>
      </c>
      <c r="C111" s="1154" t="s">
        <v>1613</v>
      </c>
      <c r="D111" s="1068" t="s">
        <v>1614</v>
      </c>
      <c r="E111" s="1139">
        <v>0.2</v>
      </c>
      <c r="F111" s="1154">
        <v>30</v>
      </c>
    </row>
    <row r="112" spans="1:6" s="1105" customFormat="1" ht="24">
      <c r="A112" s="1154">
        <v>52</v>
      </c>
      <c r="B112" s="3363"/>
      <c r="C112" s="1154" t="s">
        <v>1615</v>
      </c>
      <c r="D112" s="1068" t="s">
        <v>1616</v>
      </c>
      <c r="E112" s="1139">
        <v>0.2</v>
      </c>
      <c r="F112" s="1154">
        <v>30</v>
      </c>
    </row>
    <row r="113" spans="1:14" s="1105" customFormat="1" ht="24">
      <c r="A113" s="1154">
        <v>53</v>
      </c>
      <c r="B113" s="336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363" t="s">
        <v>1625</v>
      </c>
      <c r="C116" s="1154" t="s">
        <v>1626</v>
      </c>
      <c r="D116" s="1068" t="s">
        <v>1627</v>
      </c>
      <c r="E116" s="1139">
        <v>0.2</v>
      </c>
      <c r="F116" s="1154">
        <v>30</v>
      </c>
    </row>
    <row r="117" spans="1:14" ht="36">
      <c r="A117" s="1154">
        <v>57</v>
      </c>
      <c r="B117" s="336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362" t="s">
        <v>1634</v>
      </c>
      <c r="B121" s="3362"/>
      <c r="C121" s="3362"/>
      <c r="D121" s="3362"/>
      <c r="E121" s="3362"/>
      <c r="F121" s="3362"/>
      <c r="G121" s="3362"/>
      <c r="H121" s="3362"/>
      <c r="I121" s="3362"/>
      <c r="J121" s="336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9" t="s">
        <v>1040</v>
      </c>
      <c r="B1" s="3419"/>
      <c r="C1" s="3419"/>
      <c r="D1" s="3419"/>
      <c r="E1" s="3419"/>
      <c r="F1" s="3419"/>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0" t="s">
        <v>1053</v>
      </c>
      <c r="B2" s="3420"/>
      <c r="C2" s="3420"/>
      <c r="D2" s="3420"/>
      <c r="E2" s="3420"/>
      <c r="F2" s="3420"/>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1"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2"/>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830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2.0640000000000001</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3" t="s">
        <v>2080</v>
      </c>
      <c r="B1" s="3423"/>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2951</v>
      </c>
      <c r="B1" s="3082"/>
      <c r="C1" s="3082"/>
      <c r="D1" s="3082"/>
      <c r="E1" s="3082"/>
      <c r="F1" s="3082"/>
    </row>
    <row r="2" spans="1:6" ht="14.25">
      <c r="A2" s="3083" t="s">
        <v>2946</v>
      </c>
      <c r="B2" s="3084">
        <f ca="1">SUMIF(B7:B14,"&lt;&gt;#ref!",B7:B14)</f>
        <v>11540</v>
      </c>
      <c r="C2" s="3083" t="s">
        <v>2947</v>
      </c>
      <c r="D2" s="3082"/>
      <c r="E2" s="3082"/>
      <c r="F2" s="3082"/>
    </row>
    <row r="3" spans="1:6" ht="14.25">
      <c r="A3" s="3083" t="s">
        <v>2979</v>
      </c>
      <c r="B3" s="3084">
        <f ca="1">ROUND(B2*10000/E3,0)</f>
        <v>1598</v>
      </c>
      <c r="C3" s="3083" t="s">
        <v>2079</v>
      </c>
      <c r="D3" s="3083" t="s">
        <v>2948</v>
      </c>
      <c r="E3" s="3084">
        <f ca="1">SUMIF(E7:E14,"&lt;&gt;#ref!",E7:E14)</f>
        <v>72217.899999999994</v>
      </c>
      <c r="F3" s="3082"/>
    </row>
    <row r="4" spans="1:6" ht="14.25">
      <c r="A4" s="3083" t="s">
        <v>2955</v>
      </c>
      <c r="B4" s="3084">
        <f ca="1">ROUND(B2*10000/E4,0)</f>
        <v>959</v>
      </c>
      <c r="C4" s="3083" t="s">
        <v>2079</v>
      </c>
      <c r="D4" s="3083" t="s">
        <v>2956</v>
      </c>
      <c r="E4" s="3084">
        <f ca="1">SUMIF(F7:F14,"&lt;&gt;#ref!",F7:F14)</f>
        <v>120363.16</v>
      </c>
      <c r="F4" s="3082"/>
    </row>
    <row r="5" spans="1:6" ht="14.25">
      <c r="A5" s="3085"/>
      <c r="B5" s="1882"/>
      <c r="C5" s="1882"/>
      <c r="D5" s="1882"/>
      <c r="E5" s="1882"/>
      <c r="F5" s="3082"/>
    </row>
    <row r="6" spans="1:6" ht="28.5">
      <c r="A6" s="3086" t="s">
        <v>2952</v>
      </c>
      <c r="B6" s="3083" t="s">
        <v>2949</v>
      </c>
      <c r="C6" s="3084"/>
      <c r="D6" s="1882"/>
      <c r="E6" s="3083" t="s">
        <v>2950</v>
      </c>
      <c r="F6" s="3083" t="s">
        <v>2954</v>
      </c>
    </row>
    <row r="7" spans="1:6" ht="14.25">
      <c r="A7" s="260" t="s">
        <v>2953</v>
      </c>
      <c r="B7" s="3087">
        <f ca="1">SUMIF(INDIRECT("'"&amp;A7&amp;"'"&amp;"!A:A"),"总价",INDIRECT("'"&amp;A7&amp;"'"&amp;"!B:B"))</f>
        <v>11540</v>
      </c>
      <c r="C7" s="3083" t="s">
        <v>2947</v>
      </c>
      <c r="D7" s="1882"/>
      <c r="E7" s="3088">
        <f ca="1">SUMIF(INDIRECT("'"&amp;A7&amp;"'"&amp;"!C:C"),"建筑面积",INDIRECT("'"&amp;A7&amp;"'"&amp;"!D:D"))</f>
        <v>72217.899999999994</v>
      </c>
      <c r="F7" s="3088">
        <f ca="1">SUMIF(INDIRECT("'"&amp;A7&amp;"'"&amp;"!E:E"),"土地面积",INDIRECT("'"&amp;A7&amp;"'"&amp;"!F:F"))</f>
        <v>120363.16</v>
      </c>
    </row>
    <row r="8" spans="1:6" ht="14.25">
      <c r="A8" s="260"/>
      <c r="B8" s="3087" t="e">
        <f t="shared" ref="B8:B14" ca="1" si="0">SUMIF(INDIRECT("'"&amp;A8&amp;"'"&amp;"!A:A"),"总价",INDIRECT("'"&amp;A8&amp;"'"&amp;"!B:B"))</f>
        <v>#REF!</v>
      </c>
      <c r="C8" s="3083" t="s">
        <v>2947</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2947</v>
      </c>
      <c r="D9" s="1882"/>
      <c r="E9" s="3088" t="e">
        <f t="shared" ca="1" si="1"/>
        <v>#REF!</v>
      </c>
      <c r="F9" s="3088" t="e">
        <f t="shared" ca="1" si="2"/>
        <v>#REF!</v>
      </c>
    </row>
    <row r="10" spans="1:6" ht="14.25">
      <c r="A10" s="260"/>
      <c r="B10" s="3087" t="e">
        <f t="shared" ca="1" si="0"/>
        <v>#REF!</v>
      </c>
      <c r="C10" s="3083" t="s">
        <v>2947</v>
      </c>
      <c r="D10" s="1882"/>
      <c r="E10" s="3088" t="e">
        <f t="shared" ca="1" si="1"/>
        <v>#REF!</v>
      </c>
      <c r="F10" s="3088" t="e">
        <f t="shared" ca="1" si="2"/>
        <v>#REF!</v>
      </c>
    </row>
    <row r="11" spans="1:6" ht="14.25">
      <c r="A11" s="260"/>
      <c r="B11" s="3087" t="e">
        <f t="shared" ca="1" si="0"/>
        <v>#REF!</v>
      </c>
      <c r="C11" s="3083" t="s">
        <v>2947</v>
      </c>
      <c r="D11" s="1882"/>
      <c r="E11" s="3088" t="e">
        <f t="shared" ca="1" si="1"/>
        <v>#REF!</v>
      </c>
      <c r="F11" s="3088" t="e">
        <f t="shared" ca="1" si="2"/>
        <v>#REF!</v>
      </c>
    </row>
    <row r="12" spans="1:6" ht="14.25">
      <c r="A12" s="260"/>
      <c r="B12" s="3087" t="e">
        <f t="shared" ca="1" si="0"/>
        <v>#REF!</v>
      </c>
      <c r="C12" s="3083" t="s">
        <v>2947</v>
      </c>
      <c r="D12" s="1882"/>
      <c r="E12" s="3088" t="e">
        <f t="shared" ca="1" si="1"/>
        <v>#REF!</v>
      </c>
      <c r="F12" s="3088" t="e">
        <f t="shared" ca="1" si="2"/>
        <v>#REF!</v>
      </c>
    </row>
    <row r="13" spans="1:6" ht="14.25">
      <c r="A13" s="260"/>
      <c r="B13" s="3087" t="e">
        <f t="shared" ca="1" si="0"/>
        <v>#REF!</v>
      </c>
      <c r="C13" s="3083" t="s">
        <v>2947</v>
      </c>
      <c r="D13" s="1882"/>
      <c r="E13" s="3088" t="e">
        <f t="shared" ca="1" si="1"/>
        <v>#REF!</v>
      </c>
      <c r="F13" s="3088" t="e">
        <f t="shared" ca="1" si="2"/>
        <v>#REF!</v>
      </c>
    </row>
    <row r="14" spans="1:6" ht="14.25">
      <c r="A14" s="3081"/>
      <c r="B14" s="3087" t="e">
        <f t="shared" ca="1" si="0"/>
        <v>#REF!</v>
      </c>
      <c r="C14" s="3083" t="s">
        <v>2947</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-1</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5" t="s">
        <v>2464</v>
      </c>
      <c r="C8" s="1826">
        <f ca="1">ROUND(F8*F10*F9*(1-F11)/10000,0)</f>
        <v>0</v>
      </c>
      <c r="D8" s="1823" t="s">
        <v>2535</v>
      </c>
      <c r="E8" s="61" t="s">
        <v>637</v>
      </c>
      <c r="F8" s="785">
        <f ca="1">INDIRECT("'数据-取费表'!u"&amp;$G$1)</f>
        <v>0</v>
      </c>
      <c r="G8" s="1593"/>
      <c r="H8" s="2484" t="s">
        <v>1825</v>
      </c>
      <c r="I8" s="3425" t="s">
        <v>2464</v>
      </c>
      <c r="J8" s="783">
        <f ca="1">ROUND(M8*M10*M9*(1-M11)/10000,0)</f>
        <v>0</v>
      </c>
      <c r="K8" s="341" t="s">
        <v>2535</v>
      </c>
      <c r="L8" s="784" t="s">
        <v>1739</v>
      </c>
      <c r="M8" s="785">
        <f ca="1">INDIRECT("'数据-取费表'!z"&amp;$G$1)</f>
        <v>0</v>
      </c>
    </row>
    <row r="9" spans="1:25" ht="18" customHeight="1">
      <c r="A9" s="2480"/>
      <c r="B9" s="3426"/>
      <c r="C9" s="1827"/>
      <c r="D9" s="1824"/>
      <c r="E9" s="61" t="s">
        <v>638</v>
      </c>
      <c r="F9" s="785">
        <f ca="1">IF(INDIRECT("'数据-取费表'!ah"&amp;$G$1)="",INDIRECT("'数据-取费表'!k"&amp;$G$1),INDIRECT("'数据-取费表'!ah"&amp;$G$1))</f>
        <v>0</v>
      </c>
      <c r="G9" s="1593"/>
      <c r="H9" s="2469"/>
      <c r="I9" s="3426"/>
      <c r="J9" s="788"/>
      <c r="K9" s="789"/>
      <c r="L9" s="784" t="s">
        <v>1740</v>
      </c>
      <c r="M9" s="785">
        <f ca="1">F9</f>
        <v>0</v>
      </c>
    </row>
    <row r="10" spans="1:25" ht="18" customHeight="1">
      <c r="A10" s="2473"/>
      <c r="B10" s="3427"/>
      <c r="C10" s="1827"/>
      <c r="D10" s="1824"/>
      <c r="E10" s="61" t="s">
        <v>639</v>
      </c>
      <c r="F10" s="785">
        <f ca="1">INDIRECT("'数据-取费表'!ai"&amp;$G$1)</f>
        <v>0</v>
      </c>
      <c r="G10" s="1593"/>
      <c r="H10" s="2469"/>
      <c r="I10" s="3427"/>
      <c r="J10" s="788"/>
      <c r="K10" s="789"/>
      <c r="L10" s="784" t="s">
        <v>1741</v>
      </c>
      <c r="M10" s="785">
        <f ca="1">INDIRECT("'数据-取费表'!ai"&amp;$G$1)</f>
        <v>0</v>
      </c>
    </row>
    <row r="11" spans="1:25" ht="18" customHeight="1">
      <c r="A11" s="786"/>
      <c r="B11" s="3428"/>
      <c r="C11" s="1827"/>
      <c r="D11" s="1824"/>
      <c r="E11" s="61" t="s">
        <v>640</v>
      </c>
      <c r="F11" s="794">
        <f ca="1">INDIRECT("'数据-取费表'!w"&amp;$G$1)</f>
        <v>0</v>
      </c>
      <c r="G11" s="1593"/>
      <c r="H11" s="2485"/>
      <c r="I11" s="3427"/>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2976</v>
      </c>
      <c r="E12" s="2478" t="s">
        <v>2465</v>
      </c>
      <c r="F12" s="2601"/>
      <c r="G12" s="1593"/>
      <c r="H12" s="2541" t="s">
        <v>1826</v>
      </c>
      <c r="I12" s="2546" t="s">
        <v>2460</v>
      </c>
      <c r="J12" s="783">
        <f ca="1">ROUND(IF(M12="押一",J8/12*M13,IF(M12="押二",J8/12*2*M13,IF(M12="押三",J8/12*3*M13,J13*M13))),0)</f>
        <v>0</v>
      </c>
      <c r="K12" s="2481" t="s">
        <v>2976</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2825</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150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单利计息。建造成本、管理费用、销售费用产生的利息。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(建造成本+管理费用)×利率×(建设周期÷2)</v>
      </c>
      <c r="E25" s="784" t="s">
        <v>678</v>
      </c>
      <c r="F25" s="640">
        <f>'数据-取费表'!B20</f>
        <v>1</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4.0000000000000002E-4</v>
      </c>
      <c r="D26" s="2551" t="str">
        <f>IF(F25&lt;=1,"销售费用×利率×(建设周期÷2)","销售费用×((1+利率)^(建设周期÷2)-1)")</f>
        <v>销售费用×利率×(建设周期÷2)</v>
      </c>
      <c r="E26" s="784" t="s">
        <v>682</v>
      </c>
      <c r="F26" s="819">
        <f ca="1">'数据-取费表'!B40</f>
        <v>4.3499999999999997E-2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2822</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2823</v>
      </c>
      <c r="C31" s="2524">
        <f ca="1">ROUND((C21+C22+C25+C28)/(1-F23-C26-C29-C30),0)</f>
        <v>0</v>
      </c>
      <c r="D31" s="2525"/>
      <c r="E31" s="2526"/>
      <c r="F31" s="2527"/>
      <c r="G31" s="1594"/>
      <c r="H31" s="823" t="s">
        <v>1873</v>
      </c>
      <c r="I31" s="2988" t="s">
        <v>2824</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1.5</v>
      </c>
      <c r="G36" s="2063"/>
      <c r="H36" s="2066"/>
      <c r="I36" s="3424"/>
      <c r="J36" s="2080"/>
      <c r="K36" s="2081"/>
      <c r="L36" s="2080"/>
      <c r="M36" s="2080"/>
    </row>
    <row r="37" spans="1:18" ht="18" customHeight="1">
      <c r="A37" s="815"/>
      <c r="B37" s="793"/>
      <c r="C37" s="69"/>
      <c r="D37" s="816"/>
      <c r="E37" s="784" t="s">
        <v>674</v>
      </c>
      <c r="F37" s="785">
        <f ca="1">INDIRECT("'数据-取费表'!r"&amp;$G$1)</f>
        <v>0</v>
      </c>
      <c r="G37" s="2063"/>
      <c r="H37" s="2066"/>
      <c r="I37" s="3424"/>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2964</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2967</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3" t="str">
        <f ca="1">IF(M48="住宅",0,IF(L49&gt;J52,L61,J61))</f>
        <v>0</v>
      </c>
      <c r="O47" s="2374" t="s">
        <v>2411</v>
      </c>
      <c r="P47" s="1593"/>
      <c r="Q47" s="1605"/>
      <c r="R47" s="1593"/>
    </row>
    <row r="48" spans="1:18" s="2060" customFormat="1" ht="18" customHeight="1" thickBot="1">
      <c r="A48" s="2085"/>
      <c r="C48" s="2088"/>
      <c r="D48" s="2089"/>
      <c r="E48" s="2089"/>
      <c r="F48" s="2090"/>
      <c r="G48" s="2091"/>
      <c r="I48" s="3123" t="s">
        <v>2345</v>
      </c>
      <c r="J48" s="2361"/>
      <c r="K48" s="3130" t="s">
        <v>2350</v>
      </c>
      <c r="L48" s="3134">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2" t="s">
        <v>2346</v>
      </c>
      <c r="J49" s="2362"/>
      <c r="K49" s="3131"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2" t="s">
        <v>2347</v>
      </c>
      <c r="J50" s="2363"/>
      <c r="K50" s="3132"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2" t="s">
        <v>2348</v>
      </c>
      <c r="J51" s="3127">
        <f>SUMPRODUCT((I64:I66=J48)*(J63:L63=J49)*(J64:L66))</f>
        <v>0</v>
      </c>
      <c r="K51" s="3132" t="s">
        <v>2354</v>
      </c>
      <c r="L51" s="2364"/>
      <c r="O51" s="2381" t="s">
        <v>2384</v>
      </c>
      <c r="P51" s="2379" t="s">
        <v>2408</v>
      </c>
      <c r="Q51" s="2380">
        <f ca="1">C31</f>
        <v>0</v>
      </c>
      <c r="R51" s="2379" t="s">
        <v>2381</v>
      </c>
    </row>
    <row r="52" spans="1:18" s="2060" customFormat="1" ht="18" customHeight="1" thickBot="1">
      <c r="A52" s="2097"/>
      <c r="F52" s="2086"/>
      <c r="I52" s="3124" t="s">
        <v>2349</v>
      </c>
      <c r="J52" s="3128">
        <f>IF(J50="",J51,J50+J51-YEAR('数据-取费表'!B3))</f>
        <v>0</v>
      </c>
      <c r="K52" s="3102" t="s">
        <v>2355</v>
      </c>
      <c r="L52" s="3135">
        <f ca="1">ROUND(-PV(INDIRECT("'数据-取费表'!h"&amp;$G$1),L49,(C40-C14*J36),0),0)</f>
        <v>0</v>
      </c>
      <c r="O52" s="2381" t="s">
        <v>2385</v>
      </c>
      <c r="P52" s="2379" t="s">
        <v>2386</v>
      </c>
      <c r="Q52" s="2382" t="e">
        <f ca="1">J59</f>
        <v>#VALUE!</v>
      </c>
      <c r="R52" s="2383"/>
    </row>
    <row r="53" spans="1:18" s="2060" customFormat="1" ht="18" customHeight="1" thickBot="1">
      <c r="A53" s="2097"/>
      <c r="F53" s="2086"/>
      <c r="I53" s="3125" t="s">
        <v>2422</v>
      </c>
      <c r="J53" s="2365"/>
      <c r="K53" s="3125" t="s">
        <v>2421</v>
      </c>
      <c r="L53" s="2365"/>
      <c r="O53" s="2381" t="s">
        <v>2387</v>
      </c>
      <c r="P53" s="2379" t="s">
        <v>2388</v>
      </c>
      <c r="Q53" s="2382">
        <f>J53</f>
        <v>0</v>
      </c>
      <c r="R53" s="2383"/>
    </row>
    <row r="54" spans="1:18" s="2060" customFormat="1" ht="29.25" thickBot="1">
      <c r="A54" s="2097"/>
      <c r="I54" s="3126" t="s">
        <v>2980</v>
      </c>
      <c r="J54" s="3129">
        <f ca="1">IF(M48="住宅",MAX(J52,L49-'数据-取费表'!B20),MIN(J52,L49-'数据-取费表'!B20))</f>
        <v>-1</v>
      </c>
      <c r="K54" s="3429"/>
      <c r="L54" s="3430"/>
      <c r="O54" s="2381" t="s">
        <v>2389</v>
      </c>
      <c r="P54" s="2379" t="s">
        <v>2390</v>
      </c>
      <c r="Q54" s="2380">
        <f ca="1">J54</f>
        <v>-1</v>
      </c>
      <c r="R54" s="2379" t="s">
        <v>2391</v>
      </c>
    </row>
    <row r="55" spans="1:18" s="2060" customFormat="1" ht="18" customHeight="1" thickBot="1">
      <c r="A55" s="2097"/>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8" t="s">
        <v>2392</v>
      </c>
      <c r="P55" s="2379" t="s">
        <v>2409</v>
      </c>
      <c r="Q55" s="2380">
        <f ca="1">Q49+Q50</f>
        <v>0</v>
      </c>
      <c r="R55" s="2383" t="s">
        <v>2393</v>
      </c>
    </row>
    <row r="56" spans="1:18" s="2060" customFormat="1" ht="16.5" thickBot="1">
      <c r="A56" s="2097"/>
      <c r="B56" s="2098"/>
      <c r="C56" s="2098"/>
      <c r="I56" s="3138" t="s">
        <v>2356</v>
      </c>
      <c r="J56" s="3078" t="e">
        <f ca="1">ROUND(IF(J48="钢混",J58/J51,1-(1-2%)*(J51-J58)/J51),3)</f>
        <v>#VALUE!</v>
      </c>
      <c r="K56" s="3139" t="s">
        <v>2357</v>
      </c>
      <c r="L56" s="2366"/>
      <c r="O56" s="2384" t="s">
        <v>2412</v>
      </c>
      <c r="P56" s="1593"/>
      <c r="Q56" s="1605"/>
      <c r="R56" s="1593"/>
    </row>
    <row r="57" spans="1:18" s="2060" customFormat="1" ht="43.5" thickBot="1">
      <c r="A57" s="2097"/>
      <c r="B57" s="2098"/>
      <c r="C57" s="2098"/>
      <c r="I57" s="3140" t="s">
        <v>2358</v>
      </c>
      <c r="J57" s="3150" t="s">
        <v>1679</v>
      </c>
      <c r="K57" s="3102" t="s">
        <v>2363</v>
      </c>
      <c r="L57" s="1909">
        <f ca="1">IF(L49&lt;J52,"——",L49-J52)</f>
        <v>0</v>
      </c>
      <c r="O57" s="2375" t="s">
        <v>2376</v>
      </c>
      <c r="P57" s="2376" t="s">
        <v>2377</v>
      </c>
      <c r="Q57" s="2377" t="s">
        <v>2378</v>
      </c>
      <c r="R57" s="2376" t="s">
        <v>2379</v>
      </c>
    </row>
    <row r="58" spans="1:18" s="2060" customFormat="1" ht="29.25" thickBot="1">
      <c r="A58" s="2097"/>
      <c r="B58" s="2098"/>
      <c r="C58" s="2098"/>
      <c r="I58" s="3141" t="s">
        <v>2359</v>
      </c>
      <c r="J58" s="3142" t="str">
        <f ca="1">IF(OR(M48="住宅",J52&lt;L49,J57="是"),"——",J52-L49)</f>
        <v>——</v>
      </c>
      <c r="K58" s="3102"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1" t="s">
        <v>2360</v>
      </c>
      <c r="J59" s="3079" t="e">
        <f ca="1">IF(J56&lt;0.4,0.4,J56)</f>
        <v>#VALUE!</v>
      </c>
      <c r="K59" s="3102"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1" t="s">
        <v>2361</v>
      </c>
      <c r="J60" s="3142" t="str">
        <f ca="1">IF(OR(M48="住宅",J52&lt;L49,J57="是"),"——",ROUND(C30*J59,0))</f>
        <v>——</v>
      </c>
      <c r="K60" s="3102"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3" t="s">
        <v>2362</v>
      </c>
      <c r="J61" s="3144" t="str">
        <f ca="1">IF(OR(M48="住宅",J52&lt;L49,J57="是"),"0",ROUND(J60/(1+J53)^J54,0))</f>
        <v>0</v>
      </c>
      <c r="K61" s="3145" t="s">
        <v>2367</v>
      </c>
      <c r="L61" s="3144"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6" t="s">
        <v>2368</v>
      </c>
      <c r="J63" s="3147" t="s">
        <v>2369</v>
      </c>
      <c r="K63" s="3147" t="s">
        <v>2370</v>
      </c>
      <c r="L63" s="3147" t="s">
        <v>2351</v>
      </c>
      <c r="M63" s="3148" t="s">
        <v>2944</v>
      </c>
      <c r="O63" s="2381" t="s">
        <v>2389</v>
      </c>
      <c r="P63" s="2379" t="s">
        <v>2397</v>
      </c>
      <c r="Q63" s="2380">
        <f ca="1">L60</f>
        <v>0</v>
      </c>
      <c r="R63" s="2383" t="s">
        <v>2398</v>
      </c>
    </row>
    <row r="64" spans="1:18" s="2060" customFormat="1" ht="15.75" thickBot="1">
      <c r="A64" s="2097"/>
      <c r="B64" s="2098"/>
      <c r="C64" s="2098"/>
      <c r="I64" s="3146" t="s">
        <v>2371</v>
      </c>
      <c r="J64" s="3147">
        <v>70</v>
      </c>
      <c r="K64" s="3147">
        <v>50</v>
      </c>
      <c r="L64" s="3147">
        <v>80</v>
      </c>
      <c r="M64" s="3149">
        <v>0.02</v>
      </c>
      <c r="O64" s="2378" t="s">
        <v>2392</v>
      </c>
      <c r="P64" s="2379" t="s">
        <v>2409</v>
      </c>
      <c r="Q64" s="2380" t="e">
        <f ca="1">Q58+Q59</f>
        <v>#DIV/0!</v>
      </c>
      <c r="R64" s="2383" t="s">
        <v>2393</v>
      </c>
    </row>
    <row r="65" spans="1:18" s="2060" customFormat="1" ht="16.5" thickBot="1">
      <c r="A65" s="2097"/>
      <c r="B65" s="2098"/>
      <c r="C65" s="2098"/>
      <c r="I65" s="3146" t="s">
        <v>2372</v>
      </c>
      <c r="J65" s="3147">
        <v>50</v>
      </c>
      <c r="K65" s="3147">
        <v>35</v>
      </c>
      <c r="L65" s="3147">
        <v>60</v>
      </c>
      <c r="M65" s="846">
        <v>0</v>
      </c>
      <c r="O65" s="2384" t="s">
        <v>2416</v>
      </c>
      <c r="P65" s="1593"/>
      <c r="Q65" s="1605"/>
      <c r="R65" s="1593"/>
    </row>
    <row r="66" spans="1:18" s="2060" customFormat="1" ht="15.75" thickBot="1">
      <c r="A66" s="2097"/>
      <c r="B66" s="2098"/>
      <c r="C66" s="2098"/>
      <c r="I66" s="3146" t="s">
        <v>2373</v>
      </c>
      <c r="J66" s="3147">
        <v>40</v>
      </c>
      <c r="K66" s="3147">
        <v>30</v>
      </c>
      <c r="L66" s="3147">
        <v>50</v>
      </c>
      <c r="M66" s="3149">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8" t="s">
        <v>2577</v>
      </c>
      <c r="C1" s="3438"/>
      <c r="D1" s="3438"/>
      <c r="E1" s="3438"/>
      <c r="F1" s="3438"/>
      <c r="G1" s="3437" t="s">
        <v>2578</v>
      </c>
      <c r="H1" s="3437"/>
      <c r="I1" s="3437"/>
      <c r="J1" s="3437"/>
      <c r="K1" s="3437"/>
      <c r="L1" s="3437"/>
      <c r="N1" s="3437" t="s">
        <v>2579</v>
      </c>
      <c r="O1" s="3437"/>
      <c r="P1" s="3437"/>
      <c r="Q1" s="3437"/>
      <c r="R1" s="2634"/>
      <c r="S1" s="3437" t="s">
        <v>2580</v>
      </c>
      <c r="T1" s="3437"/>
      <c r="U1" s="3437"/>
      <c r="V1" s="3437"/>
      <c r="X1" s="3436" t="s">
        <v>2640</v>
      </c>
      <c r="Y1" s="3437"/>
      <c r="Z1" s="3437"/>
      <c r="AA1" s="3437"/>
      <c r="AB1" s="3437"/>
      <c r="AD1" s="3436" t="s">
        <v>2644</v>
      </c>
      <c r="AE1" s="3437"/>
      <c r="AF1" s="3437"/>
      <c r="AG1" s="3437"/>
      <c r="AH1" s="3437"/>
    </row>
    <row r="2" spans="1:34" s="2735" customFormat="1" ht="14.25" thickBot="1">
      <c r="B2" s="2743" t="s">
        <v>2581</v>
      </c>
      <c r="C2" s="2743" t="s">
        <v>2642</v>
      </c>
      <c r="D2" s="2736" t="s">
        <v>1645</v>
      </c>
      <c r="E2" s="2736" t="s">
        <v>1950</v>
      </c>
      <c r="F2" s="2743" t="s">
        <v>2643</v>
      </c>
      <c r="G2" s="2739"/>
      <c r="H2" s="2738"/>
      <c r="I2" s="2743" t="s">
        <v>2958</v>
      </c>
      <c r="J2" s="2736" t="s">
        <v>2960</v>
      </c>
      <c r="K2" s="2736" t="s">
        <v>2961</v>
      </c>
      <c r="L2" s="2743" t="s">
        <v>2962</v>
      </c>
      <c r="N2" s="2743" t="s">
        <v>2581</v>
      </c>
      <c r="O2" s="2736" t="s">
        <v>2959</v>
      </c>
      <c r="P2" s="2736" t="s">
        <v>1950</v>
      </c>
      <c r="Q2" s="2743" t="s">
        <v>2643</v>
      </c>
      <c r="R2" s="2737"/>
      <c r="S2" s="2743" t="s">
        <v>2581</v>
      </c>
      <c r="T2" s="2736" t="s">
        <v>2959</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7" customFormat="1" ht="14.25">
      <c r="A3" s="3119" t="s">
        <v>2971</v>
      </c>
      <c r="B3" s="3108"/>
      <c r="C3" s="3108"/>
      <c r="D3" s="3109"/>
      <c r="E3" s="3109"/>
      <c r="F3" s="3108"/>
      <c r="G3" s="3110"/>
      <c r="H3" s="3111"/>
      <c r="I3" s="3118">
        <f>ROUND(AVERAGE($I4:$I25),2)</f>
        <v>2.13</v>
      </c>
      <c r="J3" s="3118">
        <f>ROUND(AVERAGE($J4:$J25),2)</f>
        <v>1.51</v>
      </c>
      <c r="K3" s="3118">
        <f>ROUND(AVERAGE($K4:$K25),2)</f>
        <v>2.34</v>
      </c>
      <c r="L3" s="3118">
        <f>ROUND(AVERAGE($L4:$L25),2)</f>
        <v>1.42</v>
      </c>
      <c r="N3" s="3110"/>
      <c r="O3" s="3112"/>
      <c r="P3" s="3112"/>
      <c r="Q3" s="3112"/>
      <c r="R3" s="3112"/>
      <c r="S3" s="3110"/>
      <c r="T3" s="3112"/>
      <c r="U3" s="3112"/>
      <c r="V3" s="3112"/>
      <c r="W3" s="3115"/>
      <c r="X3" s="3113">
        <f>ROUND(SUMPRODUCT(PRODUCT(1+N3:N$24)),4)</f>
        <v>1.5099</v>
      </c>
      <c r="Y3" s="3113">
        <f>ROUND(SUMPRODUCT(PRODUCT(1+O3:O$24)),4)</f>
        <v>1.3372999999999999</v>
      </c>
      <c r="Z3" s="3113">
        <f t="shared" ref="Z3:Z22" si="0">Y3</f>
        <v>1.3372999999999999</v>
      </c>
      <c r="AA3" s="3113">
        <f>ROUND(SUMPRODUCT(PRODUCT(1+P3:P$24)),4)</f>
        <v>1.5683</v>
      </c>
      <c r="AB3" s="3113">
        <f>ROUND(SUMPRODUCT(PRODUCT(1+Q3:Q$24)),4)</f>
        <v>1.3255999999999999</v>
      </c>
      <c r="AD3" s="3114">
        <f>ROUND(AVERAGE(I3:I$25)/100,4)</f>
        <v>2.1299999999999999E-2</v>
      </c>
      <c r="AE3" s="3114">
        <f>ROUND(AVERAGE(J3:J$25)/100,4)</f>
        <v>1.5100000000000001E-2</v>
      </c>
      <c r="AF3" s="3114">
        <f t="shared" ref="AF3:AF23" si="1">AE3</f>
        <v>1.5100000000000001E-2</v>
      </c>
      <c r="AG3" s="3114">
        <f>ROUND(AVERAGE(K3:K$25)/100,4)</f>
        <v>2.3400000000000001E-2</v>
      </c>
      <c r="AH3" s="3114">
        <f>ROUND(AVERAGE(L3:L$25)/100,4)</f>
        <v>1.4200000000000001E-2</v>
      </c>
    </row>
    <row r="4" spans="1:34" s="2728" customFormat="1" ht="14.25">
      <c r="B4" s="2729"/>
      <c r="C4" s="2729"/>
      <c r="D4" s="2730"/>
      <c r="E4" s="2730"/>
      <c r="F4" s="2729"/>
      <c r="G4" s="2734"/>
      <c r="H4" s="2731"/>
      <c r="I4" s="3103"/>
      <c r="J4" s="3103"/>
      <c r="K4" s="3103"/>
      <c r="L4" s="3103"/>
      <c r="N4" s="2734"/>
      <c r="O4" s="2732"/>
      <c r="P4" s="2732"/>
      <c r="Q4" s="2732"/>
      <c r="R4" s="2732"/>
      <c r="S4" s="2734"/>
      <c r="T4" s="2732"/>
      <c r="U4" s="2732"/>
      <c r="V4" s="2732"/>
      <c r="W4" s="3116"/>
      <c r="X4" s="2733"/>
      <c r="Y4" s="2733"/>
      <c r="Z4" s="2733"/>
      <c r="AA4" s="2733"/>
      <c r="AB4" s="2733"/>
      <c r="AD4" s="2653"/>
      <c r="AE4" s="2653"/>
      <c r="AF4" s="2653"/>
      <c r="AG4" s="2653"/>
      <c r="AH4" s="2653"/>
    </row>
    <row r="5" spans="1:34" s="3092" customFormat="1" ht="13.5" thickBot="1">
      <c r="A5" s="3090" t="s">
        <v>2991</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4">
        <v>0</v>
      </c>
      <c r="J5" s="3104">
        <v>0</v>
      </c>
      <c r="K5" s="3104">
        <v>0</v>
      </c>
      <c r="L5" s="3104">
        <v>0</v>
      </c>
      <c r="N5" s="2741">
        <f t="shared" ref="N5" si="6">I5/100</f>
        <v>0</v>
      </c>
      <c r="O5" s="2741">
        <f t="shared" ref="O5" si="7">J5/100</f>
        <v>0</v>
      </c>
      <c r="P5" s="2741">
        <f t="shared" ref="P5" si="8">K5/100</f>
        <v>0</v>
      </c>
      <c r="Q5" s="2741">
        <f t="shared" ref="Q5" si="9">L5/100</f>
        <v>0</v>
      </c>
      <c r="R5" s="3093"/>
      <c r="S5" s="3094"/>
      <c r="T5" s="3093"/>
      <c r="U5" s="3093"/>
      <c r="V5" s="3093"/>
      <c r="W5" s="3117" t="s">
        <v>2972</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2992</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32">
        <v>2018</v>
      </c>
      <c r="H6" s="2638">
        <v>4</v>
      </c>
      <c r="I6" s="3175">
        <v>0.96</v>
      </c>
      <c r="J6" s="3175">
        <v>1.03</v>
      </c>
      <c r="K6" s="3175">
        <v>0.92</v>
      </c>
      <c r="L6" s="3176">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2981</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32"/>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2982</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32"/>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2978</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33"/>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2969</v>
      </c>
      <c r="B10" s="3121">
        <v>439</v>
      </c>
      <c r="C10" s="3121">
        <v>327</v>
      </c>
      <c r="D10" s="3121">
        <f t="shared" si="43"/>
        <v>327</v>
      </c>
      <c r="E10" s="3121">
        <v>627</v>
      </c>
      <c r="F10" s="3122">
        <v>283</v>
      </c>
      <c r="G10" s="3431">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2973</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32"/>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32"/>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33"/>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31">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32"/>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32"/>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35"/>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34">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32"/>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32"/>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35"/>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34">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32"/>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32"/>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35"/>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439">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40"/>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40"/>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41"/>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34">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32"/>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32"/>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35"/>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34">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32">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32">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35">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34">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32">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32">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35">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34">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32">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32">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35">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34">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32">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32">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35">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34">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32">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32">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35">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34">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32">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32">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35">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34">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32">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32">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35">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34">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32">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32">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35">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34">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32">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32">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35">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34">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32">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32">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35">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工商银行通州支行：</v>
      </c>
    </row>
    <row r="4" spans="1:4" ht="37.5">
      <c r="A4" s="1792" t="str">
        <f>"受贵公司委托，我公司对"&amp;项目基本情况!K2&amp;项目基本情况!B9&amp;"进行了预评估。"</f>
        <v>受贵公司委托，我公司对北京市通州区靛庄村一区16号院3号楼1至3层101出让国有建设用地使用权抵押价格进行了预评估。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通州开关有限公司使用的、位于北京市通州区靛庄村一区16号院3号楼1至3层101出让国有建设用地使用权。根据《国有土地使用证》[京通国用（2003出）字第207号]，估价对象（分摊）出让国有建设用地使用权面积为120363.16平方米。根据《建设工程规划许可证》[]、《出让合同》[]，估价对象规划建筑面积为72217.9平方米。</v>
      </c>
    </row>
    <row r="7" spans="1:4" ht="56.25">
      <c r="A7" s="1796" t="s">
        <v>2748</v>
      </c>
    </row>
    <row r="8" spans="1:4" ht="18.75">
      <c r="A8" s="1795" t="s">
        <v>1907</v>
      </c>
    </row>
    <row r="9" spans="1:4" ht="93.75">
      <c r="A9" s="1797" t="str">
        <f>IF(项目基本情况!B8="抵押",IF(项目基本情况!B5=项目基本情况!B6,定义!C51,定义!B51),定义!D51)</f>
        <v>北京通州开关有限公司拟使用北京市通州区靛庄村一区16号院3号楼1至3层101出让国有建设用地使用权作为抵押担保物，向工商银行通州支行办理贷款手续。工商银行通州支行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2019年3月20日（评估专业人员勘察现场之日）</v>
      </c>
    </row>
    <row r="12" spans="1:4" ht="18.75">
      <c r="A12" s="1798" t="s">
        <v>2026</v>
      </c>
    </row>
    <row r="13" spans="1:4" ht="18.75">
      <c r="A13" s="1792" t="s">
        <v>2943</v>
      </c>
    </row>
    <row r="14" spans="1:4" ht="37.5">
      <c r="A14" s="1792" t="str">
        <f>"根据"&amp;项目基本情况!F12&amp;"，本次评估估价对象证载（地类）用途为"&amp;项目基本情况!B12&amp;"。"</f>
        <v>根据《国有土地使用证》[京通国用（2003出）字第207号]，本次评估估价对象证载（地类）用途为工业用地。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本次评估设定用途即为证载用途工业用地。</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7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通国用（2003出）字第207号]，估价对象（分摊）出让国有建设用地使用权面积为120363.16平方米。根据《建设工程规划许可证》[]、《出让合同》[]，估价对象规划建筑面积为72217.9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本次估价对象为出让国有建设用地使用权，《国有土地使用证》[京通国用（2003出）字第207号]证载土地终止日期为工业2048年12月30日。截至估价期日，出让国有建设用地使用权剩余土地使用年限为工业29.80年。</v>
      </c>
    </row>
    <row r="23" spans="1:1" ht="18.75">
      <c r="A23" s="1792" t="str">
        <f>IF(项目基本情况!B16="出让","本次评估设定估价对象剩余土地使用年限为"&amp;项目基本情况!D20&amp;"。","")</f>
        <v>本次评估设定估价对象剩余土地使用年限为工业29.80年。</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2019年3月20日，在规划利用条件下、设定土地开发程度为红线外“七通”、宗地内场地，设定用途为工业用地，剩余土地使用年限为工业29.80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3033</v>
      </c>
      <c r="D1" s="2055" t="s">
        <v>3032</v>
      </c>
      <c r="E1" s="2367" t="s">
        <v>2375</v>
      </c>
      <c r="F1" s="2368">
        <f ca="1">J53</f>
        <v>28.8</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27473</v>
      </c>
      <c r="C2" s="2058"/>
      <c r="D2" s="2056"/>
      <c r="E2" s="2057"/>
      <c r="F2" s="2057"/>
      <c r="G2" s="1591"/>
      <c r="H2" s="2058"/>
      <c r="I2" s="2058"/>
      <c r="J2" s="2058"/>
      <c r="K2" s="2059"/>
      <c r="L2" s="2058"/>
      <c r="M2" s="2058"/>
    </row>
    <row r="3" spans="1:33" ht="18" customHeight="1" thickBot="1">
      <c r="A3" s="833" t="s">
        <v>1728</v>
      </c>
      <c r="B3" s="834">
        <f ca="1">IF(ISERROR(B2*10000/F43),0,ROUND(B2*10000/F43,0))</f>
        <v>3804</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2244</v>
      </c>
      <c r="D5" s="2476" t="s">
        <v>2462</v>
      </c>
      <c r="E5" s="2470"/>
      <c r="F5" s="2471"/>
      <c r="G5" s="1593"/>
      <c r="H5" s="781">
        <v>1</v>
      </c>
      <c r="I5" s="782" t="s">
        <v>2459</v>
      </c>
      <c r="J5" s="55">
        <f ca="1">J6+J10+J12</f>
        <v>0</v>
      </c>
      <c r="K5" s="2476" t="s">
        <v>2462</v>
      </c>
      <c r="L5" s="2470"/>
      <c r="M5" s="2471"/>
    </row>
    <row r="6" spans="1:33" ht="18" customHeight="1">
      <c r="A6" s="1831" t="s">
        <v>1825</v>
      </c>
      <c r="B6" s="3425" t="s">
        <v>2464</v>
      </c>
      <c r="C6" s="783">
        <f ca="1">ROUND(F6*F8*F7*(1-F9)/10000,0)</f>
        <v>2241</v>
      </c>
      <c r="D6" s="2477" t="s">
        <v>2463</v>
      </c>
      <c r="E6" s="784" t="s">
        <v>1739</v>
      </c>
      <c r="F6" s="785">
        <f ca="1">INDIRECT("'数据-取费表'!u"&amp;$G$1)</f>
        <v>1</v>
      </c>
      <c r="G6" s="1593"/>
      <c r="H6" s="2484" t="s">
        <v>2469</v>
      </c>
      <c r="I6" s="3425" t="s">
        <v>2464</v>
      </c>
      <c r="J6" s="783">
        <f ca="1">ROUND(M6*M8*M7*(1-M9)/10000,0)</f>
        <v>0</v>
      </c>
      <c r="K6" s="341" t="s">
        <v>1738</v>
      </c>
      <c r="L6" s="784" t="s">
        <v>1739</v>
      </c>
      <c r="M6" s="785">
        <f ca="1">INDIRECT("'数据-取费表'!z"&amp;$G$1)</f>
        <v>0</v>
      </c>
    </row>
    <row r="7" spans="1:33" ht="18" customHeight="1">
      <c r="A7" s="2480"/>
      <c r="B7" s="3426"/>
      <c r="C7" s="788"/>
      <c r="D7" s="789"/>
      <c r="E7" s="784" t="s">
        <v>1740</v>
      </c>
      <c r="F7" s="785">
        <f ca="1">IF(INDIRECT("'数据-取费表'!ah"&amp;$G$1)="",INDIRECT("'数据-取费表'!k"&amp;$G$1),INDIRECT("'数据-取费表'!ah"&amp;$G$1))</f>
        <v>72217.899999999994</v>
      </c>
      <c r="G7" s="1593"/>
      <c r="H7" s="2469"/>
      <c r="I7" s="3426"/>
      <c r="J7" s="788"/>
      <c r="K7" s="789"/>
      <c r="L7" s="784" t="s">
        <v>1740</v>
      </c>
      <c r="M7" s="785">
        <f ca="1">F7</f>
        <v>72217.899999999994</v>
      </c>
    </row>
    <row r="8" spans="1:33" ht="18" customHeight="1">
      <c r="A8" s="2473"/>
      <c r="B8" s="3427"/>
      <c r="C8" s="788"/>
      <c r="D8" s="789"/>
      <c r="E8" s="784" t="s">
        <v>1741</v>
      </c>
      <c r="F8" s="785">
        <f ca="1">INDIRECT("'数据-取费表'!ai"&amp;$G$1)</f>
        <v>365</v>
      </c>
      <c r="G8" s="1593"/>
      <c r="H8" s="2469"/>
      <c r="I8" s="3427"/>
      <c r="J8" s="788"/>
      <c r="K8" s="789"/>
      <c r="L8" s="784" t="s">
        <v>1741</v>
      </c>
      <c r="M8" s="785">
        <f ca="1">INDIRECT("'数据-取费表'!ai"&amp;$G$1)</f>
        <v>365</v>
      </c>
    </row>
    <row r="9" spans="1:33" ht="18" customHeight="1">
      <c r="A9" s="786"/>
      <c r="B9" s="3428"/>
      <c r="C9" s="788"/>
      <c r="D9" s="789"/>
      <c r="E9" s="784" t="s">
        <v>1742</v>
      </c>
      <c r="F9" s="794">
        <f ca="1">INDIRECT("'数据-取费表'!w"&amp;$G$1)</f>
        <v>0.15</v>
      </c>
      <c r="G9" s="1593"/>
      <c r="H9" s="2485"/>
      <c r="I9" s="3427"/>
      <c r="J9" s="788"/>
      <c r="K9" s="789"/>
      <c r="L9" s="795" t="s">
        <v>1742</v>
      </c>
      <c r="M9" s="796">
        <f ca="1">INDIRECT("'数据-取费表'!ab"&amp;$G$1)</f>
        <v>0</v>
      </c>
    </row>
    <row r="10" spans="1:33" ht="18" customHeight="1">
      <c r="A10" s="1831" t="s">
        <v>2467</v>
      </c>
      <c r="B10" s="2474" t="s">
        <v>2460</v>
      </c>
      <c r="C10" s="799">
        <f ca="1">ROUND(IF(F10="押一",C6/12*F11,IF(F10="押二",C6/12*2*F11,IF(F10="押三",C6/12*3*F11,C11*F11))),0)</f>
        <v>3</v>
      </c>
      <c r="D10" s="2481" t="s">
        <v>2976</v>
      </c>
      <c r="E10" s="2478" t="s">
        <v>2465</v>
      </c>
      <c r="F10" s="2601" t="s">
        <v>3013</v>
      </c>
      <c r="G10" s="1593"/>
      <c r="H10" s="2541" t="s">
        <v>2470</v>
      </c>
      <c r="I10" s="2546" t="s">
        <v>2460</v>
      </c>
      <c r="J10" s="783">
        <f ca="1">ROUND(IF(M10="押一",J6/12*M11,IF(M10="押二",J6/12*2*M11,IF(M10="押三",J6/12*3*M11,J11*M11))),0)</f>
        <v>0</v>
      </c>
      <c r="K10" s="2481" t="s">
        <v>2976</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21872</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15888</v>
      </c>
      <c r="D14" s="1980" t="s">
        <v>1746</v>
      </c>
      <c r="E14" s="1981"/>
      <c r="F14" s="805"/>
      <c r="G14" s="1593"/>
      <c r="H14" s="1650" t="s">
        <v>1831</v>
      </c>
      <c r="I14" s="2232" t="s">
        <v>2826</v>
      </c>
      <c r="J14" s="53">
        <f ca="1">C29</f>
        <v>21872</v>
      </c>
      <c r="K14" s="26"/>
      <c r="L14" s="801"/>
      <c r="M14" s="802"/>
    </row>
    <row r="15" spans="1:33" s="2065" customFormat="1" ht="18" customHeight="1" thickBot="1">
      <c r="A15" s="1649" t="s">
        <v>1886</v>
      </c>
      <c r="B15" s="784" t="s">
        <v>647</v>
      </c>
      <c r="C15" s="53">
        <f ca="1">ROUND(C14*F15,0)</f>
        <v>477</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2183</v>
      </c>
      <c r="K16" s="1822" t="s">
        <v>1751</v>
      </c>
      <c r="L16" s="2466"/>
      <c r="M16" s="2471"/>
    </row>
    <row r="17" spans="1:33" s="2065" customFormat="1" ht="18" customHeight="1">
      <c r="A17" s="1649" t="s">
        <v>1888</v>
      </c>
      <c r="B17" s="784" t="s">
        <v>653</v>
      </c>
      <c r="C17" s="53">
        <f ca="1">ROUND(F17*(F43+INDIRECT("'数据-取费表'!S"&amp;$G$1))/10000,0)</f>
        <v>1083</v>
      </c>
      <c r="D17" s="784" t="s">
        <v>1752</v>
      </c>
      <c r="E17" s="784" t="s">
        <v>1753</v>
      </c>
      <c r="F17" s="56">
        <f>'数据-取费表'!B35</f>
        <v>150</v>
      </c>
      <c r="G17" s="1594"/>
      <c r="H17" s="1650" t="s">
        <v>1831</v>
      </c>
      <c r="I17" s="784" t="s">
        <v>656</v>
      </c>
      <c r="J17" s="53">
        <f ca="1">ROUND(IF(项目基本情况!B11="自然人",J5*M17,J18+J19+J20),0)</f>
        <v>1855</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238</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17686</v>
      </c>
      <c r="D19" s="261" t="s">
        <v>1758</v>
      </c>
      <c r="E19" s="1983"/>
      <c r="F19" s="56"/>
      <c r="G19" s="1593"/>
      <c r="H19" s="1649" t="s">
        <v>1886</v>
      </c>
      <c r="I19" s="784" t="s">
        <v>1759</v>
      </c>
      <c r="J19" s="53">
        <f ca="1">IF(K19="按租金收入计税",ROUND(J5*M19,1),ROUND(C29*F33*0.7,1))</f>
        <v>1837.2</v>
      </c>
      <c r="K19" s="811" t="s">
        <v>665</v>
      </c>
      <c r="L19" s="784" t="s">
        <v>1748</v>
      </c>
      <c r="M19" s="809">
        <f>IF(K19="按租金收入计税",'数据-取费表'!B51,'数据-取费表'!B50)</f>
        <v>1.2E-2</v>
      </c>
    </row>
    <row r="20" spans="1:33" s="2065" customFormat="1" ht="18" customHeight="1">
      <c r="A20" s="1650" t="s">
        <v>1890</v>
      </c>
      <c r="B20" s="784" t="s">
        <v>666</v>
      </c>
      <c r="C20" s="53">
        <f ca="1">ROUND(C19*F20,0)</f>
        <v>354</v>
      </c>
      <c r="D20" s="812" t="s">
        <v>1760</v>
      </c>
      <c r="E20" s="784" t="s">
        <v>1748</v>
      </c>
      <c r="F20" s="809">
        <f>'数据-取费表'!B37</f>
        <v>0.02</v>
      </c>
      <c r="G20" s="1594"/>
      <c r="H20" s="1652" t="s">
        <v>1881</v>
      </c>
      <c r="I20" s="341" t="s">
        <v>1761</v>
      </c>
      <c r="J20" s="54">
        <f ca="1">ROUND(M20*M21/10000,0)</f>
        <v>18</v>
      </c>
      <c r="K20" s="814" t="s">
        <v>1762</v>
      </c>
      <c r="L20" s="784" t="s">
        <v>1763</v>
      </c>
      <c r="M20" s="640">
        <f>'数据-取费表'!B52</f>
        <v>1.5</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120363.16</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单利计息。建造成本、管理费用、销售费用产生的利息。</v>
      </c>
      <c r="E22" s="1983"/>
      <c r="F22" s="56"/>
      <c r="G22" s="1593"/>
      <c r="H22" s="1650" t="s">
        <v>1890</v>
      </c>
      <c r="I22" s="784" t="s">
        <v>1769</v>
      </c>
      <c r="J22" s="53">
        <f ca="1">ROUND(J14*M22,0)</f>
        <v>328</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392</v>
      </c>
      <c r="D23" s="2551" t="str">
        <f>IF(F23&lt;=1,"(建造成本+管理费用)×利率×(建设周期÷2)","(建造成本+管理费用)×((1+利率)^(建设周期÷2)-1)")</f>
        <v>(建造成本+管理费用)×利率×(建设周期÷2)</v>
      </c>
      <c r="E23" s="784" t="s">
        <v>1771</v>
      </c>
      <c r="F23" s="640">
        <f>'数据-取费表'!B20</f>
        <v>1</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4.0000000000000002E-4</v>
      </c>
      <c r="D24" s="2551" t="str">
        <f>IF(F23&lt;=1,"销售费用×利率×(建设周期÷2)","销售费用×((1+利率)^(建设周期÷2)-1)")</f>
        <v>销售费用×利率×(建设周期÷2)</v>
      </c>
      <c r="E24" s="784" t="s">
        <v>1774</v>
      </c>
      <c r="F24" s="819">
        <f ca="1">'数据-取费表'!B40</f>
        <v>4.3499999999999997E-2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2822</v>
      </c>
      <c r="J25" s="792">
        <f ca="1">J5-J16</f>
        <v>-2183</v>
      </c>
      <c r="K25" s="2528" t="s">
        <v>1778</v>
      </c>
      <c r="L25" s="2529"/>
      <c r="M25" s="2530"/>
    </row>
    <row r="26" spans="1:33" ht="18" customHeight="1">
      <c r="A26" s="1649" t="s">
        <v>1832</v>
      </c>
      <c r="B26" s="784" t="s">
        <v>2439</v>
      </c>
      <c r="C26" s="53">
        <f ca="1">ROUND((C19+C20)*F26,0)</f>
        <v>1804</v>
      </c>
      <c r="D26" s="812" t="s">
        <v>1779</v>
      </c>
      <c r="E26" s="795" t="s">
        <v>1780</v>
      </c>
      <c r="F26" s="794">
        <f ca="1">INDIRECT("'数据-取费表'!q"&amp;$G$1)</f>
        <v>0.1</v>
      </c>
      <c r="G26" s="1593"/>
      <c r="H26" s="2482" t="s">
        <v>1781</v>
      </c>
      <c r="I26" s="2233" t="s">
        <v>2827</v>
      </c>
      <c r="J26" s="783">
        <f ca="1">IF(J5&lt;&gt;0,ROUND(J25*(1-((1+M28)/(1+M26))^M27)/(M26-M28),0),0)</f>
        <v>0</v>
      </c>
      <c r="K26" s="814" t="s">
        <v>1782</v>
      </c>
      <c r="L26" s="784" t="s">
        <v>2420</v>
      </c>
      <c r="M26" s="794">
        <f ca="1">INDIRECT("'数据-取费表'!I"&amp;$G$1)</f>
        <v>0.05</v>
      </c>
    </row>
    <row r="27" spans="1:33" ht="18" customHeight="1">
      <c r="A27" s="1649" t="s">
        <v>1833</v>
      </c>
      <c r="B27" s="784" t="s">
        <v>686</v>
      </c>
      <c r="C27" s="53">
        <f ca="1">ROUND(F21*F26,4)</f>
        <v>2E-3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5.2400000000000002E-2</v>
      </c>
      <c r="D28" s="812" t="s">
        <v>2300</v>
      </c>
      <c r="E28" s="784" t="s">
        <v>1786</v>
      </c>
      <c r="F28" s="809">
        <f>'数据-取费表'!B41</f>
        <v>5.5000000000000007E-2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21872</v>
      </c>
      <c r="D29" s="2525"/>
      <c r="E29" s="2526"/>
      <c r="F29" s="2527"/>
      <c r="G29" s="1594"/>
      <c r="H29" s="823" t="s">
        <v>1788</v>
      </c>
      <c r="I29" s="824" t="s">
        <v>1789</v>
      </c>
      <c r="J29" s="825">
        <f ca="1">ROUND(J26/(1+F40)^F41,0)</f>
        <v>0</v>
      </c>
      <c r="K29" s="826" t="s">
        <v>1790</v>
      </c>
      <c r="L29" s="827"/>
      <c r="M29" s="828">
        <f ca="1">INDIRECT("'数据-取费表'!k"&amp;$G$1)</f>
        <v>72217.899999999994</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788</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404.9</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117.5</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269.3</v>
      </c>
      <c r="D33" s="811" t="s">
        <v>3014</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18.100000000000001</v>
      </c>
      <c r="D34" s="814" t="s">
        <v>1800</v>
      </c>
      <c r="E34" s="784" t="s">
        <v>1801</v>
      </c>
      <c r="F34" s="640">
        <f>'数据-取费表'!B52</f>
        <v>1.5</v>
      </c>
      <c r="G34" s="2063"/>
      <c r="H34" s="2066"/>
      <c r="I34" s="835" t="s">
        <v>1814</v>
      </c>
      <c r="J34" s="836"/>
      <c r="K34" s="2081"/>
      <c r="L34" s="2080"/>
      <c r="M34" s="2080"/>
    </row>
    <row r="35" spans="1:18" ht="18" customHeight="1">
      <c r="A35" s="815"/>
      <c r="B35" s="793"/>
      <c r="C35" s="69"/>
      <c r="D35" s="816"/>
      <c r="E35" s="784" t="s">
        <v>1802</v>
      </c>
      <c r="F35" s="785">
        <f ca="1">INDIRECT("'数据-取费表'!r"&amp;$G$1)</f>
        <v>120363.16</v>
      </c>
      <c r="G35" s="2063"/>
      <c r="H35" s="2066"/>
      <c r="I35" s="837" t="s">
        <v>1815</v>
      </c>
      <c r="J35" s="838">
        <f ca="1">ROUND(C13*J36,0)</f>
        <v>1750</v>
      </c>
      <c r="K35" s="2079"/>
      <c r="L35" s="2078"/>
      <c r="M35" s="2078"/>
    </row>
    <row r="36" spans="1:18" ht="18" customHeight="1">
      <c r="A36" s="1650" t="s">
        <v>1890</v>
      </c>
      <c r="B36" s="784" t="s">
        <v>1803</v>
      </c>
      <c r="C36" s="53">
        <f ca="1">ROUND(C29*F36,1)</f>
        <v>328.1</v>
      </c>
      <c r="D36" s="1978" t="s">
        <v>1804</v>
      </c>
      <c r="E36" s="784" t="s">
        <v>1797</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32.799999999999997</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22.4</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6" t="s">
        <v>2822</v>
      </c>
      <c r="C39" s="792">
        <f ca="1">C5-C30</f>
        <v>1456</v>
      </c>
      <c r="D39" s="2528" t="s">
        <v>1807</v>
      </c>
      <c r="E39" s="2529"/>
      <c r="F39" s="2530"/>
      <c r="G39" s="2063"/>
      <c r="H39" s="2078"/>
      <c r="I39" s="837" t="s">
        <v>1819</v>
      </c>
      <c r="J39" s="845">
        <f ca="1">ROUND(J35/C39,3)</f>
        <v>1.202</v>
      </c>
      <c r="K39" s="2084"/>
      <c r="L39" s="2078"/>
      <c r="M39" s="2078"/>
    </row>
    <row r="40" spans="1:18" ht="18" customHeight="1">
      <c r="A40" s="781" t="s">
        <v>1896</v>
      </c>
      <c r="B40" s="2233" t="s">
        <v>2302</v>
      </c>
      <c r="C40" s="783">
        <f ca="1">ROUND(C39*(1-((1+F42)/(1+F40))^F41)/(F40-F42),0)</f>
        <v>27473</v>
      </c>
      <c r="D40" s="814" t="s">
        <v>1808</v>
      </c>
      <c r="E40" s="784" t="s">
        <v>2420</v>
      </c>
      <c r="F40" s="794">
        <f ca="1">INDIRECT("'数据-取费表'!I"&amp;$G$1)</f>
        <v>0.05</v>
      </c>
      <c r="G40" s="2063"/>
      <c r="H40" s="2063"/>
      <c r="I40" s="837" t="s">
        <v>1820</v>
      </c>
      <c r="J40" s="845">
        <f ca="1">1-J39</f>
        <v>-0.20199999999999996</v>
      </c>
      <c r="K40" s="2084"/>
      <c r="L40" s="2063"/>
      <c r="M40" s="2063"/>
    </row>
    <row r="41" spans="1:18" ht="18" customHeight="1">
      <c r="A41" s="786"/>
      <c r="B41" s="787"/>
      <c r="C41" s="788"/>
      <c r="D41" s="821" t="s">
        <v>1809</v>
      </c>
      <c r="E41" s="784" t="s">
        <v>2966</v>
      </c>
      <c r="F41" s="822">
        <f ca="1">IF(INDIRECT("'数据-取费表'!af"&amp;$G$1)=0,INDIRECT("'数据-取费表'!ae"&amp;$G$1),INDIRECT("'数据-取费表'!af"&amp;$G$1))</f>
        <v>28.8</v>
      </c>
      <c r="G41" s="2063"/>
      <c r="H41" s="1989"/>
      <c r="I41" s="843" t="s">
        <v>1821</v>
      </c>
      <c r="J41" s="846"/>
      <c r="K41" s="2083"/>
      <c r="L41" s="1989"/>
      <c r="M41" s="1989"/>
    </row>
    <row r="42" spans="1:18" ht="18" customHeight="1">
      <c r="A42" s="790"/>
      <c r="B42" s="791"/>
      <c r="C42" s="792"/>
      <c r="D42" s="816"/>
      <c r="E42" s="784" t="s">
        <v>1810</v>
      </c>
      <c r="F42" s="794">
        <f ca="1">INDIRECT("'数据-取费表'!v"&amp;$G$1)</f>
        <v>0.02</v>
      </c>
      <c r="G42" s="2063"/>
      <c r="H42" s="1989"/>
      <c r="I42" s="847" t="s">
        <v>1822</v>
      </c>
      <c r="J42" s="845">
        <f ca="1">ROUND(C13/C40,3)</f>
        <v>0.79600000000000004</v>
      </c>
      <c r="K42" s="2083"/>
      <c r="L42" s="1989"/>
      <c r="M42" s="1989"/>
    </row>
    <row r="43" spans="1:18" ht="18" customHeight="1" thickBot="1">
      <c r="A43" s="823" t="s">
        <v>1788</v>
      </c>
      <c r="B43" s="824" t="s">
        <v>1811</v>
      </c>
      <c r="C43" s="825">
        <f ca="1">ROUND(C40*10000/F43,0)</f>
        <v>3804</v>
      </c>
      <c r="D43" s="826" t="s">
        <v>1812</v>
      </c>
      <c r="E43" s="827" t="s">
        <v>1813</v>
      </c>
      <c r="F43" s="828">
        <f ca="1">INDIRECT("'数据-取费表'!k"&amp;$G$1)</f>
        <v>72217.899999999994</v>
      </c>
      <c r="G43" s="2063"/>
      <c r="H43" s="1989"/>
      <c r="I43" s="847" t="s">
        <v>1823</v>
      </c>
      <c r="J43" s="848">
        <f ca="1">1-J42</f>
        <v>0.20399999999999996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-33193</v>
      </c>
      <c r="D46" s="2086"/>
      <c r="E46" s="2086"/>
      <c r="F46" s="2086"/>
      <c r="I46" s="2358" t="s">
        <v>2344</v>
      </c>
      <c r="J46" s="2359"/>
      <c r="K46" s="2360"/>
      <c r="L46" s="3133">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3" t="s">
        <v>2345</v>
      </c>
      <c r="J47" s="2361" t="s">
        <v>3015</v>
      </c>
      <c r="K47" s="3130" t="s">
        <v>2350</v>
      </c>
      <c r="L47" s="3134">
        <f ca="1">INDIRECT("'数据-取费表'!d"&amp;$G$1)</f>
        <v>50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2" t="s">
        <v>2346</v>
      </c>
      <c r="J48" s="2362" t="s">
        <v>2351</v>
      </c>
      <c r="K48" s="3131" t="s">
        <v>2352</v>
      </c>
      <c r="L48" s="1909">
        <f ca="1">INDIRECT("'数据-取费表'!f"&amp;$G$1)</f>
        <v>29.8</v>
      </c>
      <c r="O48" s="2378" t="s">
        <v>2380</v>
      </c>
      <c r="P48" s="2379" t="s">
        <v>2406</v>
      </c>
      <c r="Q48" s="2380">
        <f ca="1">C40+J29</f>
        <v>27473</v>
      </c>
      <c r="R48" s="2379" t="s">
        <v>2381</v>
      </c>
    </row>
    <row r="49" spans="1:18" s="2060" customFormat="1" ht="18" customHeight="1" thickBot="1">
      <c r="A49" s="786"/>
      <c r="B49" s="787"/>
      <c r="C49" s="788"/>
      <c r="D49" s="789"/>
      <c r="E49" s="784" t="s">
        <v>1740</v>
      </c>
      <c r="F49" s="785">
        <f ca="1">F7</f>
        <v>72217.899999999994</v>
      </c>
      <c r="G49" s="2091"/>
      <c r="H49" s="2094"/>
      <c r="I49" s="3102" t="s">
        <v>2347</v>
      </c>
      <c r="J49" s="2363">
        <v>2016</v>
      </c>
      <c r="K49" s="3132"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2" t="s">
        <v>2348</v>
      </c>
      <c r="J50" s="3127">
        <f>SUMPRODUCT((I63:I65=J47)*(J62:L62=J48)*(J63:L65))</f>
        <v>60</v>
      </c>
      <c r="K50" s="3132" t="s">
        <v>2354</v>
      </c>
      <c r="L50" s="2364"/>
      <c r="O50" s="2381" t="s">
        <v>2384</v>
      </c>
      <c r="P50" s="2379" t="s">
        <v>2408</v>
      </c>
      <c r="Q50" s="2380">
        <f ca="1">C29</f>
        <v>21872</v>
      </c>
      <c r="R50" s="2379" t="s">
        <v>2381</v>
      </c>
    </row>
    <row r="51" spans="1:18" s="2060" customFormat="1" ht="18" customHeight="1" thickBot="1">
      <c r="A51" s="786"/>
      <c r="B51" s="787"/>
      <c r="C51" s="788"/>
      <c r="D51" s="789"/>
      <c r="E51" s="784" t="s">
        <v>640</v>
      </c>
      <c r="F51" s="2351"/>
      <c r="H51" s="2094"/>
      <c r="I51" s="3124" t="s">
        <v>2349</v>
      </c>
      <c r="J51" s="3128">
        <f>IF(J49="",J50,J49+J50-YEAR('数据-取费表'!B2))</f>
        <v>57</v>
      </c>
      <c r="K51" s="3102" t="s">
        <v>2355</v>
      </c>
      <c r="L51" s="3135">
        <f ca="1">ROUND(-PV(INDIRECT("'数据-取费表'!h"&amp;$G$1),L48,(C39-C13*J36),0),0)</f>
        <v>-4770</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2977</v>
      </c>
      <c r="E52" s="2478" t="s">
        <v>2465</v>
      </c>
      <c r="F52" s="2601"/>
      <c r="I52" s="3125" t="s">
        <v>2422</v>
      </c>
      <c r="J52" s="2365">
        <v>8.5000000000000006E-2</v>
      </c>
      <c r="K52" s="3125" t="s">
        <v>2421</v>
      </c>
      <c r="L52" s="2365"/>
      <c r="O52" s="2381" t="s">
        <v>2387</v>
      </c>
      <c r="P52" s="2379" t="s">
        <v>2388</v>
      </c>
      <c r="Q52" s="2382">
        <f>J52</f>
        <v>8.5000000000000006E-2</v>
      </c>
      <c r="R52" s="2383"/>
    </row>
    <row r="53" spans="1:18" s="2060" customFormat="1" ht="39.75" customHeight="1" thickBot="1">
      <c r="A53" s="786"/>
      <c r="B53" s="2475" t="s">
        <v>2574</v>
      </c>
      <c r="C53" s="2479"/>
      <c r="D53" s="2481"/>
      <c r="E53" s="2478"/>
      <c r="F53" s="800"/>
      <c r="I53" s="3126" t="s">
        <v>2980</v>
      </c>
      <c r="J53" s="3129">
        <f ca="1">IF(M47="住宅",IF(D1="——",MAX(J51,L48),MAX(J51,L48-'数据-取费表'!B20)),IF(D1="——",MIN(J51,L48),MIN(J51,L48-'数据-取费表'!B20)))</f>
        <v>28.8</v>
      </c>
      <c r="K53" s="3442" t="s">
        <v>2968</v>
      </c>
      <c r="L53" s="3443"/>
      <c r="O53" s="2381" t="s">
        <v>2389</v>
      </c>
      <c r="P53" s="2379" t="s">
        <v>2390</v>
      </c>
      <c r="Q53" s="2380">
        <f ca="1">J53</f>
        <v>28.8</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27473</v>
      </c>
      <c r="R54" s="2383" t="s">
        <v>2393</v>
      </c>
    </row>
    <row r="55" spans="1:18" s="2060" customFormat="1" ht="18" customHeight="1" thickTop="1" thickBot="1">
      <c r="A55" s="797">
        <v>2</v>
      </c>
      <c r="B55" s="798" t="s">
        <v>644</v>
      </c>
      <c r="C55" s="799">
        <f ca="1">C13</f>
        <v>21872</v>
      </c>
      <c r="D55" s="795"/>
      <c r="E55" s="795"/>
      <c r="F55" s="800"/>
      <c r="I55" s="3138" t="s">
        <v>2356</v>
      </c>
      <c r="J55" s="3078" t="e">
        <f ca="1">ROUND(IF(J47="钢混",J57/J50,1-(1-2%)*(J50-J57)/J50),3)</f>
        <v>#VALUE!</v>
      </c>
      <c r="K55" s="3139" t="s">
        <v>2357</v>
      </c>
      <c r="L55" s="2366"/>
      <c r="O55" s="2384" t="s">
        <v>2412</v>
      </c>
      <c r="P55" s="1593"/>
      <c r="Q55" s="1605"/>
      <c r="R55" s="1593"/>
    </row>
    <row r="56" spans="1:18" s="2060" customFormat="1" ht="42.75" customHeight="1" thickBot="1">
      <c r="A56" s="1651"/>
      <c r="B56" s="2232" t="s">
        <v>2303</v>
      </c>
      <c r="C56" s="53">
        <f ca="1">C29</f>
        <v>21872</v>
      </c>
      <c r="D56" s="2619"/>
      <c r="E56" s="784"/>
      <c r="F56" s="809"/>
      <c r="I56" s="3140" t="s">
        <v>2358</v>
      </c>
      <c r="J56" s="3150" t="s">
        <v>1679</v>
      </c>
      <c r="K56" s="3102"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379</v>
      </c>
      <c r="D57" s="26" t="s">
        <v>1751</v>
      </c>
      <c r="E57" s="2620"/>
      <c r="F57" s="56"/>
      <c r="I57" s="3141" t="s">
        <v>2359</v>
      </c>
      <c r="J57" s="3142" t="str">
        <f ca="1">IF(OR(M47="住宅",J51&lt;L48,J56="是"),"——",J51-L48)</f>
        <v>——</v>
      </c>
      <c r="K57" s="3102" t="s">
        <v>2364</v>
      </c>
      <c r="L57" s="1909" t="str">
        <f ca="1">IF(L48&lt;J51,"——",IF(L55="比较法",L49,IF(L55="基准地价",L50,L51)))</f>
        <v>——</v>
      </c>
      <c r="O57" s="2378" t="s">
        <v>2380</v>
      </c>
      <c r="P57" s="2379" t="s">
        <v>2410</v>
      </c>
      <c r="Q57" s="2380">
        <f ca="1">C40+J29</f>
        <v>27473</v>
      </c>
      <c r="R57" s="2379" t="s">
        <v>2381</v>
      </c>
    </row>
    <row r="58" spans="1:18" s="2060" customFormat="1" ht="28.5" customHeight="1" thickBot="1">
      <c r="A58" s="1650" t="s">
        <v>1825</v>
      </c>
      <c r="B58" s="784" t="s">
        <v>656</v>
      </c>
      <c r="C58" s="53">
        <f ca="1">ROUND(IF(项目基本情况!B11="自然人",C47*F58,C59+C60+C61),1)</f>
        <v>18.100000000000001</v>
      </c>
      <c r="D58" s="2618" t="s">
        <v>657</v>
      </c>
      <c r="E58" s="2619" t="s">
        <v>690</v>
      </c>
      <c r="F58" s="810" t="str">
        <f ca="1">IF(项目基本情况!B11="企业","",IF(INDIRECT("'数据-取费表'!c"&amp;$G$1)="住宅",5%,IF(F48*F49*F50/12/(1+'数据-取费表'!C42)&gt;20000,12%,7%)))</f>
        <v/>
      </c>
      <c r="I58" s="3141" t="s">
        <v>2360</v>
      </c>
      <c r="J58" s="3079" t="e">
        <f ca="1">IF(J55&lt;0.4,0.4,J55)</f>
        <v>#VALUE!</v>
      </c>
      <c r="K58" s="3102"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5.5000000000000007E-2</v>
      </c>
      <c r="I59" s="3141" t="s">
        <v>2361</v>
      </c>
      <c r="J59" s="3142" t="str">
        <f ca="1">IF(OR(M47="住宅",J51&lt;L48,J56="是"),"——",ROUND(C29*J58,0))</f>
        <v>——</v>
      </c>
      <c r="K59" s="3102"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3" t="s">
        <v>2362</v>
      </c>
      <c r="J60" s="3144" t="str">
        <f ca="1">IF(OR(M47="住宅",J51&lt;L48,J56="是"),"0",ROUND(J59/(1+J52)^J53,0))</f>
        <v>0</v>
      </c>
      <c r="K60" s="3145" t="s">
        <v>2367</v>
      </c>
      <c r="L60" s="3144">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18.100000000000001</v>
      </c>
      <c r="D61" s="814" t="s">
        <v>669</v>
      </c>
      <c r="E61" s="784" t="s">
        <v>670</v>
      </c>
      <c r="F61" s="640">
        <f t="shared" si="0"/>
        <v>1.5</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120363.16</v>
      </c>
      <c r="I62" s="3146" t="s">
        <v>2368</v>
      </c>
      <c r="J62" s="3147" t="s">
        <v>2369</v>
      </c>
      <c r="K62" s="3147" t="s">
        <v>2370</v>
      </c>
      <c r="L62" s="3147" t="s">
        <v>2351</v>
      </c>
      <c r="M62" s="3148" t="s">
        <v>2944</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328.1</v>
      </c>
      <c r="D63" s="2619" t="s">
        <v>1804</v>
      </c>
      <c r="E63" s="784" t="s">
        <v>1748</v>
      </c>
      <c r="F63" s="817">
        <f t="shared" ca="1" si="0"/>
        <v>1.4999999999999999E-2</v>
      </c>
      <c r="I63" s="3146" t="s">
        <v>2371</v>
      </c>
      <c r="J63" s="3147">
        <v>70</v>
      </c>
      <c r="K63" s="3147">
        <v>50</v>
      </c>
      <c r="L63" s="3147">
        <v>80</v>
      </c>
      <c r="M63" s="3149">
        <v>0.02</v>
      </c>
      <c r="O63" s="2378" t="s">
        <v>2392</v>
      </c>
      <c r="P63" s="2379" t="s">
        <v>2409</v>
      </c>
      <c r="Q63" s="2380">
        <f ca="1">Q57+Q58</f>
        <v>27473</v>
      </c>
      <c r="R63" s="2383" t="s">
        <v>2393</v>
      </c>
    </row>
    <row r="64" spans="1:18" s="2060" customFormat="1" ht="16.5" thickBot="1">
      <c r="A64" s="1650" t="s">
        <v>1891</v>
      </c>
      <c r="B64" s="784" t="s">
        <v>679</v>
      </c>
      <c r="C64" s="53">
        <f ca="1">ROUND(C55*F64,1)</f>
        <v>32.799999999999997</v>
      </c>
      <c r="D64" s="2619" t="s">
        <v>680</v>
      </c>
      <c r="E64" s="784" t="s">
        <v>1748</v>
      </c>
      <c r="F64" s="818">
        <f t="shared" ca="1" si="0"/>
        <v>1.5E-3</v>
      </c>
      <c r="I64" s="3146" t="s">
        <v>2372</v>
      </c>
      <c r="J64" s="3147">
        <v>50</v>
      </c>
      <c r="K64" s="3147">
        <v>35</v>
      </c>
      <c r="L64" s="3147">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0.01</v>
      </c>
      <c r="I65" s="3146" t="s">
        <v>2373</v>
      </c>
      <c r="J65" s="3147">
        <v>40</v>
      </c>
      <c r="K65" s="3147">
        <v>30</v>
      </c>
      <c r="L65" s="3147">
        <v>50</v>
      </c>
      <c r="M65" s="3149">
        <v>0.02</v>
      </c>
      <c r="O65" s="2375" t="s">
        <v>2376</v>
      </c>
      <c r="P65" s="2376" t="s">
        <v>2377</v>
      </c>
      <c r="Q65" s="2377" t="s">
        <v>2378</v>
      </c>
      <c r="R65" s="2376" t="s">
        <v>2379</v>
      </c>
    </row>
    <row r="66" spans="1:18" s="2060" customFormat="1" ht="24.75" thickBot="1">
      <c r="A66" s="797" t="s">
        <v>1777</v>
      </c>
      <c r="B66" s="2987" t="s">
        <v>2822</v>
      </c>
      <c r="C66" s="799">
        <f ca="1">C47-C57</f>
        <v>-379</v>
      </c>
      <c r="D66" s="2618" t="s">
        <v>700</v>
      </c>
      <c r="E66" s="2617"/>
      <c r="F66" s="820"/>
      <c r="K66" s="2087"/>
      <c r="O66" s="2378" t="s">
        <v>2380</v>
      </c>
      <c r="P66" s="2379" t="s">
        <v>2410</v>
      </c>
      <c r="Q66" s="2380">
        <f ca="1">C40+J29</f>
        <v>27473</v>
      </c>
      <c r="R66" s="2379" t="s">
        <v>2381</v>
      </c>
    </row>
    <row r="67" spans="1:18" s="2060" customFormat="1" ht="20.25" thickBot="1">
      <c r="A67" s="781" t="s">
        <v>1781</v>
      </c>
      <c r="B67" s="2233" t="s">
        <v>2302</v>
      </c>
      <c r="C67" s="783">
        <f ca="1">ROUND(C66*(1-((1+F69)/(1+F67))^F68)/(F67-F69),0)</f>
        <v>-5720</v>
      </c>
      <c r="D67" s="814" t="s">
        <v>704</v>
      </c>
      <c r="E67" s="784" t="s">
        <v>705</v>
      </c>
      <c r="F67" s="794">
        <f ca="1">F40</f>
        <v>0.05</v>
      </c>
      <c r="K67" s="2087"/>
      <c r="O67" s="2378" t="s">
        <v>2382</v>
      </c>
      <c r="P67" s="2379" t="s">
        <v>2413</v>
      </c>
      <c r="Q67" s="2380">
        <f ca="1">L60</f>
        <v>0</v>
      </c>
      <c r="R67" s="2383" t="s">
        <v>2415</v>
      </c>
    </row>
    <row r="68" spans="1:18" ht="21.75" thickBot="1">
      <c r="A68" s="786"/>
      <c r="B68" s="787"/>
      <c r="C68" s="788"/>
      <c r="D68" s="821" t="s">
        <v>1809</v>
      </c>
      <c r="E68" s="784" t="s">
        <v>1785</v>
      </c>
      <c r="F68" s="822">
        <f ca="1">F41</f>
        <v>28.8</v>
      </c>
      <c r="O68" s="2381" t="s">
        <v>2384</v>
      </c>
      <c r="P68" s="2379" t="s">
        <v>2414</v>
      </c>
      <c r="Q68" s="2385">
        <f ca="1">L51</f>
        <v>-4770</v>
      </c>
      <c r="R68" s="2386" t="s">
        <v>2417</v>
      </c>
    </row>
    <row r="69" spans="1:18" ht="20.25" thickBot="1">
      <c r="A69" s="790"/>
      <c r="B69" s="791"/>
      <c r="C69" s="792"/>
      <c r="D69" s="816"/>
      <c r="E69" s="784" t="s">
        <v>710</v>
      </c>
      <c r="F69" s="2351"/>
      <c r="O69" s="2381" t="s">
        <v>2385</v>
      </c>
      <c r="P69" s="2387" t="s">
        <v>2399</v>
      </c>
      <c r="Q69" s="2380">
        <f ca="1">ROUND(Q70-Q71*Q72,0)</f>
        <v>-294</v>
      </c>
      <c r="R69" s="2383"/>
    </row>
    <row r="70" spans="1:18" ht="15.75" thickBot="1">
      <c r="A70" s="823" t="s">
        <v>1788</v>
      </c>
      <c r="B70" s="824" t="s">
        <v>1811</v>
      </c>
      <c r="C70" s="825">
        <f ca="1">ROUND(C67*10000/F70,0)</f>
        <v>-792</v>
      </c>
      <c r="D70" s="826" t="s">
        <v>1812</v>
      </c>
      <c r="E70" s="827" t="s">
        <v>1813</v>
      </c>
      <c r="F70" s="828">
        <f ca="1">F43</f>
        <v>72217.899999999994</v>
      </c>
      <c r="O70" s="2381" t="s">
        <v>2400</v>
      </c>
      <c r="P70" s="2387" t="s">
        <v>2401</v>
      </c>
      <c r="Q70" s="2380">
        <f ca="1">C39</f>
        <v>1456</v>
      </c>
      <c r="R70" s="2379" t="s">
        <v>2381</v>
      </c>
    </row>
    <row r="71" spans="1:18" ht="15.75" thickBot="1">
      <c r="O71" s="2381" t="s">
        <v>2402</v>
      </c>
      <c r="P71" s="2387" t="s">
        <v>2403</v>
      </c>
      <c r="Q71" s="2380">
        <f ca="1">C13</f>
        <v>21872</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27473</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4" t="s">
        <v>2472</v>
      </c>
      <c r="B1" s="3445"/>
      <c r="C1" s="3446"/>
      <c r="D1" s="3447">
        <f>SUM(I10,I15,I20,I21,I23)</f>
        <v>0</v>
      </c>
      <c r="E1" s="3447"/>
      <c r="F1" s="3447"/>
      <c r="G1" s="3447"/>
      <c r="H1" s="3447"/>
      <c r="I1" s="3448"/>
    </row>
    <row r="2" spans="1:9">
      <c r="A2" s="3449" t="s">
        <v>2473</v>
      </c>
      <c r="B2" s="3450" t="s">
        <v>2474</v>
      </c>
      <c r="C2" s="3450"/>
      <c r="D2" s="2487" t="s">
        <v>2475</v>
      </c>
      <c r="E2" s="2487" t="s">
        <v>2476</v>
      </c>
      <c r="F2" s="2487" t="s">
        <v>2477</v>
      </c>
      <c r="G2" s="2487" t="s">
        <v>2478</v>
      </c>
      <c r="H2" s="2487" t="s">
        <v>2479</v>
      </c>
      <c r="I2" s="2488" t="s">
        <v>2480</v>
      </c>
    </row>
    <row r="3" spans="1:9">
      <c r="A3" s="3449"/>
      <c r="B3" s="3450" t="s">
        <v>2481</v>
      </c>
      <c r="C3" s="3450"/>
      <c r="D3" s="2489"/>
      <c r="E3" s="2487"/>
      <c r="F3" s="2490"/>
      <c r="G3" s="2490"/>
      <c r="H3" s="2491"/>
      <c r="I3" s="2492">
        <f>ROUND(D3*E3*F3*G3*H3/10000,0)</f>
        <v>0</v>
      </c>
    </row>
    <row r="4" spans="1:9">
      <c r="A4" s="3449"/>
      <c r="B4" s="3450" t="s">
        <v>2482</v>
      </c>
      <c r="C4" s="3450"/>
      <c r="D4" s="2489"/>
      <c r="E4" s="2487"/>
      <c r="F4" s="2490"/>
      <c r="G4" s="2490"/>
      <c r="H4" s="2491"/>
      <c r="I4" s="2492">
        <f t="shared" ref="I4:I9" si="0">ROUND(D4*E4*F4*G4*H4/10000,0)</f>
        <v>0</v>
      </c>
    </row>
    <row r="5" spans="1:9">
      <c r="A5" s="3449"/>
      <c r="B5" s="3450" t="s">
        <v>2483</v>
      </c>
      <c r="C5" s="3450"/>
      <c r="D5" s="2489"/>
      <c r="E5" s="2487"/>
      <c r="F5" s="2490"/>
      <c r="G5" s="2490"/>
      <c r="H5" s="2491"/>
      <c r="I5" s="2492">
        <f t="shared" si="0"/>
        <v>0</v>
      </c>
    </row>
    <row r="6" spans="1:9">
      <c r="A6" s="3449"/>
      <c r="B6" s="3450" t="s">
        <v>2484</v>
      </c>
      <c r="C6" s="3450"/>
      <c r="D6" s="2489"/>
      <c r="E6" s="2487"/>
      <c r="F6" s="2490"/>
      <c r="G6" s="2490"/>
      <c r="H6" s="2491"/>
      <c r="I6" s="2492">
        <f t="shared" si="0"/>
        <v>0</v>
      </c>
    </row>
    <row r="7" spans="1:9">
      <c r="A7" s="3449"/>
      <c r="B7" s="3450" t="s">
        <v>2485</v>
      </c>
      <c r="C7" s="3450"/>
      <c r="D7" s="2489"/>
      <c r="E7" s="2487"/>
      <c r="F7" s="2490"/>
      <c r="G7" s="2490"/>
      <c r="H7" s="2491"/>
      <c r="I7" s="2492">
        <f t="shared" si="0"/>
        <v>0</v>
      </c>
    </row>
    <row r="8" spans="1:9">
      <c r="A8" s="3449"/>
      <c r="B8" s="3450" t="s">
        <v>2486</v>
      </c>
      <c r="C8" s="3450"/>
      <c r="D8" s="2489"/>
      <c r="E8" s="2487"/>
      <c r="F8" s="2490"/>
      <c r="G8" s="2490"/>
      <c r="H8" s="2491"/>
      <c r="I8" s="2492">
        <f t="shared" si="0"/>
        <v>0</v>
      </c>
    </row>
    <row r="9" spans="1:9">
      <c r="A9" s="3449"/>
      <c r="B9" s="3450" t="s">
        <v>2487</v>
      </c>
      <c r="C9" s="3450"/>
      <c r="D9" s="2489"/>
      <c r="E9" s="2487"/>
      <c r="F9" s="2490"/>
      <c r="G9" s="2490"/>
      <c r="H9" s="2491"/>
      <c r="I9" s="2492">
        <f t="shared" si="0"/>
        <v>0</v>
      </c>
    </row>
    <row r="10" spans="1:9">
      <c r="A10" s="3449"/>
      <c r="B10" s="3451" t="s">
        <v>2488</v>
      </c>
      <c r="C10" s="3451"/>
      <c r="D10" s="2493">
        <v>527</v>
      </c>
      <c r="E10" s="2493" t="e">
        <f>ROUND(D1*10000/D10/H9,0)</f>
        <v>#DIV/0!</v>
      </c>
      <c r="F10" s="2494"/>
      <c r="G10" s="2494"/>
      <c r="H10" s="2495"/>
      <c r="I10" s="2496">
        <f>SUM(I3:I9)</f>
        <v>0</v>
      </c>
    </row>
    <row r="11" spans="1:9" ht="14.25">
      <c r="A11" s="3449" t="s">
        <v>2489</v>
      </c>
      <c r="B11" s="3450" t="s">
        <v>2490</v>
      </c>
      <c r="C11" s="3450"/>
      <c r="D11" s="2489" t="s">
        <v>2491</v>
      </c>
      <c r="E11" s="2489" t="s">
        <v>2492</v>
      </c>
      <c r="F11" s="2490" t="s">
        <v>2493</v>
      </c>
      <c r="G11" s="2490" t="s">
        <v>2494</v>
      </c>
      <c r="H11" s="2497" t="s">
        <v>2495</v>
      </c>
      <c r="I11" s="2488" t="s">
        <v>2496</v>
      </c>
    </row>
    <row r="12" spans="1:9">
      <c r="A12" s="3449"/>
      <c r="B12" s="3450" t="s">
        <v>2497</v>
      </c>
      <c r="C12" s="3450"/>
      <c r="D12" s="2489"/>
      <c r="E12" s="2489"/>
      <c r="F12" s="2490"/>
      <c r="G12" s="2491"/>
      <c r="H12" s="2498"/>
      <c r="I12" s="2488">
        <f>ROUND(D12*E12*F12*G12/10000,0)</f>
        <v>0</v>
      </c>
    </row>
    <row r="13" spans="1:9">
      <c r="A13" s="3449"/>
      <c r="B13" s="3450" t="s">
        <v>2498</v>
      </c>
      <c r="C13" s="3450"/>
      <c r="D13" s="2489"/>
      <c r="E13" s="2489"/>
      <c r="F13" s="2490"/>
      <c r="G13" s="2491"/>
      <c r="H13" s="2498"/>
      <c r="I13" s="2488">
        <f>ROUND(D13*E13*F13*G13/10000,0)</f>
        <v>0</v>
      </c>
    </row>
    <row r="14" spans="1:9">
      <c r="A14" s="3449"/>
      <c r="B14" s="3450" t="s">
        <v>2499</v>
      </c>
      <c r="C14" s="3450"/>
      <c r="D14" s="2489"/>
      <c r="E14" s="2489"/>
      <c r="F14" s="2490"/>
      <c r="G14" s="2491"/>
      <c r="H14" s="2498"/>
      <c r="I14" s="2488">
        <f>ROUND(D14*E14*F14*G14/10000,0)</f>
        <v>0</v>
      </c>
    </row>
    <row r="15" spans="1:9">
      <c r="A15" s="3449"/>
      <c r="B15" s="3451" t="s">
        <v>2488</v>
      </c>
      <c r="C15" s="3451"/>
      <c r="D15" s="2493"/>
      <c r="E15" s="2493">
        <f>SUM(E12:E14)</f>
        <v>0</v>
      </c>
      <c r="F15" s="2494"/>
      <c r="G15" s="2491"/>
      <c r="H15" s="2498"/>
      <c r="I15" s="2499">
        <f>SUM(I12:I14)</f>
        <v>0</v>
      </c>
    </row>
    <row r="16" spans="1:9" ht="24">
      <c r="A16" s="3449" t="s">
        <v>2500</v>
      </c>
      <c r="B16" s="3450" t="s">
        <v>2501</v>
      </c>
      <c r="C16" s="3450"/>
      <c r="D16" s="2489" t="s">
        <v>2502</v>
      </c>
      <c r="E16" s="2500" t="s">
        <v>2503</v>
      </c>
      <c r="F16" s="2490" t="s">
        <v>2504</v>
      </c>
      <c r="G16" s="2491" t="s">
        <v>2494</v>
      </c>
      <c r="H16" s="2497" t="s">
        <v>2495</v>
      </c>
      <c r="I16" s="2488" t="s">
        <v>2496</v>
      </c>
    </row>
    <row r="17" spans="1:9" ht="14.25">
      <c r="A17" s="3449"/>
      <c r="B17" s="3450" t="s">
        <v>2505</v>
      </c>
      <c r="C17" s="3450"/>
      <c r="D17" s="2489"/>
      <c r="E17" s="2489"/>
      <c r="F17" s="2490"/>
      <c r="G17" s="2491"/>
      <c r="H17" s="2501"/>
      <c r="I17" s="2502">
        <f>ROUND(D17*E17*F17*G17/10000,0)</f>
        <v>0</v>
      </c>
    </row>
    <row r="18" spans="1:9" ht="14.25">
      <c r="A18" s="3449"/>
      <c r="B18" s="3450" t="s">
        <v>2506</v>
      </c>
      <c r="C18" s="3450"/>
      <c r="D18" s="2489"/>
      <c r="E18" s="2489"/>
      <c r="F18" s="2490"/>
      <c r="G18" s="2491"/>
      <c r="H18" s="2501"/>
      <c r="I18" s="2502">
        <f>ROUND(D18*E18*F18*G18/10000,0)</f>
        <v>0</v>
      </c>
    </row>
    <row r="19" spans="1:9" ht="14.25">
      <c r="A19" s="3449"/>
      <c r="B19" s="3450" t="s">
        <v>2507</v>
      </c>
      <c r="C19" s="3450"/>
      <c r="D19" s="2489"/>
      <c r="E19" s="2489"/>
      <c r="F19" s="2490"/>
      <c r="G19" s="2491"/>
      <c r="H19" s="2501"/>
      <c r="I19" s="2502">
        <f>ROUND(D19*E19*F19*G19/10000,0)</f>
        <v>0</v>
      </c>
    </row>
    <row r="20" spans="1:9">
      <c r="A20" s="3449"/>
      <c r="B20" s="3451" t="s">
        <v>2488</v>
      </c>
      <c r="C20" s="3451"/>
      <c r="D20" s="2493">
        <f>SUM(D17:D19)</f>
        <v>0</v>
      </c>
      <c r="E20" s="2493"/>
      <c r="F20" s="2494"/>
      <c r="G20" s="2491"/>
      <c r="H20" s="2498"/>
      <c r="I20" s="2499">
        <f>SUM(I17:I19)</f>
        <v>0</v>
      </c>
    </row>
    <row r="21" spans="1:9">
      <c r="A21" s="3449" t="s">
        <v>2508</v>
      </c>
      <c r="B21" s="3453"/>
      <c r="C21" s="3453"/>
      <c r="D21" s="3453"/>
      <c r="E21" s="3453"/>
      <c r="F21" s="3453"/>
      <c r="G21" s="3453"/>
      <c r="H21" s="2503">
        <v>0.1</v>
      </c>
      <c r="I21" s="2496">
        <f>ROUND(I10*H21,0)</f>
        <v>0</v>
      </c>
    </row>
    <row r="22" spans="1:9" ht="14.25">
      <c r="A22" s="3454" t="s">
        <v>2509</v>
      </c>
      <c r="B22" s="3455"/>
      <c r="C22" s="3456"/>
      <c r="D22" s="2504" t="s">
        <v>2510</v>
      </c>
      <c r="E22" s="2504" t="s">
        <v>2511</v>
      </c>
      <c r="F22" s="2505" t="s">
        <v>2512</v>
      </c>
      <c r="G22" s="2505" t="s">
        <v>2513</v>
      </c>
      <c r="H22" s="2497" t="s">
        <v>2514</v>
      </c>
      <c r="I22" s="2488" t="s">
        <v>2515</v>
      </c>
    </row>
    <row r="23" spans="1:9" ht="14.25" thickBot="1">
      <c r="A23" s="3457"/>
      <c r="B23" s="3458"/>
      <c r="C23" s="3459"/>
      <c r="D23" s="2506"/>
      <c r="E23" s="2506"/>
      <c r="F23" s="2506"/>
      <c r="G23" s="2507"/>
      <c r="H23" s="2508"/>
      <c r="I23" s="2509">
        <f>ROUND(E23*D23*F23*(1-G23)/10000,0)</f>
        <v>0</v>
      </c>
    </row>
    <row r="26" spans="1:9">
      <c r="A26" s="2510" t="s">
        <v>2516</v>
      </c>
      <c r="B26" s="2510"/>
      <c r="C26" s="2510"/>
      <c r="D26" s="2510"/>
      <c r="E26" s="3460">
        <f>C27-C30-C31-C32</f>
        <v>0</v>
      </c>
      <c r="F26" s="3460"/>
      <c r="G26" s="3460"/>
      <c r="H26" s="3020" t="s">
        <v>2843</v>
      </c>
    </row>
    <row r="27" spans="1:9">
      <c r="A27" s="2511">
        <v>1</v>
      </c>
      <c r="B27" s="2512" t="s">
        <v>2517</v>
      </c>
      <c r="C27" s="2512"/>
      <c r="D27" s="2512"/>
      <c r="E27" s="3461"/>
      <c r="F27" s="3461"/>
      <c r="G27" s="3461"/>
    </row>
    <row r="28" spans="1:9">
      <c r="A28" s="2513" t="s">
        <v>2518</v>
      </c>
      <c r="B28" s="2512" t="s">
        <v>2519</v>
      </c>
      <c r="C28" s="2512"/>
      <c r="D28" s="2512"/>
      <c r="E28" s="3461"/>
      <c r="F28" s="3461"/>
      <c r="G28" s="3461"/>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52"/>
      <c r="F32" s="3452"/>
      <c r="G32" s="3452"/>
    </row>
    <row r="33" spans="1:7" hidden="1">
      <c r="A33" s="3462" t="s">
        <v>2527</v>
      </c>
      <c r="B33" s="3463"/>
      <c r="C33" s="3463"/>
      <c r="D33" s="3464"/>
      <c r="E33" s="3460"/>
      <c r="F33" s="3460"/>
      <c r="G33" s="3460"/>
    </row>
    <row r="34" spans="1:7" hidden="1">
      <c r="A34" s="2515">
        <v>1</v>
      </c>
      <c r="B34" s="2512" t="s">
        <v>2528</v>
      </c>
      <c r="C34" s="2512"/>
      <c r="D34" s="2512"/>
      <c r="E34" s="3461"/>
      <c r="F34" s="3461"/>
      <c r="G34" s="3461"/>
    </row>
    <row r="35" spans="1:7" hidden="1">
      <c r="A35" s="2515">
        <v>2</v>
      </c>
      <c r="B35" s="2512" t="s">
        <v>2529</v>
      </c>
      <c r="C35" s="2512"/>
      <c r="D35" s="2512"/>
      <c r="E35" s="3461"/>
      <c r="F35" s="3461"/>
      <c r="G35" s="3461"/>
    </row>
    <row r="36" spans="1:7" hidden="1">
      <c r="A36" s="2515">
        <v>3</v>
      </c>
      <c r="B36" s="2512" t="s">
        <v>2530</v>
      </c>
      <c r="C36" s="2512"/>
      <c r="D36" s="2512"/>
      <c r="E36" s="3461"/>
      <c r="F36" s="3461"/>
      <c r="G36" s="3461"/>
    </row>
    <row r="37" spans="1:7" hidden="1">
      <c r="A37" s="2515">
        <v>4</v>
      </c>
      <c r="B37" s="2512" t="s">
        <v>2531</v>
      </c>
      <c r="C37" s="2512"/>
      <c r="D37" s="2512"/>
      <c r="E37" s="3461"/>
      <c r="F37" s="3461"/>
      <c r="G37" s="3461"/>
    </row>
    <row r="38" spans="1:7" hidden="1">
      <c r="A38" s="3462" t="s">
        <v>2532</v>
      </c>
      <c r="B38" s="3463"/>
      <c r="C38" s="3463"/>
      <c r="D38" s="3464"/>
      <c r="E38" s="3460"/>
      <c r="F38" s="3460"/>
      <c r="G38" s="34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72217.899999999994</v>
      </c>
      <c r="E10" s="749">
        <f>'数据-取费表'!B31</f>
        <v>200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0</v>
      </c>
      <c r="F12" s="755"/>
      <c r="G12" s="759"/>
    </row>
    <row r="13" spans="1:25" s="2184" customFormat="1" ht="13.5" customHeight="1">
      <c r="A13" s="2456" t="s">
        <v>2448</v>
      </c>
      <c r="B13" s="756" t="s">
        <v>612</v>
      </c>
      <c r="C13" s="757">
        <f>ROUND(D13*E13/10000,0)</f>
        <v>1228</v>
      </c>
      <c r="D13" s="758">
        <f>'数据-汇总表'!E6</f>
        <v>72217.899999999994</v>
      </c>
      <c r="E13" s="757">
        <f>'数据-取费表'!B28</f>
        <v>170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0.73099999999999998</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76" t="s">
        <v>522</v>
      </c>
      <c r="D4" s="3377"/>
      <c r="E4" s="3410" t="s">
        <v>523</v>
      </c>
      <c r="F4" s="3411"/>
      <c r="G4" s="3376" t="s">
        <v>524</v>
      </c>
      <c r="H4" s="3377"/>
      <c r="I4" s="3376" t="s">
        <v>525</v>
      </c>
      <c r="J4" s="3377"/>
      <c r="K4" s="853" t="s">
        <v>526</v>
      </c>
      <c r="L4" s="2134"/>
      <c r="M4" s="2135"/>
      <c r="N4" s="2135"/>
      <c r="O4" s="2135"/>
      <c r="P4" s="3378" t="s">
        <v>527</v>
      </c>
      <c r="Q4" s="3379"/>
      <c r="R4" s="3384" t="s">
        <v>523</v>
      </c>
      <c r="S4" s="3385"/>
      <c r="T4" s="3384" t="s">
        <v>524</v>
      </c>
      <c r="U4" s="3385"/>
      <c r="V4" s="3371" t="s">
        <v>525</v>
      </c>
      <c r="W4" s="3371"/>
      <c r="X4" s="1568"/>
      <c r="Y4" s="3384" t="s">
        <v>527</v>
      </c>
      <c r="Z4" s="3385"/>
      <c r="AA4" s="3373" t="s">
        <v>523</v>
      </c>
      <c r="AB4" s="3373" t="s">
        <v>524</v>
      </c>
      <c r="AC4" s="3373" t="s">
        <v>525</v>
      </c>
    </row>
    <row r="5" spans="1:29" ht="15">
      <c r="A5" s="515"/>
      <c r="B5" s="516"/>
      <c r="C5" s="3392" t="s">
        <v>2929</v>
      </c>
      <c r="D5" s="3393"/>
      <c r="E5" s="3412" t="s">
        <v>2930</v>
      </c>
      <c r="F5" s="3413"/>
      <c r="G5" s="3392" t="s">
        <v>2931</v>
      </c>
      <c r="H5" s="3393"/>
      <c r="I5" s="3392" t="s">
        <v>2932</v>
      </c>
      <c r="J5" s="3393"/>
      <c r="K5" s="854"/>
      <c r="L5" s="2134"/>
      <c r="M5" s="2135"/>
      <c r="N5" s="2135"/>
      <c r="O5" s="2135"/>
      <c r="P5" s="3380"/>
      <c r="Q5" s="3381"/>
      <c r="R5" s="3386"/>
      <c r="S5" s="3387"/>
      <c r="T5" s="3386"/>
      <c r="U5" s="3387"/>
      <c r="V5" s="3371"/>
      <c r="W5" s="3371"/>
      <c r="X5" s="1568"/>
      <c r="Y5" s="3386"/>
      <c r="Z5" s="3387"/>
      <c r="AA5" s="3374"/>
      <c r="AB5" s="3374"/>
      <c r="AC5" s="3374"/>
    </row>
    <row r="6" spans="1:29" ht="15.75" thickBot="1">
      <c r="A6" s="517"/>
      <c r="B6" s="518"/>
      <c r="C6" s="3390" t="s">
        <v>2933</v>
      </c>
      <c r="D6" s="3391"/>
      <c r="E6" s="3408" t="s">
        <v>2933</v>
      </c>
      <c r="F6" s="3409"/>
      <c r="G6" s="3390" t="s">
        <v>2933</v>
      </c>
      <c r="H6" s="3391"/>
      <c r="I6" s="3390" t="s">
        <v>2933</v>
      </c>
      <c r="J6" s="3391"/>
      <c r="K6" s="854" t="s">
        <v>528</v>
      </c>
      <c r="L6" s="2134"/>
      <c r="M6" s="2135"/>
      <c r="N6" s="2135"/>
      <c r="O6" s="2135"/>
      <c r="P6" s="3382"/>
      <c r="Q6" s="3383"/>
      <c r="R6" s="3386"/>
      <c r="S6" s="3387"/>
      <c r="T6" s="3388"/>
      <c r="U6" s="3389"/>
      <c r="V6" s="3371"/>
      <c r="W6" s="3371"/>
      <c r="X6" s="1568"/>
      <c r="Y6" s="3388"/>
      <c r="Z6" s="3389"/>
      <c r="AA6" s="3375"/>
      <c r="AB6" s="3375"/>
      <c r="AC6" s="3375"/>
    </row>
    <row r="7" spans="1:29" s="1220" customFormat="1" ht="15.75" thickBot="1">
      <c r="A7" s="2891"/>
      <c r="B7" s="2898" t="s">
        <v>529</v>
      </c>
      <c r="C7" s="519">
        <f>'数据-取费表'!B2</f>
        <v>43544</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01" t="s">
        <v>530</v>
      </c>
      <c r="Q7" s="3403"/>
      <c r="R7" s="1569" t="s">
        <v>13</v>
      </c>
      <c r="S7" s="1570">
        <f t="shared" ref="S7:S15" si="0">F7</f>
        <v>0</v>
      </c>
      <c r="T7" s="1569" t="s">
        <v>13</v>
      </c>
      <c r="U7" s="1570">
        <f t="shared" ref="U7:U15" si="1">H7</f>
        <v>0</v>
      </c>
      <c r="V7" s="1569" t="s">
        <v>13</v>
      </c>
      <c r="W7" s="1570">
        <f t="shared" ref="W7:W15" si="2">J7</f>
        <v>0</v>
      </c>
      <c r="X7" s="1571"/>
      <c r="Y7" s="3401" t="s">
        <v>530</v>
      </c>
      <c r="Z7" s="3402"/>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01" t="s">
        <v>533</v>
      </c>
      <c r="Q8" s="3402"/>
      <c r="R8" s="1569" t="s">
        <v>13</v>
      </c>
      <c r="S8" s="1570">
        <f t="shared" si="0"/>
        <v>0</v>
      </c>
      <c r="T8" s="1569" t="s">
        <v>13</v>
      </c>
      <c r="U8" s="1570">
        <f t="shared" si="1"/>
        <v>0</v>
      </c>
      <c r="V8" s="1569" t="s">
        <v>13</v>
      </c>
      <c r="W8" s="1570">
        <f t="shared" si="2"/>
        <v>0</v>
      </c>
      <c r="X8" s="1571"/>
      <c r="Y8" s="3401" t="s">
        <v>533</v>
      </c>
      <c r="Z8" s="3402"/>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70" t="s">
        <v>535</v>
      </c>
      <c r="Q9" s="1151" t="str">
        <f t="shared" ref="Q9:Q15" si="6">B9</f>
        <v>用途</v>
      </c>
      <c r="R9" s="1569" t="s">
        <v>8</v>
      </c>
      <c r="S9" s="1570">
        <f t="shared" si="0"/>
        <v>100</v>
      </c>
      <c r="T9" s="1569" t="s">
        <v>8</v>
      </c>
      <c r="U9" s="1570">
        <f t="shared" si="1"/>
        <v>100</v>
      </c>
      <c r="V9" s="1569" t="s">
        <v>8</v>
      </c>
      <c r="W9" s="1570">
        <f t="shared" si="2"/>
        <v>100</v>
      </c>
      <c r="X9" s="1571"/>
      <c r="Y9" s="3294"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70"/>
      <c r="Q10" s="1151" t="str">
        <f t="shared" si="6"/>
        <v>土地使用年限（年）</v>
      </c>
      <c r="R10" s="1569" t="s">
        <v>8</v>
      </c>
      <c r="S10" s="1570">
        <f t="shared" si="0"/>
        <v>100</v>
      </c>
      <c r="T10" s="1569" t="s">
        <v>8</v>
      </c>
      <c r="U10" s="1570">
        <f t="shared" si="1"/>
        <v>100</v>
      </c>
      <c r="V10" s="1569" t="s">
        <v>8</v>
      </c>
      <c r="W10" s="1570">
        <f t="shared" si="2"/>
        <v>100</v>
      </c>
      <c r="X10" s="1571"/>
      <c r="Y10" s="3294"/>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70"/>
      <c r="Q11" s="1151" t="str">
        <f t="shared" si="6"/>
        <v>容积率</v>
      </c>
      <c r="R11" s="1569" t="s">
        <v>11</v>
      </c>
      <c r="S11" s="1570" t="e">
        <f t="shared" si="0"/>
        <v>#N/A</v>
      </c>
      <c r="T11" s="1569" t="s">
        <v>11</v>
      </c>
      <c r="U11" s="1570" t="e">
        <f t="shared" si="1"/>
        <v>#N/A</v>
      </c>
      <c r="V11" s="1569" t="s">
        <v>11</v>
      </c>
      <c r="W11" s="1570" t="e">
        <f t="shared" si="2"/>
        <v>#N/A</v>
      </c>
      <c r="X11" s="1571"/>
      <c r="Y11" s="3294"/>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70"/>
      <c r="Q12" s="1151">
        <f t="shared" si="6"/>
        <v>111</v>
      </c>
      <c r="R12" s="1569" t="s">
        <v>11</v>
      </c>
      <c r="S12" s="1570">
        <f t="shared" si="0"/>
        <v>100</v>
      </c>
      <c r="T12" s="1569" t="s">
        <v>11</v>
      </c>
      <c r="U12" s="1570">
        <f t="shared" si="1"/>
        <v>100</v>
      </c>
      <c r="V12" s="1569" t="s">
        <v>11</v>
      </c>
      <c r="W12" s="1570">
        <f t="shared" si="2"/>
        <v>100</v>
      </c>
      <c r="X12" s="1571"/>
      <c r="Y12" s="3294"/>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70"/>
      <c r="Q13" s="1151">
        <f t="shared" si="6"/>
        <v>111</v>
      </c>
      <c r="R13" s="1569" t="s">
        <v>11</v>
      </c>
      <c r="S13" s="1570">
        <f t="shared" si="0"/>
        <v>100</v>
      </c>
      <c r="T13" s="1569" t="s">
        <v>11</v>
      </c>
      <c r="U13" s="1570">
        <f t="shared" si="1"/>
        <v>100</v>
      </c>
      <c r="V13" s="1569" t="s">
        <v>11</v>
      </c>
      <c r="W13" s="1570">
        <f t="shared" si="2"/>
        <v>100</v>
      </c>
      <c r="X13" s="1571"/>
      <c r="Y13" s="3294"/>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70"/>
      <c r="Q14" s="1151">
        <f t="shared" si="6"/>
        <v>111</v>
      </c>
      <c r="R14" s="1569" t="s">
        <v>11</v>
      </c>
      <c r="S14" s="1570">
        <f t="shared" si="0"/>
        <v>100</v>
      </c>
      <c r="T14" s="1569" t="s">
        <v>11</v>
      </c>
      <c r="U14" s="1570">
        <f t="shared" si="1"/>
        <v>100</v>
      </c>
      <c r="V14" s="1569" t="s">
        <v>11</v>
      </c>
      <c r="W14" s="1570">
        <f t="shared" si="2"/>
        <v>100</v>
      </c>
      <c r="X14" s="1571"/>
      <c r="Y14" s="3294"/>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04" t="s">
        <v>540</v>
      </c>
      <c r="Q15" s="1573" t="str">
        <f t="shared" si="6"/>
        <v>居住社区成熟度</v>
      </c>
      <c r="R15" s="1574" t="s">
        <v>11</v>
      </c>
      <c r="S15" s="1575">
        <f t="shared" si="0"/>
        <v>100</v>
      </c>
      <c r="T15" s="1574" t="s">
        <v>11</v>
      </c>
      <c r="U15" s="1575">
        <f t="shared" si="1"/>
        <v>100</v>
      </c>
      <c r="V15" s="1574" t="s">
        <v>11</v>
      </c>
      <c r="W15" s="1575">
        <f t="shared" si="2"/>
        <v>100</v>
      </c>
      <c r="X15" s="1568"/>
      <c r="Y15" s="340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405"/>
      <c r="Q16" s="1573"/>
      <c r="R16" s="1574"/>
      <c r="S16" s="1575"/>
      <c r="T16" s="1574"/>
      <c r="U16" s="1575"/>
      <c r="V16" s="1574"/>
      <c r="W16" s="1575"/>
      <c r="X16" s="1568"/>
      <c r="Y16" s="340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05"/>
      <c r="Q17" s="1573" t="str">
        <f>B17</f>
        <v>交通便捷度</v>
      </c>
      <c r="R17" s="1574" t="s">
        <v>11</v>
      </c>
      <c r="S17" s="1575">
        <f>F17</f>
        <v>100</v>
      </c>
      <c r="T17" s="1574" t="s">
        <v>11</v>
      </c>
      <c r="U17" s="1575">
        <f>H17</f>
        <v>100</v>
      </c>
      <c r="V17" s="1574" t="s">
        <v>11</v>
      </c>
      <c r="W17" s="1575">
        <f>J17</f>
        <v>100</v>
      </c>
      <c r="X17" s="1568"/>
      <c r="Y17" s="340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405"/>
      <c r="Q18" s="1573"/>
      <c r="R18" s="1574"/>
      <c r="S18" s="1575"/>
      <c r="T18" s="1574"/>
      <c r="U18" s="1575"/>
      <c r="V18" s="1574"/>
      <c r="W18" s="1575"/>
      <c r="X18" s="1568"/>
      <c r="Y18" s="3405"/>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05"/>
      <c r="Q19" s="1573" t="str">
        <f>B19</f>
        <v>公共配套设施</v>
      </c>
      <c r="R19" s="1574" t="s">
        <v>11</v>
      </c>
      <c r="S19" s="1575">
        <f>F19</f>
        <v>100</v>
      </c>
      <c r="T19" s="1574" t="s">
        <v>11</v>
      </c>
      <c r="U19" s="1575">
        <f>H19</f>
        <v>100</v>
      </c>
      <c r="V19" s="1574" t="s">
        <v>11</v>
      </c>
      <c r="W19" s="1575">
        <f>J19</f>
        <v>100</v>
      </c>
      <c r="X19" s="1568"/>
      <c r="Y19" s="340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405"/>
      <c r="Q20" s="1573"/>
      <c r="R20" s="1574"/>
      <c r="S20" s="1575"/>
      <c r="T20" s="1574"/>
      <c r="U20" s="1575"/>
      <c r="V20" s="1574"/>
      <c r="W20" s="1575"/>
      <c r="X20" s="1568"/>
      <c r="Y20" s="3405"/>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05"/>
      <c r="Q21" s="2559" t="str">
        <f>B21</f>
        <v>基础设施水平</v>
      </c>
      <c r="R21" s="1574" t="s">
        <v>11</v>
      </c>
      <c r="S21" s="1575">
        <f>F21</f>
        <v>100</v>
      </c>
      <c r="T21" s="1574" t="s">
        <v>11</v>
      </c>
      <c r="U21" s="1575">
        <f>H21</f>
        <v>100</v>
      </c>
      <c r="V21" s="1574" t="s">
        <v>11</v>
      </c>
      <c r="W21" s="1575">
        <f>J21</f>
        <v>100</v>
      </c>
      <c r="X21" s="2561"/>
      <c r="Y21" s="3405"/>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405"/>
      <c r="Q22" s="2559"/>
      <c r="R22" s="1574"/>
      <c r="S22" s="1575"/>
      <c r="T22" s="1574"/>
      <c r="U22" s="1575"/>
      <c r="V22" s="1574"/>
      <c r="W22" s="1575"/>
      <c r="X22" s="2561"/>
      <c r="Y22" s="3405"/>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05"/>
      <c r="Q23" s="1573" t="str">
        <f>B23</f>
        <v>自然及人文环境</v>
      </c>
      <c r="R23" s="1574" t="s">
        <v>11</v>
      </c>
      <c r="S23" s="1575">
        <f>F23</f>
        <v>100</v>
      </c>
      <c r="T23" s="1574" t="s">
        <v>11</v>
      </c>
      <c r="U23" s="1575">
        <f>H23</f>
        <v>100</v>
      </c>
      <c r="V23" s="1574" t="s">
        <v>11</v>
      </c>
      <c r="W23" s="1575">
        <f>J23</f>
        <v>100</v>
      </c>
      <c r="X23" s="1568"/>
      <c r="Y23" s="340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405"/>
      <c r="Q24" s="1573"/>
      <c r="R24" s="1574"/>
      <c r="S24" s="1575"/>
      <c r="T24" s="1574"/>
      <c r="U24" s="1575"/>
      <c r="V24" s="1574"/>
      <c r="W24" s="1575"/>
      <c r="X24" s="1568"/>
      <c r="Y24" s="3405"/>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05"/>
      <c r="Q25" s="1573" t="str">
        <f t="shared" ref="Q25:Q46" si="11">B25</f>
        <v>楼层-1</v>
      </c>
      <c r="R25" s="1574" t="s">
        <v>11</v>
      </c>
      <c r="S25" s="1575">
        <f>F25</f>
        <v>100</v>
      </c>
      <c r="T25" s="1574" t="s">
        <v>11</v>
      </c>
      <c r="U25" s="1575">
        <f>H25</f>
        <v>100</v>
      </c>
      <c r="V25" s="1574" t="s">
        <v>11</v>
      </c>
      <c r="W25" s="1575">
        <f>J25</f>
        <v>100</v>
      </c>
      <c r="X25" s="1568"/>
      <c r="Y25" s="340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5"/>
      <c r="Q26" s="1573" t="str">
        <f t="shared" si="11"/>
        <v>朝向</v>
      </c>
      <c r="R26" s="1574" t="s">
        <v>11</v>
      </c>
      <c r="S26" s="1575">
        <f>F26</f>
        <v>100</v>
      </c>
      <c r="T26" s="1574" t="s">
        <v>11</v>
      </c>
      <c r="U26" s="1575">
        <f>H26</f>
        <v>100</v>
      </c>
      <c r="V26" s="1574" t="s">
        <v>11</v>
      </c>
      <c r="W26" s="1575">
        <f>J26</f>
        <v>100</v>
      </c>
      <c r="X26" s="1568"/>
      <c r="Y26" s="340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05"/>
      <c r="Q27" s="1151" t="str">
        <f t="shared" si="11"/>
        <v>道路级别</v>
      </c>
      <c r="R27" s="1569" t="s">
        <v>11</v>
      </c>
      <c r="S27" s="1570">
        <f>F27</f>
        <v>100</v>
      </c>
      <c r="T27" s="1569" t="s">
        <v>11</v>
      </c>
      <c r="U27" s="1570">
        <f>H27</f>
        <v>100</v>
      </c>
      <c r="V27" s="1569" t="s">
        <v>11</v>
      </c>
      <c r="W27" s="1570">
        <f>J27</f>
        <v>100</v>
      </c>
      <c r="X27" s="1571"/>
      <c r="Y27" s="340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5"/>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5"/>
      <c r="Q29" s="1573">
        <f t="shared" si="11"/>
        <v>111</v>
      </c>
      <c r="R29" s="1574" t="s">
        <v>11</v>
      </c>
      <c r="S29" s="1575">
        <f t="shared" si="12"/>
        <v>100</v>
      </c>
      <c r="T29" s="1574" t="s">
        <v>11</v>
      </c>
      <c r="U29" s="1575">
        <f t="shared" si="13"/>
        <v>100</v>
      </c>
      <c r="V29" s="1574" t="s">
        <v>11</v>
      </c>
      <c r="W29" s="1575">
        <f t="shared" si="14"/>
        <v>100</v>
      </c>
      <c r="X29" s="1568"/>
      <c r="Y29" s="340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5"/>
      <c r="Q30" s="1573">
        <f t="shared" si="11"/>
        <v>111</v>
      </c>
      <c r="R30" s="1574" t="s">
        <v>11</v>
      </c>
      <c r="S30" s="1575">
        <f t="shared" si="12"/>
        <v>100</v>
      </c>
      <c r="T30" s="1574" t="s">
        <v>11</v>
      </c>
      <c r="U30" s="1575">
        <f t="shared" si="13"/>
        <v>100</v>
      </c>
      <c r="V30" s="1574" t="s">
        <v>11</v>
      </c>
      <c r="W30" s="1575">
        <f t="shared" si="14"/>
        <v>100</v>
      </c>
      <c r="X30" s="1568"/>
      <c r="Y30" s="3405"/>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5"/>
      <c r="Q31" s="1573">
        <f t="shared" si="11"/>
        <v>111</v>
      </c>
      <c r="R31" s="1574" t="s">
        <v>11</v>
      </c>
      <c r="S31" s="1575">
        <f t="shared" si="12"/>
        <v>100</v>
      </c>
      <c r="T31" s="1574" t="s">
        <v>11</v>
      </c>
      <c r="U31" s="1575">
        <f t="shared" si="13"/>
        <v>100</v>
      </c>
      <c r="V31" s="1574" t="s">
        <v>11</v>
      </c>
      <c r="W31" s="1575">
        <f t="shared" si="14"/>
        <v>100</v>
      </c>
      <c r="X31" s="1568"/>
      <c r="Y31" s="3405"/>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06" t="s">
        <v>550</v>
      </c>
      <c r="Q32" s="1573" t="str">
        <f t="shared" si="11"/>
        <v>建筑类型</v>
      </c>
      <c r="R32" s="1574" t="s">
        <v>11</v>
      </c>
      <c r="S32" s="1575">
        <f t="shared" si="12"/>
        <v>100</v>
      </c>
      <c r="T32" s="1574" t="s">
        <v>11</v>
      </c>
      <c r="U32" s="1575">
        <f t="shared" si="13"/>
        <v>100</v>
      </c>
      <c r="V32" s="1574" t="s">
        <v>11</v>
      </c>
      <c r="W32" s="1575">
        <f t="shared" si="14"/>
        <v>100</v>
      </c>
      <c r="X32" s="1568"/>
      <c r="Y32" s="3407"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07"/>
      <c r="Q33" s="1606" t="str">
        <f t="shared" si="11"/>
        <v>项目建筑规模</v>
      </c>
      <c r="R33" s="1578" t="s">
        <v>11</v>
      </c>
      <c r="S33" s="1579" t="e">
        <f t="shared" si="12"/>
        <v>#N/A</v>
      </c>
      <c r="T33" s="1578" t="s">
        <v>11</v>
      </c>
      <c r="U33" s="1579" t="e">
        <f t="shared" si="13"/>
        <v>#N/A</v>
      </c>
      <c r="V33" s="1578" t="s">
        <v>11</v>
      </c>
      <c r="W33" s="1579" t="e">
        <f t="shared" si="14"/>
        <v>#N/A</v>
      </c>
      <c r="X33" s="1580"/>
      <c r="Y33" s="340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07"/>
      <c r="Q34" s="1573" t="str">
        <f t="shared" si="11"/>
        <v>建筑结构</v>
      </c>
      <c r="R34" s="1574" t="s">
        <v>11</v>
      </c>
      <c r="S34" s="1575">
        <f t="shared" si="12"/>
        <v>100</v>
      </c>
      <c r="T34" s="1574" t="s">
        <v>11</v>
      </c>
      <c r="U34" s="1575">
        <f t="shared" si="13"/>
        <v>100</v>
      </c>
      <c r="V34" s="1574" t="s">
        <v>11</v>
      </c>
      <c r="W34" s="1575">
        <f t="shared" si="14"/>
        <v>100</v>
      </c>
      <c r="X34" s="1568"/>
      <c r="Y34" s="3407"/>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07"/>
      <c r="Q35" s="1573" t="str">
        <f t="shared" si="11"/>
        <v>建筑品质</v>
      </c>
      <c r="R35" s="1574" t="s">
        <v>11</v>
      </c>
      <c r="S35" s="1575">
        <f t="shared" si="12"/>
        <v>100</v>
      </c>
      <c r="T35" s="1574" t="s">
        <v>11</v>
      </c>
      <c r="U35" s="1575">
        <f t="shared" si="13"/>
        <v>100</v>
      </c>
      <c r="V35" s="1574" t="s">
        <v>11</v>
      </c>
      <c r="W35" s="1575">
        <f t="shared" si="14"/>
        <v>100</v>
      </c>
      <c r="X35" s="1568"/>
      <c r="Y35" s="3407"/>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07"/>
      <c r="Q36" s="1573" t="str">
        <f t="shared" si="11"/>
        <v>公共部分装修</v>
      </c>
      <c r="R36" s="1574" t="s">
        <v>11</v>
      </c>
      <c r="S36" s="1575">
        <f t="shared" si="12"/>
        <v>100</v>
      </c>
      <c r="T36" s="1574" t="s">
        <v>11</v>
      </c>
      <c r="U36" s="1575">
        <f t="shared" si="13"/>
        <v>100</v>
      </c>
      <c r="V36" s="1574" t="s">
        <v>11</v>
      </c>
      <c r="W36" s="1575">
        <f t="shared" si="14"/>
        <v>100</v>
      </c>
      <c r="X36" s="1568"/>
      <c r="Y36" s="3407"/>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07"/>
      <c r="Q37" s="1151" t="str">
        <f t="shared" si="11"/>
        <v>成新度</v>
      </c>
      <c r="R37" s="1569" t="s">
        <v>11</v>
      </c>
      <c r="S37" s="1570" t="e">
        <f t="shared" si="12"/>
        <v>#N/A</v>
      </c>
      <c r="T37" s="1569" t="s">
        <v>11</v>
      </c>
      <c r="U37" s="1570" t="e">
        <f t="shared" si="13"/>
        <v>#N/A</v>
      </c>
      <c r="V37" s="1569" t="s">
        <v>11</v>
      </c>
      <c r="W37" s="1570" t="e">
        <f t="shared" si="14"/>
        <v>#N/A</v>
      </c>
      <c r="X37" s="1571"/>
      <c r="Y37" s="3407"/>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07" t="s">
        <v>550</v>
      </c>
      <c r="Q38" s="1573" t="str">
        <f t="shared" si="11"/>
        <v>物业管理</v>
      </c>
      <c r="R38" s="1574" t="s">
        <v>11</v>
      </c>
      <c r="S38" s="1575">
        <f t="shared" si="12"/>
        <v>100</v>
      </c>
      <c r="T38" s="1574" t="s">
        <v>11</v>
      </c>
      <c r="U38" s="1575">
        <f t="shared" si="13"/>
        <v>100</v>
      </c>
      <c r="V38" s="1574" t="s">
        <v>11</v>
      </c>
      <c r="W38" s="1575">
        <f t="shared" si="14"/>
        <v>100</v>
      </c>
      <c r="X38" s="1568"/>
      <c r="Y38" s="3407"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07"/>
      <c r="Q39" s="1573" t="str">
        <f t="shared" si="11"/>
        <v>市政基础设施</v>
      </c>
      <c r="R39" s="1574" t="s">
        <v>11</v>
      </c>
      <c r="S39" s="1575">
        <f t="shared" si="12"/>
        <v>100</v>
      </c>
      <c r="T39" s="1574" t="s">
        <v>11</v>
      </c>
      <c r="U39" s="1575">
        <f t="shared" si="13"/>
        <v>100</v>
      </c>
      <c r="V39" s="1574" t="s">
        <v>11</v>
      </c>
      <c r="W39" s="1575">
        <f t="shared" si="14"/>
        <v>100</v>
      </c>
      <c r="X39" s="1568"/>
      <c r="Y39" s="3407"/>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07"/>
      <c r="Q40" s="1573" t="str">
        <f t="shared" si="11"/>
        <v>房型</v>
      </c>
      <c r="R40" s="1574" t="s">
        <v>11</v>
      </c>
      <c r="S40" s="1575">
        <f t="shared" si="12"/>
        <v>100</v>
      </c>
      <c r="T40" s="1574" t="s">
        <v>11</v>
      </c>
      <c r="U40" s="1575">
        <f t="shared" si="13"/>
        <v>100</v>
      </c>
      <c r="V40" s="1574" t="s">
        <v>11</v>
      </c>
      <c r="W40" s="1575">
        <f t="shared" si="14"/>
        <v>100</v>
      </c>
      <c r="X40" s="1568"/>
      <c r="Y40" s="3407"/>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07"/>
      <c r="Q41" s="1606" t="str">
        <f t="shared" si="11"/>
        <v>单套/主力户型建筑面积</v>
      </c>
      <c r="R41" s="1578" t="s">
        <v>11</v>
      </c>
      <c r="S41" s="1579">
        <f t="shared" si="12"/>
        <v>100</v>
      </c>
      <c r="T41" s="1578" t="s">
        <v>11</v>
      </c>
      <c r="U41" s="1579">
        <f t="shared" si="13"/>
        <v>100</v>
      </c>
      <c r="V41" s="1578" t="s">
        <v>11</v>
      </c>
      <c r="W41" s="1579">
        <f t="shared" si="14"/>
        <v>100</v>
      </c>
      <c r="X41" s="1580"/>
      <c r="Y41" s="3407"/>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07"/>
      <c r="Q42" s="1573" t="str">
        <f t="shared" si="11"/>
        <v>内部装修</v>
      </c>
      <c r="R42" s="1574" t="s">
        <v>11</v>
      </c>
      <c r="S42" s="1575">
        <f t="shared" si="12"/>
        <v>100</v>
      </c>
      <c r="T42" s="1574" t="s">
        <v>11</v>
      </c>
      <c r="U42" s="1575">
        <f t="shared" si="13"/>
        <v>100</v>
      </c>
      <c r="V42" s="1574" t="s">
        <v>11</v>
      </c>
      <c r="W42" s="1575">
        <f t="shared" si="14"/>
        <v>100</v>
      </c>
      <c r="X42" s="1568"/>
      <c r="Y42" s="3407"/>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7"/>
      <c r="Q43" s="1573" t="str">
        <f t="shared" si="11"/>
        <v>内部装修维护情况</v>
      </c>
      <c r="R43" s="1574" t="s">
        <v>11</v>
      </c>
      <c r="S43" s="1575">
        <f t="shared" si="12"/>
        <v>100</v>
      </c>
      <c r="T43" s="1574" t="s">
        <v>11</v>
      </c>
      <c r="U43" s="1575">
        <f t="shared" si="13"/>
        <v>100</v>
      </c>
      <c r="V43" s="1574" t="s">
        <v>11</v>
      </c>
      <c r="W43" s="1575">
        <f t="shared" si="14"/>
        <v>100</v>
      </c>
      <c r="X43" s="1568"/>
      <c r="Y43" s="340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7"/>
      <c r="Q44" s="1151">
        <f t="shared" si="11"/>
        <v>111</v>
      </c>
      <c r="R44" s="1569" t="s">
        <v>11</v>
      </c>
      <c r="S44" s="1570">
        <f t="shared" si="12"/>
        <v>100</v>
      </c>
      <c r="T44" s="1569" t="s">
        <v>11</v>
      </c>
      <c r="U44" s="1570">
        <f t="shared" si="13"/>
        <v>100</v>
      </c>
      <c r="V44" s="1569" t="s">
        <v>11</v>
      </c>
      <c r="W44" s="1570">
        <f t="shared" si="14"/>
        <v>100</v>
      </c>
      <c r="X44" s="1571"/>
      <c r="Y44" s="340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7"/>
      <c r="Q45" s="1573">
        <f t="shared" si="11"/>
        <v>111</v>
      </c>
      <c r="R45" s="1574" t="s">
        <v>11</v>
      </c>
      <c r="S45" s="1575">
        <f t="shared" si="12"/>
        <v>100</v>
      </c>
      <c r="T45" s="1574" t="s">
        <v>11</v>
      </c>
      <c r="U45" s="1575">
        <f t="shared" si="13"/>
        <v>100</v>
      </c>
      <c r="V45" s="1574" t="s">
        <v>11</v>
      </c>
      <c r="W45" s="1575">
        <f t="shared" si="14"/>
        <v>100</v>
      </c>
      <c r="X45" s="1568"/>
      <c r="Y45" s="3407"/>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7"/>
      <c r="Q46" s="1573">
        <f t="shared" si="11"/>
        <v>111</v>
      </c>
      <c r="R46" s="1574" t="s">
        <v>10</v>
      </c>
      <c r="S46" s="1575">
        <f t="shared" si="12"/>
        <v>100</v>
      </c>
      <c r="T46" s="1574" t="s">
        <v>10</v>
      </c>
      <c r="U46" s="1575">
        <f t="shared" si="13"/>
        <v>100</v>
      </c>
      <c r="V46" s="1574" t="s">
        <v>10</v>
      </c>
      <c r="W46" s="1575">
        <f t="shared" si="14"/>
        <v>100</v>
      </c>
      <c r="X46" s="1568"/>
      <c r="Y46" s="3467"/>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70" t="str">
        <f>A47</f>
        <v>成交单价（元/平方米）</v>
      </c>
      <c r="Q47" s="3370"/>
      <c r="R47" s="3466">
        <f>E47</f>
        <v>0</v>
      </c>
      <c r="S47" s="3466"/>
      <c r="T47" s="3466">
        <f>G47</f>
        <v>0</v>
      </c>
      <c r="U47" s="3466"/>
      <c r="V47" s="3466">
        <f>I47</f>
        <v>0</v>
      </c>
      <c r="W47" s="3466"/>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70" t="str">
        <f>A48</f>
        <v>比较价格（元/平方米）</v>
      </c>
      <c r="Q48" s="3370"/>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60"/>
      <c r="Y48" s="1560"/>
      <c r="Z48" s="1560"/>
      <c r="AA48" s="1560"/>
      <c r="AB48" s="1560"/>
      <c r="AC48" s="1560"/>
    </row>
    <row r="49" spans="1:29" ht="15.75" thickBot="1">
      <c r="A49" s="621" t="s">
        <v>2935</v>
      </c>
      <c r="B49" s="622"/>
      <c r="C49" s="2616" t="e">
        <f>R49</f>
        <v>#DIV/0!</v>
      </c>
      <c r="D49" s="2616"/>
      <c r="E49" s="2616"/>
      <c r="F49" s="2616"/>
      <c r="G49" s="2616"/>
      <c r="H49" s="2616"/>
      <c r="I49" s="2616"/>
      <c r="J49" s="2616"/>
      <c r="K49" s="1609"/>
      <c r="L49" s="2145"/>
      <c r="M49" s="2146"/>
      <c r="N49" s="2146"/>
      <c r="O49" s="2146"/>
      <c r="P49" s="3367" t="str">
        <f>A49</f>
        <v>估价对象XX用房的比较价格（楼面单价，元/平方米）</v>
      </c>
      <c r="Q49" s="3368"/>
      <c r="R49" s="3465" t="e">
        <f>IF(F1="售价",ROUND(AVERAGE(R48:V48),0),ROUND(AVERAGE(R48:V48),1))</f>
        <v>#DIV/0!</v>
      </c>
      <c r="S49" s="3465"/>
      <c r="T49" s="3465"/>
      <c r="U49" s="3465"/>
      <c r="V49" s="3465"/>
      <c r="W49" s="3465"/>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76" t="s">
        <v>522</v>
      </c>
      <c r="D4" s="3377"/>
      <c r="E4" s="3410" t="s">
        <v>523</v>
      </c>
      <c r="F4" s="3411"/>
      <c r="G4" s="3376" t="s">
        <v>524</v>
      </c>
      <c r="H4" s="3377"/>
      <c r="I4" s="3376" t="s">
        <v>525</v>
      </c>
      <c r="J4" s="3377"/>
      <c r="K4" s="514" t="s">
        <v>526</v>
      </c>
      <c r="L4" s="2134"/>
      <c r="M4" s="2135"/>
      <c r="N4" s="2135"/>
      <c r="O4" s="2135"/>
      <c r="P4" s="3378" t="s">
        <v>527</v>
      </c>
      <c r="Q4" s="3379"/>
      <c r="R4" s="3384" t="s">
        <v>523</v>
      </c>
      <c r="S4" s="3385"/>
      <c r="T4" s="3384" t="s">
        <v>524</v>
      </c>
      <c r="U4" s="3385"/>
      <c r="V4" s="3371" t="s">
        <v>525</v>
      </c>
      <c r="W4" s="3371"/>
      <c r="X4" s="1568"/>
      <c r="Y4" s="3384" t="s">
        <v>527</v>
      </c>
      <c r="Z4" s="3385"/>
      <c r="AA4" s="3373" t="s">
        <v>523</v>
      </c>
      <c r="AB4" s="3371" t="s">
        <v>524</v>
      </c>
      <c r="AC4" s="3373" t="s">
        <v>525</v>
      </c>
    </row>
    <row r="5" spans="1:29" ht="15">
      <c r="A5" s="515"/>
      <c r="B5" s="516"/>
      <c r="C5" s="3392" t="s">
        <v>2929</v>
      </c>
      <c r="D5" s="3393"/>
      <c r="E5" s="3412" t="s">
        <v>2930</v>
      </c>
      <c r="F5" s="3413"/>
      <c r="G5" s="3392" t="s">
        <v>2931</v>
      </c>
      <c r="H5" s="3393"/>
      <c r="I5" s="3392" t="s">
        <v>2932</v>
      </c>
      <c r="J5" s="3393"/>
      <c r="K5" s="514"/>
      <c r="L5" s="2134"/>
      <c r="M5" s="2135"/>
      <c r="N5" s="2135"/>
      <c r="O5" s="2135"/>
      <c r="P5" s="3380"/>
      <c r="Q5" s="3381"/>
      <c r="R5" s="3386"/>
      <c r="S5" s="3387"/>
      <c r="T5" s="3386"/>
      <c r="U5" s="3387"/>
      <c r="V5" s="3371"/>
      <c r="W5" s="3371"/>
      <c r="X5" s="1568"/>
      <c r="Y5" s="3386"/>
      <c r="Z5" s="3387"/>
      <c r="AA5" s="3374"/>
      <c r="AB5" s="3371"/>
      <c r="AC5" s="3374"/>
    </row>
    <row r="6" spans="1:29" ht="15.75" thickBot="1">
      <c r="A6" s="517"/>
      <c r="B6" s="518"/>
      <c r="C6" s="3390" t="s">
        <v>2933</v>
      </c>
      <c r="D6" s="3391"/>
      <c r="E6" s="3408" t="s">
        <v>2933</v>
      </c>
      <c r="F6" s="3409"/>
      <c r="G6" s="3390" t="s">
        <v>2933</v>
      </c>
      <c r="H6" s="3391"/>
      <c r="I6" s="3390" t="s">
        <v>2933</v>
      </c>
      <c r="J6" s="3391"/>
      <c r="K6" s="514" t="s">
        <v>528</v>
      </c>
      <c r="L6" s="2134"/>
      <c r="M6" s="2135"/>
      <c r="N6" s="2135"/>
      <c r="O6" s="2135"/>
      <c r="P6" s="3382"/>
      <c r="Q6" s="3383"/>
      <c r="R6" s="3386"/>
      <c r="S6" s="3387"/>
      <c r="T6" s="3388"/>
      <c r="U6" s="3389"/>
      <c r="V6" s="3371"/>
      <c r="W6" s="3371"/>
      <c r="X6" s="1568"/>
      <c r="Y6" s="3388"/>
      <c r="Z6" s="3389"/>
      <c r="AA6" s="3375"/>
      <c r="AB6" s="3371"/>
      <c r="AC6" s="3375"/>
    </row>
    <row r="7" spans="1:29" s="1220" customFormat="1" ht="15.75" thickBot="1">
      <c r="A7" s="2891"/>
      <c r="B7" s="2898" t="s">
        <v>529</v>
      </c>
      <c r="C7" s="519">
        <f>'数据-取费表'!B2</f>
        <v>43544</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01" t="s">
        <v>530</v>
      </c>
      <c r="Q7" s="3403"/>
      <c r="R7" s="1569" t="s">
        <v>8</v>
      </c>
      <c r="S7" s="1570">
        <f t="shared" ref="S7:S15" si="0">F7</f>
        <v>0</v>
      </c>
      <c r="T7" s="1569" t="s">
        <v>8</v>
      </c>
      <c r="U7" s="1570">
        <f t="shared" ref="U7:U15" si="1">H7</f>
        <v>0</v>
      </c>
      <c r="V7" s="1569" t="s">
        <v>8</v>
      </c>
      <c r="W7" s="1570">
        <f t="shared" ref="W7:W15" si="2">J7</f>
        <v>0</v>
      </c>
      <c r="X7" s="1571"/>
      <c r="Y7" s="3401" t="s">
        <v>530</v>
      </c>
      <c r="Z7" s="3402"/>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01" t="s">
        <v>533</v>
      </c>
      <c r="Q8" s="3402"/>
      <c r="R8" s="1569" t="s">
        <v>8</v>
      </c>
      <c r="S8" s="1570">
        <f t="shared" si="0"/>
        <v>0</v>
      </c>
      <c r="T8" s="1569" t="s">
        <v>8</v>
      </c>
      <c r="U8" s="1570">
        <f t="shared" si="1"/>
        <v>0</v>
      </c>
      <c r="V8" s="1569" t="s">
        <v>8</v>
      </c>
      <c r="W8" s="1570">
        <f t="shared" si="2"/>
        <v>0</v>
      </c>
      <c r="X8" s="1571"/>
      <c r="Y8" s="3401" t="s">
        <v>533</v>
      </c>
      <c r="Z8" s="3402"/>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70" t="s">
        <v>535</v>
      </c>
      <c r="Q9" s="1151" t="str">
        <f t="shared" ref="Q9:Q15" si="6">B9</f>
        <v>用途</v>
      </c>
      <c r="R9" s="1569" t="s">
        <v>8</v>
      </c>
      <c r="S9" s="1570">
        <f t="shared" si="0"/>
        <v>100</v>
      </c>
      <c r="T9" s="1569" t="s">
        <v>8</v>
      </c>
      <c r="U9" s="1570">
        <f t="shared" si="1"/>
        <v>100</v>
      </c>
      <c r="V9" s="1569" t="s">
        <v>8</v>
      </c>
      <c r="W9" s="1570">
        <f t="shared" si="2"/>
        <v>100</v>
      </c>
      <c r="X9" s="1571"/>
      <c r="Y9" s="3294"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70"/>
      <c r="Q10" s="1151" t="str">
        <f t="shared" si="6"/>
        <v>土地使用年限（年）</v>
      </c>
      <c r="R10" s="1569" t="s">
        <v>8</v>
      </c>
      <c r="S10" s="1570">
        <f t="shared" si="0"/>
        <v>100</v>
      </c>
      <c r="T10" s="1569" t="s">
        <v>8</v>
      </c>
      <c r="U10" s="1570">
        <f t="shared" si="1"/>
        <v>100</v>
      </c>
      <c r="V10" s="1569" t="s">
        <v>8</v>
      </c>
      <c r="W10" s="1570">
        <f t="shared" si="2"/>
        <v>100</v>
      </c>
      <c r="X10" s="1571"/>
      <c r="Y10" s="3294"/>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70"/>
      <c r="Q11" s="1151" t="str">
        <f t="shared" si="6"/>
        <v>容积率</v>
      </c>
      <c r="R11" s="1569" t="s">
        <v>8</v>
      </c>
      <c r="S11" s="1570" t="e">
        <f t="shared" si="0"/>
        <v>#N/A</v>
      </c>
      <c r="T11" s="1569" t="s">
        <v>8</v>
      </c>
      <c r="U11" s="1570" t="e">
        <f t="shared" si="1"/>
        <v>#N/A</v>
      </c>
      <c r="V11" s="1569" t="s">
        <v>8</v>
      </c>
      <c r="W11" s="1570" t="e">
        <f t="shared" si="2"/>
        <v>#N/A</v>
      </c>
      <c r="X11" s="1571"/>
      <c r="Y11" s="3294"/>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70"/>
      <c r="Q12" s="1151">
        <f t="shared" si="6"/>
        <v>111</v>
      </c>
      <c r="R12" s="1569" t="s">
        <v>8</v>
      </c>
      <c r="S12" s="1570">
        <f t="shared" si="0"/>
        <v>100</v>
      </c>
      <c r="T12" s="1569" t="s">
        <v>8</v>
      </c>
      <c r="U12" s="1570">
        <f t="shared" si="1"/>
        <v>100</v>
      </c>
      <c r="V12" s="1569" t="s">
        <v>8</v>
      </c>
      <c r="W12" s="1570">
        <f t="shared" si="2"/>
        <v>100</v>
      </c>
      <c r="X12" s="1571"/>
      <c r="Y12" s="3294"/>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70"/>
      <c r="Q13" s="1151">
        <f t="shared" si="6"/>
        <v>111</v>
      </c>
      <c r="R13" s="1569" t="s">
        <v>8</v>
      </c>
      <c r="S13" s="1570">
        <f t="shared" si="0"/>
        <v>100</v>
      </c>
      <c r="T13" s="1569" t="s">
        <v>8</v>
      </c>
      <c r="U13" s="1570">
        <f t="shared" si="1"/>
        <v>100</v>
      </c>
      <c r="V13" s="1569" t="s">
        <v>8</v>
      </c>
      <c r="W13" s="1570">
        <f t="shared" si="2"/>
        <v>100</v>
      </c>
      <c r="X13" s="1571"/>
      <c r="Y13" s="3294"/>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70"/>
      <c r="Q14" s="1151">
        <f t="shared" si="6"/>
        <v>111</v>
      </c>
      <c r="R14" s="1569" t="s">
        <v>8</v>
      </c>
      <c r="S14" s="1570">
        <f t="shared" si="0"/>
        <v>100</v>
      </c>
      <c r="T14" s="1569" t="s">
        <v>8</v>
      </c>
      <c r="U14" s="1570">
        <f t="shared" si="1"/>
        <v>100</v>
      </c>
      <c r="V14" s="1569" t="s">
        <v>8</v>
      </c>
      <c r="W14" s="1570">
        <f t="shared" si="2"/>
        <v>100</v>
      </c>
      <c r="X14" s="1571"/>
      <c r="Y14" s="3294"/>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04" t="s">
        <v>540</v>
      </c>
      <c r="Q15" s="1573" t="str">
        <f t="shared" si="6"/>
        <v>商业繁华度</v>
      </c>
      <c r="R15" s="1574" t="s">
        <v>8</v>
      </c>
      <c r="S15" s="1575">
        <f t="shared" si="0"/>
        <v>100</v>
      </c>
      <c r="T15" s="1574" t="s">
        <v>8</v>
      </c>
      <c r="U15" s="1575">
        <f t="shared" si="1"/>
        <v>100</v>
      </c>
      <c r="V15" s="1574" t="s">
        <v>8</v>
      </c>
      <c r="W15" s="1575">
        <f t="shared" si="2"/>
        <v>100</v>
      </c>
      <c r="X15" s="1568"/>
      <c r="Y15" s="340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05"/>
      <c r="Q16" s="1573"/>
      <c r="R16" s="1574"/>
      <c r="S16" s="1575"/>
      <c r="T16" s="1574"/>
      <c r="U16" s="1575"/>
      <c r="V16" s="1574"/>
      <c r="W16" s="1575"/>
      <c r="X16" s="1568"/>
      <c r="Y16" s="340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05"/>
      <c r="Q17" s="1573" t="str">
        <f>B17</f>
        <v>交通便捷度</v>
      </c>
      <c r="R17" s="1574" t="s">
        <v>8</v>
      </c>
      <c r="S17" s="1575">
        <f>F17</f>
        <v>100</v>
      </c>
      <c r="T17" s="1574" t="s">
        <v>8</v>
      </c>
      <c r="U17" s="1575">
        <f>H17</f>
        <v>100</v>
      </c>
      <c r="V17" s="1574" t="s">
        <v>8</v>
      </c>
      <c r="W17" s="1575">
        <f>J17</f>
        <v>100</v>
      </c>
      <c r="X17" s="1568"/>
      <c r="Y17" s="340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05"/>
      <c r="Q18" s="1573"/>
      <c r="R18" s="1574"/>
      <c r="S18" s="1575"/>
      <c r="T18" s="1574"/>
      <c r="U18" s="1575"/>
      <c r="V18" s="1574"/>
      <c r="W18" s="1575"/>
      <c r="X18" s="1568"/>
      <c r="Y18" s="3405"/>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05"/>
      <c r="Q19" s="1573" t="str">
        <f>B19</f>
        <v>公共配套设施</v>
      </c>
      <c r="R19" s="1574" t="s">
        <v>8</v>
      </c>
      <c r="S19" s="1575">
        <f>F19</f>
        <v>100</v>
      </c>
      <c r="T19" s="1574" t="s">
        <v>8</v>
      </c>
      <c r="U19" s="1575">
        <f>H19</f>
        <v>100</v>
      </c>
      <c r="V19" s="1574" t="s">
        <v>8</v>
      </c>
      <c r="W19" s="1575">
        <f>J19</f>
        <v>100</v>
      </c>
      <c r="X19" s="1568"/>
      <c r="Y19" s="340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405"/>
      <c r="Q20" s="1573"/>
      <c r="R20" s="1574"/>
      <c r="S20" s="1575"/>
      <c r="T20" s="1574"/>
      <c r="U20" s="1575"/>
      <c r="V20" s="1574"/>
      <c r="W20" s="1575"/>
      <c r="X20" s="1568"/>
      <c r="Y20" s="3405"/>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05"/>
      <c r="Q21" s="2559" t="str">
        <f>B21</f>
        <v>基础设施水平</v>
      </c>
      <c r="R21" s="1574" t="s">
        <v>8</v>
      </c>
      <c r="S21" s="1575">
        <f>F21</f>
        <v>100</v>
      </c>
      <c r="T21" s="1574" t="s">
        <v>8</v>
      </c>
      <c r="U21" s="1575">
        <f>H21</f>
        <v>100</v>
      </c>
      <c r="V21" s="1574" t="s">
        <v>8</v>
      </c>
      <c r="W21" s="1575">
        <f>J21</f>
        <v>100</v>
      </c>
      <c r="X21" s="2561"/>
      <c r="Y21" s="3405"/>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405"/>
      <c r="Q22" s="2559"/>
      <c r="R22" s="1574"/>
      <c r="S22" s="1575"/>
      <c r="T22" s="1574"/>
      <c r="U22" s="1575"/>
      <c r="V22" s="1574"/>
      <c r="W22" s="1575"/>
      <c r="X22" s="2561"/>
      <c r="Y22" s="3405"/>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05"/>
      <c r="Q23" s="1573" t="str">
        <f>B23</f>
        <v>自然及人文环境</v>
      </c>
      <c r="R23" s="1574" t="s">
        <v>8</v>
      </c>
      <c r="S23" s="1575">
        <f>F23</f>
        <v>100</v>
      </c>
      <c r="T23" s="1574" t="s">
        <v>8</v>
      </c>
      <c r="U23" s="1575">
        <f>H23</f>
        <v>100</v>
      </c>
      <c r="V23" s="1574" t="s">
        <v>8</v>
      </c>
      <c r="W23" s="1575">
        <f>J23</f>
        <v>100</v>
      </c>
      <c r="X23" s="1568"/>
      <c r="Y23" s="340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405"/>
      <c r="Q24" s="1573"/>
      <c r="R24" s="1574"/>
      <c r="S24" s="1575"/>
      <c r="T24" s="1574"/>
      <c r="U24" s="1575"/>
      <c r="V24" s="1574"/>
      <c r="W24" s="1575"/>
      <c r="X24" s="1568"/>
      <c r="Y24" s="340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05"/>
      <c r="Q25" s="1573" t="str">
        <f t="shared" ref="Q25:Q46" si="11">B25</f>
        <v>临街状况</v>
      </c>
      <c r="R25" s="1574" t="s">
        <v>8</v>
      </c>
      <c r="S25" s="1575">
        <f>F25</f>
        <v>100</v>
      </c>
      <c r="T25" s="1574" t="s">
        <v>8</v>
      </c>
      <c r="U25" s="1575">
        <f>H25</f>
        <v>100</v>
      </c>
      <c r="V25" s="1574" t="s">
        <v>8</v>
      </c>
      <c r="W25" s="1575">
        <f>J25</f>
        <v>100</v>
      </c>
      <c r="X25" s="1568"/>
      <c r="Y25" s="340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05"/>
      <c r="Q26" s="1573" t="str">
        <f t="shared" si="11"/>
        <v>平面位置/可视性</v>
      </c>
      <c r="R26" s="1574" t="s">
        <v>8</v>
      </c>
      <c r="S26" s="1575">
        <f>F26</f>
        <v>100</v>
      </c>
      <c r="T26" s="1574" t="s">
        <v>8</v>
      </c>
      <c r="U26" s="1575">
        <f>H26</f>
        <v>100</v>
      </c>
      <c r="V26" s="1574" t="s">
        <v>8</v>
      </c>
      <c r="W26" s="1575">
        <f>J26</f>
        <v>100</v>
      </c>
      <c r="X26" s="1568"/>
      <c r="Y26" s="340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05"/>
      <c r="Q27" s="1151" t="str">
        <f t="shared" si="11"/>
        <v>人流量</v>
      </c>
      <c r="R27" s="1569" t="s">
        <v>8</v>
      </c>
      <c r="S27" s="1570">
        <f>F27</f>
        <v>100</v>
      </c>
      <c r="T27" s="1569" t="s">
        <v>8</v>
      </c>
      <c r="U27" s="1570">
        <f>H27</f>
        <v>100</v>
      </c>
      <c r="V27" s="1569" t="s">
        <v>8</v>
      </c>
      <c r="W27" s="1570">
        <f>J27</f>
        <v>100</v>
      </c>
      <c r="X27" s="1571"/>
      <c r="Y27" s="340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0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05"/>
      <c r="Q29" s="1573">
        <f t="shared" si="11"/>
        <v>111</v>
      </c>
      <c r="R29" s="1574" t="s">
        <v>8</v>
      </c>
      <c r="S29" s="1575">
        <f t="shared" si="12"/>
        <v>100</v>
      </c>
      <c r="T29" s="1574" t="s">
        <v>8</v>
      </c>
      <c r="U29" s="1575">
        <f t="shared" si="13"/>
        <v>100</v>
      </c>
      <c r="V29" s="1574" t="s">
        <v>8</v>
      </c>
      <c r="W29" s="1575">
        <f t="shared" si="14"/>
        <v>100</v>
      </c>
      <c r="X29" s="1568"/>
      <c r="Y29" s="340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05"/>
      <c r="Q30" s="1573">
        <f t="shared" si="11"/>
        <v>111</v>
      </c>
      <c r="R30" s="1574" t="s">
        <v>8</v>
      </c>
      <c r="S30" s="1575">
        <f t="shared" si="12"/>
        <v>100</v>
      </c>
      <c r="T30" s="1574" t="s">
        <v>8</v>
      </c>
      <c r="U30" s="1575">
        <f t="shared" si="13"/>
        <v>100</v>
      </c>
      <c r="V30" s="1574" t="s">
        <v>8</v>
      </c>
      <c r="W30" s="1575">
        <f t="shared" si="14"/>
        <v>100</v>
      </c>
      <c r="X30" s="1568"/>
      <c r="Y30" s="340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05"/>
      <c r="Q31" s="1573">
        <f t="shared" si="11"/>
        <v>111</v>
      </c>
      <c r="R31" s="1574" t="s">
        <v>8</v>
      </c>
      <c r="S31" s="1575">
        <f t="shared" si="12"/>
        <v>100</v>
      </c>
      <c r="T31" s="1574" t="s">
        <v>8</v>
      </c>
      <c r="U31" s="1575">
        <f t="shared" si="13"/>
        <v>100</v>
      </c>
      <c r="V31" s="1574" t="s">
        <v>8</v>
      </c>
      <c r="W31" s="1575">
        <f t="shared" si="14"/>
        <v>100</v>
      </c>
      <c r="X31" s="1568"/>
      <c r="Y31" s="3405"/>
      <c r="Z31" s="1576">
        <f t="shared" si="15"/>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06" t="s">
        <v>550</v>
      </c>
      <c r="Q32" s="1573" t="str">
        <f t="shared" si="11"/>
        <v>商业类型</v>
      </c>
      <c r="R32" s="1574" t="s">
        <v>8</v>
      </c>
      <c r="S32" s="1575">
        <f t="shared" si="12"/>
        <v>100</v>
      </c>
      <c r="T32" s="1574" t="s">
        <v>8</v>
      </c>
      <c r="U32" s="1575">
        <f t="shared" si="13"/>
        <v>100</v>
      </c>
      <c r="V32" s="1574" t="s">
        <v>8</v>
      </c>
      <c r="W32" s="1575">
        <f t="shared" si="14"/>
        <v>100</v>
      </c>
      <c r="X32" s="1568"/>
      <c r="Y32" s="3407"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07"/>
      <c r="Q33" s="1606" t="str">
        <f t="shared" si="11"/>
        <v>项目建筑规模</v>
      </c>
      <c r="R33" s="1578" t="s">
        <v>8</v>
      </c>
      <c r="S33" s="1579" t="e">
        <f t="shared" si="12"/>
        <v>#N/A</v>
      </c>
      <c r="T33" s="1578" t="s">
        <v>8</v>
      </c>
      <c r="U33" s="1579" t="e">
        <f t="shared" si="13"/>
        <v>#N/A</v>
      </c>
      <c r="V33" s="1578" t="s">
        <v>8</v>
      </c>
      <c r="W33" s="1579" t="e">
        <f t="shared" si="14"/>
        <v>#N/A</v>
      </c>
      <c r="X33" s="1580"/>
      <c r="Y33" s="340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07"/>
      <c r="Q34" s="1573" t="str">
        <f t="shared" si="11"/>
        <v>建筑结构</v>
      </c>
      <c r="R34" s="1574" t="s">
        <v>8</v>
      </c>
      <c r="S34" s="1575">
        <f t="shared" si="12"/>
        <v>100</v>
      </c>
      <c r="T34" s="1574" t="s">
        <v>8</v>
      </c>
      <c r="U34" s="1575">
        <f t="shared" si="13"/>
        <v>100</v>
      </c>
      <c r="V34" s="1574" t="s">
        <v>8</v>
      </c>
      <c r="W34" s="1575">
        <f t="shared" si="14"/>
        <v>100</v>
      </c>
      <c r="X34" s="1568"/>
      <c r="Y34" s="3407"/>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07"/>
      <c r="Q35" s="1573" t="str">
        <f t="shared" si="11"/>
        <v>公共部分装修</v>
      </c>
      <c r="R35" s="1574" t="s">
        <v>8</v>
      </c>
      <c r="S35" s="1575">
        <f t="shared" si="12"/>
        <v>100</v>
      </c>
      <c r="T35" s="1574" t="s">
        <v>8</v>
      </c>
      <c r="U35" s="1575">
        <f t="shared" si="13"/>
        <v>100</v>
      </c>
      <c r="V35" s="1574" t="s">
        <v>8</v>
      </c>
      <c r="W35" s="1575">
        <f t="shared" si="14"/>
        <v>100</v>
      </c>
      <c r="X35" s="1568"/>
      <c r="Y35" s="3407"/>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07"/>
      <c r="Q36" s="1573" t="str">
        <f t="shared" si="11"/>
        <v>成新度</v>
      </c>
      <c r="R36" s="1574" t="s">
        <v>8</v>
      </c>
      <c r="S36" s="1575" t="e">
        <f t="shared" si="12"/>
        <v>#N/A</v>
      </c>
      <c r="T36" s="1574" t="s">
        <v>8</v>
      </c>
      <c r="U36" s="1575" t="e">
        <f t="shared" si="13"/>
        <v>#N/A</v>
      </c>
      <c r="V36" s="1574" t="s">
        <v>8</v>
      </c>
      <c r="W36" s="1575" t="e">
        <f t="shared" si="14"/>
        <v>#N/A</v>
      </c>
      <c r="X36" s="1568"/>
      <c r="Y36" s="3407"/>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07"/>
      <c r="Q37" s="1151" t="str">
        <f t="shared" si="11"/>
        <v>市政基础设施</v>
      </c>
      <c r="R37" s="1569" t="s">
        <v>8</v>
      </c>
      <c r="S37" s="1570">
        <f t="shared" si="12"/>
        <v>100</v>
      </c>
      <c r="T37" s="1569" t="s">
        <v>8</v>
      </c>
      <c r="U37" s="1570">
        <f t="shared" si="13"/>
        <v>100</v>
      </c>
      <c r="V37" s="1569" t="s">
        <v>8</v>
      </c>
      <c r="W37" s="1570">
        <f t="shared" si="14"/>
        <v>100</v>
      </c>
      <c r="X37" s="1571"/>
      <c r="Y37" s="3407"/>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07" t="s">
        <v>766</v>
      </c>
      <c r="Q38" s="1573" t="str">
        <f t="shared" si="11"/>
        <v>业态</v>
      </c>
      <c r="R38" s="1574" t="s">
        <v>8</v>
      </c>
      <c r="S38" s="1575">
        <f t="shared" si="12"/>
        <v>100</v>
      </c>
      <c r="T38" s="1574" t="s">
        <v>8</v>
      </c>
      <c r="U38" s="1575">
        <f t="shared" si="13"/>
        <v>100</v>
      </c>
      <c r="V38" s="1574" t="s">
        <v>8</v>
      </c>
      <c r="W38" s="1575">
        <f t="shared" si="14"/>
        <v>100</v>
      </c>
      <c r="X38" s="1568"/>
      <c r="Y38" s="3407"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7"/>
      <c r="Q39" s="1573" t="str">
        <f t="shared" si="11"/>
        <v>层高</v>
      </c>
      <c r="R39" s="1574" t="s">
        <v>8</v>
      </c>
      <c r="S39" s="1575">
        <f t="shared" si="12"/>
        <v>100</v>
      </c>
      <c r="T39" s="1574" t="s">
        <v>8</v>
      </c>
      <c r="U39" s="1575">
        <f t="shared" si="13"/>
        <v>100</v>
      </c>
      <c r="V39" s="1574" t="s">
        <v>8</v>
      </c>
      <c r="W39" s="1575">
        <f t="shared" si="14"/>
        <v>100</v>
      </c>
      <c r="X39" s="1568"/>
      <c r="Y39" s="3407"/>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07"/>
      <c r="Q40" s="1573" t="str">
        <f t="shared" si="11"/>
        <v>单套建筑面积</v>
      </c>
      <c r="R40" s="1574" t="s">
        <v>8</v>
      </c>
      <c r="S40" s="1575">
        <f t="shared" si="12"/>
        <v>100</v>
      </c>
      <c r="T40" s="1574" t="s">
        <v>8</v>
      </c>
      <c r="U40" s="1575">
        <f t="shared" si="13"/>
        <v>100</v>
      </c>
      <c r="V40" s="1574" t="s">
        <v>8</v>
      </c>
      <c r="W40" s="1575">
        <f t="shared" si="14"/>
        <v>100</v>
      </c>
      <c r="X40" s="1568"/>
      <c r="Y40" s="3407"/>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07"/>
      <c r="Q41" s="1606" t="str">
        <f t="shared" si="11"/>
        <v>进深比</v>
      </c>
      <c r="R41" s="1578" t="s">
        <v>8</v>
      </c>
      <c r="S41" s="1579">
        <f t="shared" si="12"/>
        <v>100</v>
      </c>
      <c r="T41" s="1578" t="s">
        <v>8</v>
      </c>
      <c r="U41" s="1579">
        <f t="shared" si="13"/>
        <v>100</v>
      </c>
      <c r="V41" s="1578" t="s">
        <v>8</v>
      </c>
      <c r="W41" s="1579">
        <f t="shared" si="14"/>
        <v>100</v>
      </c>
      <c r="X41" s="1580"/>
      <c r="Y41" s="3407"/>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07"/>
      <c r="Q42" s="1573" t="str">
        <f t="shared" si="11"/>
        <v>内部装修</v>
      </c>
      <c r="R42" s="1574" t="s">
        <v>8</v>
      </c>
      <c r="S42" s="1575">
        <f t="shared" si="12"/>
        <v>100</v>
      </c>
      <c r="T42" s="1574" t="s">
        <v>8</v>
      </c>
      <c r="U42" s="1575">
        <f t="shared" si="13"/>
        <v>100</v>
      </c>
      <c r="V42" s="1574" t="s">
        <v>8</v>
      </c>
      <c r="W42" s="1575">
        <f t="shared" si="14"/>
        <v>100</v>
      </c>
      <c r="X42" s="1568"/>
      <c r="Y42" s="3407"/>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07"/>
      <c r="Q43" s="1573" t="str">
        <f t="shared" si="11"/>
        <v>内部装修维护情况</v>
      </c>
      <c r="R43" s="1574" t="s">
        <v>8</v>
      </c>
      <c r="S43" s="1575">
        <f t="shared" si="12"/>
        <v>100</v>
      </c>
      <c r="T43" s="1574" t="s">
        <v>8</v>
      </c>
      <c r="U43" s="1575">
        <f t="shared" si="13"/>
        <v>100</v>
      </c>
      <c r="V43" s="1574" t="s">
        <v>8</v>
      </c>
      <c r="W43" s="1575">
        <f t="shared" si="14"/>
        <v>100</v>
      </c>
      <c r="X43" s="1568"/>
      <c r="Y43" s="340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07"/>
      <c r="Q44" s="1151">
        <f t="shared" si="11"/>
        <v>111</v>
      </c>
      <c r="R44" s="1569" t="s">
        <v>8</v>
      </c>
      <c r="S44" s="1570">
        <f t="shared" si="12"/>
        <v>100</v>
      </c>
      <c r="T44" s="1569" t="s">
        <v>8</v>
      </c>
      <c r="U44" s="1570">
        <f t="shared" si="13"/>
        <v>100</v>
      </c>
      <c r="V44" s="1569" t="s">
        <v>8</v>
      </c>
      <c r="W44" s="1570">
        <f t="shared" si="14"/>
        <v>100</v>
      </c>
      <c r="X44" s="1571"/>
      <c r="Y44" s="340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07"/>
      <c r="Q45" s="1573">
        <f t="shared" si="11"/>
        <v>111</v>
      </c>
      <c r="R45" s="1574" t="s">
        <v>8</v>
      </c>
      <c r="S45" s="1575">
        <f t="shared" si="12"/>
        <v>100</v>
      </c>
      <c r="T45" s="1574" t="s">
        <v>8</v>
      </c>
      <c r="U45" s="1575">
        <f t="shared" si="13"/>
        <v>100</v>
      </c>
      <c r="V45" s="1574" t="s">
        <v>8</v>
      </c>
      <c r="W45" s="1575">
        <f t="shared" si="14"/>
        <v>100</v>
      </c>
      <c r="X45" s="1568"/>
      <c r="Y45" s="340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7"/>
      <c r="Q46" s="1573">
        <f t="shared" si="11"/>
        <v>111</v>
      </c>
      <c r="R46" s="1574" t="s">
        <v>8</v>
      </c>
      <c r="S46" s="1575">
        <f t="shared" si="12"/>
        <v>100</v>
      </c>
      <c r="T46" s="1574" t="s">
        <v>8</v>
      </c>
      <c r="U46" s="1575">
        <f t="shared" si="13"/>
        <v>100</v>
      </c>
      <c r="V46" s="1574" t="s">
        <v>8</v>
      </c>
      <c r="W46" s="1575">
        <f t="shared" si="14"/>
        <v>100</v>
      </c>
      <c r="X46" s="1568"/>
      <c r="Y46" s="3467"/>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70" t="str">
        <f>A47</f>
        <v>成交单价（元/平方米）</v>
      </c>
      <c r="Q47" s="3370"/>
      <c r="R47" s="3466">
        <f>E47</f>
        <v>0</v>
      </c>
      <c r="S47" s="3466"/>
      <c r="T47" s="3466">
        <f>G47</f>
        <v>0</v>
      </c>
      <c r="U47" s="3466"/>
      <c r="V47" s="3466">
        <f>I47</f>
        <v>0</v>
      </c>
      <c r="W47" s="3466"/>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70" t="str">
        <f>A48</f>
        <v>比较价格（元/平方米）</v>
      </c>
      <c r="Q48" s="3370"/>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60"/>
      <c r="Y48" s="1560"/>
      <c r="Z48" s="1560"/>
      <c r="AA48" s="1560"/>
      <c r="AB48" s="1560"/>
      <c r="AC48" s="1560"/>
    </row>
    <row r="49" spans="1:29" ht="15.75" thickBot="1">
      <c r="A49" s="621" t="s">
        <v>2935</v>
      </c>
      <c r="B49" s="622"/>
      <c r="C49" s="2616" t="e">
        <f>R49</f>
        <v>#DIV/0!</v>
      </c>
      <c r="D49" s="2616"/>
      <c r="E49" s="2616"/>
      <c r="F49" s="2616"/>
      <c r="G49" s="2616"/>
      <c r="H49" s="2616"/>
      <c r="I49" s="2616"/>
      <c r="J49" s="2616"/>
      <c r="K49" s="1614"/>
      <c r="L49" s="2145"/>
      <c r="M49" s="2146"/>
      <c r="N49" s="2135"/>
      <c r="O49" s="2146"/>
      <c r="P49" s="3367" t="str">
        <f>A49</f>
        <v>估价对象XX用房的比较价格（楼面单价，元/平方米）</v>
      </c>
      <c r="Q49" s="3368"/>
      <c r="R49" s="3465" t="e">
        <f>IF(F1="售价",ROUND(AVERAGE(R48:V48),0),ROUND(AVERAGE(R48:V48),1))</f>
        <v>#DIV/0!</v>
      </c>
      <c r="S49" s="3465"/>
      <c r="T49" s="3465"/>
      <c r="U49" s="3465"/>
      <c r="V49" s="3465"/>
      <c r="W49" s="3465"/>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76" t="s">
        <v>522</v>
      </c>
      <c r="D4" s="3377"/>
      <c r="E4" s="3410" t="s">
        <v>523</v>
      </c>
      <c r="F4" s="3411"/>
      <c r="G4" s="3376" t="s">
        <v>524</v>
      </c>
      <c r="H4" s="3377"/>
      <c r="I4" s="3376" t="s">
        <v>525</v>
      </c>
      <c r="J4" s="3377"/>
      <c r="K4" s="514" t="s">
        <v>526</v>
      </c>
      <c r="L4" s="2134"/>
      <c r="M4" s="2135"/>
      <c r="N4" s="2135"/>
      <c r="O4" s="2135"/>
      <c r="P4" s="3469" t="s">
        <v>527</v>
      </c>
      <c r="Q4" s="3379"/>
      <c r="R4" s="3384" t="s">
        <v>523</v>
      </c>
      <c r="S4" s="3385"/>
      <c r="T4" s="3384" t="s">
        <v>524</v>
      </c>
      <c r="U4" s="3385"/>
      <c r="V4" s="3371" t="s">
        <v>525</v>
      </c>
      <c r="W4" s="3371"/>
      <c r="X4" s="1568"/>
      <c r="Y4" s="3384" t="s">
        <v>527</v>
      </c>
      <c r="Z4" s="3385"/>
      <c r="AA4" s="3373" t="s">
        <v>523</v>
      </c>
      <c r="AB4" s="3373" t="s">
        <v>524</v>
      </c>
      <c r="AC4" s="3373" t="s">
        <v>525</v>
      </c>
    </row>
    <row r="5" spans="1:29" ht="15">
      <c r="A5" s="515"/>
      <c r="B5" s="516"/>
      <c r="C5" s="3392" t="s">
        <v>2929</v>
      </c>
      <c r="D5" s="3393"/>
      <c r="E5" s="3412" t="s">
        <v>2930</v>
      </c>
      <c r="F5" s="3413"/>
      <c r="G5" s="3392" t="s">
        <v>2931</v>
      </c>
      <c r="H5" s="3393"/>
      <c r="I5" s="3392" t="s">
        <v>2932</v>
      </c>
      <c r="J5" s="3393"/>
      <c r="K5" s="514"/>
      <c r="L5" s="2134"/>
      <c r="M5" s="2135"/>
      <c r="N5" s="2135"/>
      <c r="O5" s="2135"/>
      <c r="P5" s="3470"/>
      <c r="Q5" s="3381"/>
      <c r="R5" s="3386"/>
      <c r="S5" s="3387"/>
      <c r="T5" s="3386"/>
      <c r="U5" s="3387"/>
      <c r="V5" s="3371"/>
      <c r="W5" s="3371"/>
      <c r="X5" s="1568"/>
      <c r="Y5" s="3386"/>
      <c r="Z5" s="3387"/>
      <c r="AA5" s="3374"/>
      <c r="AB5" s="3374"/>
      <c r="AC5" s="3374"/>
    </row>
    <row r="6" spans="1:29" ht="15.75" thickBot="1">
      <c r="A6" s="517"/>
      <c r="B6" s="518"/>
      <c r="C6" s="3390" t="s">
        <v>2933</v>
      </c>
      <c r="D6" s="3391"/>
      <c r="E6" s="3408" t="s">
        <v>2933</v>
      </c>
      <c r="F6" s="3409"/>
      <c r="G6" s="3390" t="s">
        <v>2933</v>
      </c>
      <c r="H6" s="3391"/>
      <c r="I6" s="3390" t="s">
        <v>2933</v>
      </c>
      <c r="J6" s="3391"/>
      <c r="K6" s="514" t="s">
        <v>528</v>
      </c>
      <c r="L6" s="2134"/>
      <c r="M6" s="2135"/>
      <c r="N6" s="2135"/>
      <c r="O6" s="2135"/>
      <c r="P6" s="3471"/>
      <c r="Q6" s="3383"/>
      <c r="R6" s="3386"/>
      <c r="S6" s="3387"/>
      <c r="T6" s="3388"/>
      <c r="U6" s="3389"/>
      <c r="V6" s="3371"/>
      <c r="W6" s="3371"/>
      <c r="X6" s="1568"/>
      <c r="Y6" s="3388"/>
      <c r="Z6" s="3389"/>
      <c r="AA6" s="3375"/>
      <c r="AB6" s="3375"/>
      <c r="AC6" s="3375"/>
    </row>
    <row r="7" spans="1:29" s="1220" customFormat="1" ht="15.75" thickBot="1">
      <c r="A7" s="2891"/>
      <c r="B7" s="2898" t="s">
        <v>529</v>
      </c>
      <c r="C7" s="519">
        <f>'数据-取费表'!B2</f>
        <v>43544</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03" t="s">
        <v>530</v>
      </c>
      <c r="Q7" s="3403"/>
      <c r="R7" s="1569" t="s">
        <v>8</v>
      </c>
      <c r="S7" s="1570">
        <f t="shared" ref="S7:S15" si="0">F7</f>
        <v>0</v>
      </c>
      <c r="T7" s="1569" t="s">
        <v>8</v>
      </c>
      <c r="U7" s="1570">
        <f t="shared" ref="U7:U15" si="1">H7</f>
        <v>0</v>
      </c>
      <c r="V7" s="1569" t="s">
        <v>8</v>
      </c>
      <c r="W7" s="1570">
        <f t="shared" ref="W7:W15" si="2">J7</f>
        <v>0</v>
      </c>
      <c r="X7" s="1571"/>
      <c r="Y7" s="3401" t="s">
        <v>530</v>
      </c>
      <c r="Z7" s="3402"/>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03" t="s">
        <v>533</v>
      </c>
      <c r="Q8" s="3402"/>
      <c r="R8" s="1569" t="s">
        <v>8</v>
      </c>
      <c r="S8" s="1570">
        <f t="shared" si="0"/>
        <v>0</v>
      </c>
      <c r="T8" s="1569" t="s">
        <v>8</v>
      </c>
      <c r="U8" s="1570">
        <f t="shared" si="1"/>
        <v>0</v>
      </c>
      <c r="V8" s="1569" t="s">
        <v>8</v>
      </c>
      <c r="W8" s="1570">
        <f t="shared" si="2"/>
        <v>0</v>
      </c>
      <c r="X8" s="1571"/>
      <c r="Y8" s="3401" t="s">
        <v>533</v>
      </c>
      <c r="Z8" s="3402"/>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70" t="s">
        <v>535</v>
      </c>
      <c r="Q9" s="1151" t="str">
        <f t="shared" ref="Q9:Q15" si="6">B9</f>
        <v>用途</v>
      </c>
      <c r="R9" s="1569" t="s">
        <v>8</v>
      </c>
      <c r="S9" s="1570">
        <f t="shared" si="0"/>
        <v>100</v>
      </c>
      <c r="T9" s="1569" t="s">
        <v>8</v>
      </c>
      <c r="U9" s="1570">
        <f t="shared" si="1"/>
        <v>100</v>
      </c>
      <c r="V9" s="1569" t="s">
        <v>8</v>
      </c>
      <c r="W9" s="1570">
        <f t="shared" si="2"/>
        <v>100</v>
      </c>
      <c r="X9" s="1571"/>
      <c r="Y9" s="3294"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70"/>
      <c r="Q10" s="1151" t="str">
        <f t="shared" si="6"/>
        <v>土地使用年限（年）</v>
      </c>
      <c r="R10" s="1569" t="s">
        <v>8</v>
      </c>
      <c r="S10" s="1570">
        <f t="shared" si="0"/>
        <v>100</v>
      </c>
      <c r="T10" s="1569" t="s">
        <v>8</v>
      </c>
      <c r="U10" s="1570">
        <f t="shared" si="1"/>
        <v>100</v>
      </c>
      <c r="V10" s="1569" t="s">
        <v>8</v>
      </c>
      <c r="W10" s="1570">
        <f t="shared" si="2"/>
        <v>100</v>
      </c>
      <c r="X10" s="1571"/>
      <c r="Y10" s="3294"/>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70"/>
      <c r="Q11" s="1151" t="str">
        <f t="shared" si="6"/>
        <v>容积率</v>
      </c>
      <c r="R11" s="1569" t="s">
        <v>8</v>
      </c>
      <c r="S11" s="1570" t="e">
        <f t="shared" si="0"/>
        <v>#N/A</v>
      </c>
      <c r="T11" s="1569" t="s">
        <v>8</v>
      </c>
      <c r="U11" s="1570" t="e">
        <f t="shared" si="1"/>
        <v>#N/A</v>
      </c>
      <c r="V11" s="1569" t="s">
        <v>8</v>
      </c>
      <c r="W11" s="1570" t="e">
        <f t="shared" si="2"/>
        <v>#N/A</v>
      </c>
      <c r="X11" s="1571"/>
      <c r="Y11" s="3294"/>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70"/>
      <c r="Q12" s="1151">
        <f t="shared" si="6"/>
        <v>111</v>
      </c>
      <c r="R12" s="1569" t="s">
        <v>8</v>
      </c>
      <c r="S12" s="1570">
        <f t="shared" si="0"/>
        <v>100</v>
      </c>
      <c r="T12" s="1569" t="s">
        <v>8</v>
      </c>
      <c r="U12" s="1570">
        <f t="shared" si="1"/>
        <v>100</v>
      </c>
      <c r="V12" s="1569" t="s">
        <v>8</v>
      </c>
      <c r="W12" s="1570">
        <f t="shared" si="2"/>
        <v>100</v>
      </c>
      <c r="X12" s="1571"/>
      <c r="Y12" s="3294"/>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70"/>
      <c r="Q13" s="1151">
        <f t="shared" si="6"/>
        <v>111</v>
      </c>
      <c r="R13" s="1569" t="s">
        <v>8</v>
      </c>
      <c r="S13" s="1570">
        <f t="shared" si="0"/>
        <v>100</v>
      </c>
      <c r="T13" s="1569" t="s">
        <v>8</v>
      </c>
      <c r="U13" s="1570">
        <f t="shared" si="1"/>
        <v>100</v>
      </c>
      <c r="V13" s="1569" t="s">
        <v>8</v>
      </c>
      <c r="W13" s="1570">
        <f t="shared" si="2"/>
        <v>100</v>
      </c>
      <c r="X13" s="1571"/>
      <c r="Y13" s="3294"/>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70"/>
      <c r="Q14" s="1151">
        <f t="shared" si="6"/>
        <v>111</v>
      </c>
      <c r="R14" s="1569" t="s">
        <v>8</v>
      </c>
      <c r="S14" s="1570">
        <f t="shared" si="0"/>
        <v>100</v>
      </c>
      <c r="T14" s="1569" t="s">
        <v>8</v>
      </c>
      <c r="U14" s="1570">
        <f t="shared" si="1"/>
        <v>100</v>
      </c>
      <c r="V14" s="1569" t="s">
        <v>8</v>
      </c>
      <c r="W14" s="1570">
        <f t="shared" si="2"/>
        <v>100</v>
      </c>
      <c r="X14" s="1571"/>
      <c r="Y14" s="3294"/>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04" t="s">
        <v>540</v>
      </c>
      <c r="Q15" s="1573" t="str">
        <f t="shared" si="6"/>
        <v>办公集聚程度</v>
      </c>
      <c r="R15" s="1574" t="s">
        <v>8</v>
      </c>
      <c r="S15" s="1575">
        <f t="shared" si="0"/>
        <v>100</v>
      </c>
      <c r="T15" s="1574" t="s">
        <v>8</v>
      </c>
      <c r="U15" s="1575">
        <f t="shared" si="1"/>
        <v>100</v>
      </c>
      <c r="V15" s="1574" t="s">
        <v>8</v>
      </c>
      <c r="W15" s="1575">
        <f t="shared" si="2"/>
        <v>100</v>
      </c>
      <c r="X15" s="1568"/>
      <c r="Y15" s="340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05"/>
      <c r="Q16" s="1573"/>
      <c r="R16" s="1574"/>
      <c r="S16" s="1575"/>
      <c r="T16" s="1574"/>
      <c r="U16" s="1575"/>
      <c r="V16" s="1574"/>
      <c r="W16" s="1575"/>
      <c r="X16" s="1568"/>
      <c r="Y16" s="340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05"/>
      <c r="Q17" s="1573" t="str">
        <f>B17</f>
        <v>交通便捷度</v>
      </c>
      <c r="R17" s="1574" t="s">
        <v>8</v>
      </c>
      <c r="S17" s="1575">
        <f>F17</f>
        <v>100</v>
      </c>
      <c r="T17" s="1574" t="s">
        <v>8</v>
      </c>
      <c r="U17" s="1575">
        <f>H17</f>
        <v>100</v>
      </c>
      <c r="V17" s="1574" t="s">
        <v>8</v>
      </c>
      <c r="W17" s="1575">
        <f>J17</f>
        <v>100</v>
      </c>
      <c r="X17" s="1568"/>
      <c r="Y17" s="340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05"/>
      <c r="Q18" s="1573"/>
      <c r="R18" s="1574"/>
      <c r="S18" s="1575"/>
      <c r="T18" s="1574"/>
      <c r="U18" s="1575"/>
      <c r="V18" s="1574"/>
      <c r="W18" s="1575"/>
      <c r="X18" s="1568"/>
      <c r="Y18" s="3405"/>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05"/>
      <c r="Q19" s="1573" t="str">
        <f>B19</f>
        <v>公共配套设施</v>
      </c>
      <c r="R19" s="1574" t="s">
        <v>8</v>
      </c>
      <c r="S19" s="1575">
        <f>F19</f>
        <v>100</v>
      </c>
      <c r="T19" s="1574" t="s">
        <v>8</v>
      </c>
      <c r="U19" s="1575">
        <f>H19</f>
        <v>100</v>
      </c>
      <c r="V19" s="1574" t="s">
        <v>8</v>
      </c>
      <c r="W19" s="1575">
        <f>J19</f>
        <v>100</v>
      </c>
      <c r="X19" s="1568"/>
      <c r="Y19" s="340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05"/>
      <c r="Q20" s="1573"/>
      <c r="R20" s="1574"/>
      <c r="S20" s="1575"/>
      <c r="T20" s="1574"/>
      <c r="U20" s="1575"/>
      <c r="V20" s="1574"/>
      <c r="W20" s="1575"/>
      <c r="X20" s="1568"/>
      <c r="Y20" s="3405"/>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05"/>
      <c r="Q21" s="2559" t="str">
        <f>B21</f>
        <v>基础设施水平</v>
      </c>
      <c r="R21" s="1574" t="s">
        <v>8</v>
      </c>
      <c r="S21" s="1575">
        <f>F21</f>
        <v>100</v>
      </c>
      <c r="T21" s="1574" t="s">
        <v>8</v>
      </c>
      <c r="U21" s="1575">
        <f>H21</f>
        <v>100</v>
      </c>
      <c r="V21" s="1574" t="s">
        <v>8</v>
      </c>
      <c r="W21" s="1575">
        <f>J21</f>
        <v>100</v>
      </c>
      <c r="X21" s="2561"/>
      <c r="Y21" s="3405"/>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405"/>
      <c r="Q22" s="2559"/>
      <c r="R22" s="1574"/>
      <c r="S22" s="1575"/>
      <c r="T22" s="1574"/>
      <c r="U22" s="1575"/>
      <c r="V22" s="1574"/>
      <c r="W22" s="1575"/>
      <c r="X22" s="2561"/>
      <c r="Y22" s="3405"/>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05"/>
      <c r="Q23" s="1573" t="str">
        <f>B23</f>
        <v>环境质量</v>
      </c>
      <c r="R23" s="1574" t="s">
        <v>8</v>
      </c>
      <c r="S23" s="1575">
        <f>F23</f>
        <v>100</v>
      </c>
      <c r="T23" s="1574" t="s">
        <v>8</v>
      </c>
      <c r="U23" s="1575">
        <f>H23</f>
        <v>100</v>
      </c>
      <c r="V23" s="1574" t="s">
        <v>8</v>
      </c>
      <c r="W23" s="1575">
        <f>J23</f>
        <v>100</v>
      </c>
      <c r="X23" s="1568"/>
      <c r="Y23" s="340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05"/>
      <c r="Q24" s="1573"/>
      <c r="R24" s="1574"/>
      <c r="S24" s="1575"/>
      <c r="T24" s="1574"/>
      <c r="U24" s="1575"/>
      <c r="V24" s="1574"/>
      <c r="W24" s="1575"/>
      <c r="X24" s="1568"/>
      <c r="Y24" s="340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05"/>
      <c r="Q25" s="1573" t="str">
        <f>B25</f>
        <v>毗邻道路的类型与等级</v>
      </c>
      <c r="R25" s="1574" t="s">
        <v>8</v>
      </c>
      <c r="S25" s="1575">
        <f>F25</f>
        <v>100</v>
      </c>
      <c r="T25" s="1574" t="s">
        <v>8</v>
      </c>
      <c r="U25" s="1575">
        <f>H25</f>
        <v>100</v>
      </c>
      <c r="V25" s="1574" t="s">
        <v>8</v>
      </c>
      <c r="W25" s="1575">
        <f>J25</f>
        <v>100</v>
      </c>
      <c r="X25" s="1568"/>
      <c r="Y25" s="340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05"/>
      <c r="Q26" s="1573"/>
      <c r="R26" s="1574"/>
      <c r="S26" s="1575"/>
      <c r="T26" s="1574"/>
      <c r="U26" s="1575"/>
      <c r="V26" s="1574"/>
      <c r="W26" s="1575"/>
      <c r="X26" s="1568"/>
      <c r="Y26" s="340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05"/>
      <c r="Q27" s="1573" t="str">
        <f t="shared" ref="Q27:Q47" si="11">B27</f>
        <v>楼层</v>
      </c>
      <c r="R27" s="1574" t="s">
        <v>8</v>
      </c>
      <c r="S27" s="1575">
        <f>F27</f>
        <v>100</v>
      </c>
      <c r="T27" s="1574" t="s">
        <v>8</v>
      </c>
      <c r="U27" s="1575">
        <f>H27</f>
        <v>100</v>
      </c>
      <c r="V27" s="1574" t="s">
        <v>8</v>
      </c>
      <c r="W27" s="1575">
        <f>J27</f>
        <v>100</v>
      </c>
      <c r="X27" s="1568"/>
      <c r="Y27" s="340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05"/>
      <c r="Q28" s="1151" t="str">
        <f t="shared" si="11"/>
        <v>朝向</v>
      </c>
      <c r="R28" s="1569" t="s">
        <v>8</v>
      </c>
      <c r="S28" s="1570">
        <f>F28</f>
        <v>100</v>
      </c>
      <c r="T28" s="1569" t="s">
        <v>8</v>
      </c>
      <c r="U28" s="1570">
        <f>H28</f>
        <v>100</v>
      </c>
      <c r="V28" s="1569" t="s">
        <v>8</v>
      </c>
      <c r="W28" s="1570">
        <f>J28</f>
        <v>100</v>
      </c>
      <c r="X28" s="1571"/>
      <c r="Y28" s="340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05"/>
      <c r="Q29" s="1573">
        <f t="shared" si="11"/>
        <v>111</v>
      </c>
      <c r="R29" s="1574" t="s">
        <v>8</v>
      </c>
      <c r="S29" s="1575">
        <f t="shared" ref="S29:S47" si="12">F29</f>
        <v>100</v>
      </c>
      <c r="T29" s="1574" t="s">
        <v>8</v>
      </c>
      <c r="U29" s="1575">
        <f t="shared" ref="U29:U47" si="13">H29</f>
        <v>100</v>
      </c>
      <c r="V29" s="1574" t="s">
        <v>8</v>
      </c>
      <c r="W29" s="1575">
        <f t="shared" ref="W29:W47" si="14">J29</f>
        <v>100</v>
      </c>
      <c r="X29" s="1568"/>
      <c r="Y29" s="340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05"/>
      <c r="Q30" s="1573">
        <f t="shared" si="11"/>
        <v>111</v>
      </c>
      <c r="R30" s="1574" t="s">
        <v>8</v>
      </c>
      <c r="S30" s="1575">
        <f t="shared" si="12"/>
        <v>100</v>
      </c>
      <c r="T30" s="1574" t="s">
        <v>8</v>
      </c>
      <c r="U30" s="1575">
        <f t="shared" si="13"/>
        <v>100</v>
      </c>
      <c r="V30" s="1574" t="s">
        <v>8</v>
      </c>
      <c r="W30" s="1575">
        <f t="shared" si="14"/>
        <v>100</v>
      </c>
      <c r="X30" s="1568"/>
      <c r="Y30" s="340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05"/>
      <c r="Q31" s="1573">
        <f t="shared" si="11"/>
        <v>111</v>
      </c>
      <c r="R31" s="1574" t="s">
        <v>8</v>
      </c>
      <c r="S31" s="1575">
        <f t="shared" si="12"/>
        <v>100</v>
      </c>
      <c r="T31" s="1574" t="s">
        <v>8</v>
      </c>
      <c r="U31" s="1575">
        <f t="shared" si="13"/>
        <v>100</v>
      </c>
      <c r="V31" s="1574" t="s">
        <v>8</v>
      </c>
      <c r="W31" s="1575">
        <f t="shared" si="14"/>
        <v>100</v>
      </c>
      <c r="X31" s="1568"/>
      <c r="Y31" s="340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05"/>
      <c r="Q32" s="1573">
        <f t="shared" si="11"/>
        <v>111</v>
      </c>
      <c r="R32" s="1574" t="s">
        <v>8</v>
      </c>
      <c r="S32" s="1575">
        <f t="shared" si="12"/>
        <v>100</v>
      </c>
      <c r="T32" s="1574" t="s">
        <v>8</v>
      </c>
      <c r="U32" s="1575">
        <f t="shared" si="13"/>
        <v>100</v>
      </c>
      <c r="V32" s="1574" t="s">
        <v>8</v>
      </c>
      <c r="W32" s="1575">
        <f t="shared" si="14"/>
        <v>100</v>
      </c>
      <c r="X32" s="1568"/>
      <c r="Y32" s="3405"/>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06" t="s">
        <v>550</v>
      </c>
      <c r="Q33" s="1573" t="str">
        <f t="shared" si="11"/>
        <v>建筑类型</v>
      </c>
      <c r="R33" s="1574" t="s">
        <v>8</v>
      </c>
      <c r="S33" s="1575">
        <f t="shared" si="12"/>
        <v>100</v>
      </c>
      <c r="T33" s="1574" t="s">
        <v>8</v>
      </c>
      <c r="U33" s="1575">
        <f t="shared" si="13"/>
        <v>100</v>
      </c>
      <c r="V33" s="1574" t="s">
        <v>8</v>
      </c>
      <c r="W33" s="1575">
        <f t="shared" si="14"/>
        <v>100</v>
      </c>
      <c r="X33" s="1568"/>
      <c r="Y33" s="3407"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07"/>
      <c r="Q34" s="1606" t="str">
        <f t="shared" si="11"/>
        <v>项目建筑规模</v>
      </c>
      <c r="R34" s="1578" t="s">
        <v>8</v>
      </c>
      <c r="S34" s="1579" t="e">
        <f t="shared" si="12"/>
        <v>#N/A</v>
      </c>
      <c r="T34" s="1578" t="s">
        <v>8</v>
      </c>
      <c r="U34" s="1579" t="e">
        <f t="shared" si="13"/>
        <v>#N/A</v>
      </c>
      <c r="V34" s="1578" t="s">
        <v>8</v>
      </c>
      <c r="W34" s="1579" t="e">
        <f t="shared" si="14"/>
        <v>#N/A</v>
      </c>
      <c r="X34" s="1580"/>
      <c r="Y34" s="3407"/>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07"/>
      <c r="Q35" s="1573" t="str">
        <f t="shared" si="11"/>
        <v>建筑结构</v>
      </c>
      <c r="R35" s="1574" t="s">
        <v>8</v>
      </c>
      <c r="S35" s="1575">
        <f t="shared" si="12"/>
        <v>100</v>
      </c>
      <c r="T35" s="1574" t="s">
        <v>8</v>
      </c>
      <c r="U35" s="1575">
        <f t="shared" si="13"/>
        <v>100</v>
      </c>
      <c r="V35" s="1574" t="s">
        <v>8</v>
      </c>
      <c r="W35" s="1575">
        <f t="shared" si="14"/>
        <v>100</v>
      </c>
      <c r="X35" s="1568"/>
      <c r="Y35" s="3407"/>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07"/>
      <c r="Q36" s="1573" t="str">
        <f t="shared" si="11"/>
        <v>公共部分装修</v>
      </c>
      <c r="R36" s="1574" t="s">
        <v>8</v>
      </c>
      <c r="S36" s="1575">
        <f t="shared" si="12"/>
        <v>100</v>
      </c>
      <c r="T36" s="1574" t="s">
        <v>8</v>
      </c>
      <c r="U36" s="1575">
        <f t="shared" si="13"/>
        <v>100</v>
      </c>
      <c r="V36" s="1574" t="s">
        <v>8</v>
      </c>
      <c r="W36" s="1575">
        <f t="shared" si="14"/>
        <v>100</v>
      </c>
      <c r="X36" s="1568"/>
      <c r="Y36" s="3407"/>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07"/>
      <c r="Q37" s="1573" t="str">
        <f t="shared" si="11"/>
        <v>成新度</v>
      </c>
      <c r="R37" s="1574" t="s">
        <v>8</v>
      </c>
      <c r="S37" s="1575" t="e">
        <f t="shared" si="12"/>
        <v>#N/A</v>
      </c>
      <c r="T37" s="1574" t="s">
        <v>8</v>
      </c>
      <c r="U37" s="1575" t="e">
        <f t="shared" si="13"/>
        <v>#N/A</v>
      </c>
      <c r="V37" s="1574" t="s">
        <v>8</v>
      </c>
      <c r="W37" s="1575" t="e">
        <f t="shared" si="14"/>
        <v>#N/A</v>
      </c>
      <c r="X37" s="1568"/>
      <c r="Y37" s="3407"/>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07"/>
      <c r="Q38" s="1151" t="str">
        <f t="shared" si="11"/>
        <v>写字楼等级</v>
      </c>
      <c r="R38" s="1569" t="s">
        <v>8</v>
      </c>
      <c r="S38" s="1570">
        <f t="shared" si="12"/>
        <v>100</v>
      </c>
      <c r="T38" s="1569" t="s">
        <v>8</v>
      </c>
      <c r="U38" s="1570">
        <f t="shared" si="13"/>
        <v>100</v>
      </c>
      <c r="V38" s="1569" t="s">
        <v>8</v>
      </c>
      <c r="W38" s="1570">
        <f t="shared" si="14"/>
        <v>100</v>
      </c>
      <c r="X38" s="1571"/>
      <c r="Y38" s="3407"/>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07" t="s">
        <v>550</v>
      </c>
      <c r="Q39" s="1573" t="str">
        <f t="shared" si="11"/>
        <v>物业管理</v>
      </c>
      <c r="R39" s="1574" t="s">
        <v>8</v>
      </c>
      <c r="S39" s="1575">
        <f t="shared" si="12"/>
        <v>100</v>
      </c>
      <c r="T39" s="1574" t="s">
        <v>8</v>
      </c>
      <c r="U39" s="1575">
        <f t="shared" si="13"/>
        <v>100</v>
      </c>
      <c r="V39" s="1574" t="s">
        <v>8</v>
      </c>
      <c r="W39" s="1575">
        <f t="shared" si="14"/>
        <v>100</v>
      </c>
      <c r="X39" s="1568"/>
      <c r="Y39" s="3407"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07"/>
      <c r="Q40" s="1573" t="str">
        <f t="shared" si="11"/>
        <v>市政基础设施</v>
      </c>
      <c r="R40" s="1574" t="s">
        <v>8</v>
      </c>
      <c r="S40" s="1575">
        <f t="shared" si="12"/>
        <v>100</v>
      </c>
      <c r="T40" s="1574" t="s">
        <v>8</v>
      </c>
      <c r="U40" s="1575">
        <f t="shared" si="13"/>
        <v>100</v>
      </c>
      <c r="V40" s="1574" t="s">
        <v>8</v>
      </c>
      <c r="W40" s="1575">
        <f t="shared" si="14"/>
        <v>100</v>
      </c>
      <c r="X40" s="1568"/>
      <c r="Y40" s="3407"/>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07"/>
      <c r="Q41" s="1573" t="str">
        <f t="shared" si="11"/>
        <v>层高</v>
      </c>
      <c r="R41" s="1574" t="s">
        <v>8</v>
      </c>
      <c r="S41" s="1575">
        <f t="shared" si="12"/>
        <v>100</v>
      </c>
      <c r="T41" s="1574" t="s">
        <v>8</v>
      </c>
      <c r="U41" s="1575">
        <f t="shared" si="13"/>
        <v>100</v>
      </c>
      <c r="V41" s="1574" t="s">
        <v>8</v>
      </c>
      <c r="W41" s="1575">
        <f t="shared" si="14"/>
        <v>100</v>
      </c>
      <c r="X41" s="1568"/>
      <c r="Y41" s="3407"/>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07"/>
      <c r="Q42" s="1606" t="str">
        <f t="shared" si="11"/>
        <v>单套建筑面积</v>
      </c>
      <c r="R42" s="1578" t="s">
        <v>8</v>
      </c>
      <c r="S42" s="1579">
        <f t="shared" si="12"/>
        <v>100</v>
      </c>
      <c r="T42" s="1578" t="s">
        <v>8</v>
      </c>
      <c r="U42" s="1579">
        <f t="shared" si="13"/>
        <v>100</v>
      </c>
      <c r="V42" s="1578" t="s">
        <v>8</v>
      </c>
      <c r="W42" s="1579">
        <f t="shared" si="14"/>
        <v>100</v>
      </c>
      <c r="X42" s="1580"/>
      <c r="Y42" s="3407"/>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07"/>
      <c r="Q43" s="1573" t="str">
        <f t="shared" si="11"/>
        <v>内部装修</v>
      </c>
      <c r="R43" s="1574" t="s">
        <v>8</v>
      </c>
      <c r="S43" s="1575">
        <f t="shared" si="12"/>
        <v>100</v>
      </c>
      <c r="T43" s="1574" t="s">
        <v>8</v>
      </c>
      <c r="U43" s="1575">
        <f t="shared" si="13"/>
        <v>100</v>
      </c>
      <c r="V43" s="1574" t="s">
        <v>8</v>
      </c>
      <c r="W43" s="1575">
        <f t="shared" si="14"/>
        <v>100</v>
      </c>
      <c r="X43" s="1568"/>
      <c r="Y43" s="3407"/>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07"/>
      <c r="Q44" s="1573" t="str">
        <f t="shared" si="11"/>
        <v>内部装修维护情况</v>
      </c>
      <c r="R44" s="1574" t="s">
        <v>8</v>
      </c>
      <c r="S44" s="1575">
        <f t="shared" si="12"/>
        <v>100</v>
      </c>
      <c r="T44" s="1574" t="s">
        <v>8</v>
      </c>
      <c r="U44" s="1575">
        <f t="shared" si="13"/>
        <v>100</v>
      </c>
      <c r="V44" s="1574" t="s">
        <v>8</v>
      </c>
      <c r="W44" s="1575">
        <f t="shared" si="14"/>
        <v>100</v>
      </c>
      <c r="X44" s="1568"/>
      <c r="Y44" s="340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07"/>
      <c r="Q45" s="1151">
        <f t="shared" si="11"/>
        <v>111</v>
      </c>
      <c r="R45" s="1569" t="s">
        <v>8</v>
      </c>
      <c r="S45" s="1570">
        <f t="shared" si="12"/>
        <v>100</v>
      </c>
      <c r="T45" s="1569" t="s">
        <v>8</v>
      </c>
      <c r="U45" s="1570">
        <f t="shared" si="13"/>
        <v>100</v>
      </c>
      <c r="V45" s="1569" t="s">
        <v>8</v>
      </c>
      <c r="W45" s="1570">
        <f t="shared" si="14"/>
        <v>100</v>
      </c>
      <c r="X45" s="1571"/>
      <c r="Y45" s="340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07"/>
      <c r="Q46" s="1573">
        <f t="shared" si="11"/>
        <v>111</v>
      </c>
      <c r="R46" s="1574" t="s">
        <v>8</v>
      </c>
      <c r="S46" s="1575">
        <f t="shared" si="12"/>
        <v>100</v>
      </c>
      <c r="T46" s="1574" t="s">
        <v>8</v>
      </c>
      <c r="U46" s="1575">
        <f t="shared" si="13"/>
        <v>100</v>
      </c>
      <c r="V46" s="1574" t="s">
        <v>8</v>
      </c>
      <c r="W46" s="1575">
        <f t="shared" si="14"/>
        <v>100</v>
      </c>
      <c r="X46" s="1568"/>
      <c r="Y46" s="340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7"/>
      <c r="Q47" s="1573">
        <f t="shared" si="11"/>
        <v>111</v>
      </c>
      <c r="R47" s="1574" t="s">
        <v>8</v>
      </c>
      <c r="S47" s="1575">
        <f t="shared" si="12"/>
        <v>100</v>
      </c>
      <c r="T47" s="1574" t="s">
        <v>8</v>
      </c>
      <c r="U47" s="1575">
        <f t="shared" si="13"/>
        <v>100</v>
      </c>
      <c r="V47" s="1574" t="s">
        <v>8</v>
      </c>
      <c r="W47" s="1575">
        <f t="shared" si="14"/>
        <v>100</v>
      </c>
      <c r="X47" s="1568"/>
      <c r="Y47" s="3467"/>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68" t="str">
        <f>A48</f>
        <v>成交单价（元/平方米）</v>
      </c>
      <c r="Q48" s="3370"/>
      <c r="R48" s="3466">
        <f>E48</f>
        <v>0</v>
      </c>
      <c r="S48" s="3466"/>
      <c r="T48" s="3466">
        <f>G48</f>
        <v>0</v>
      </c>
      <c r="U48" s="3466"/>
      <c r="V48" s="3466">
        <f>I48</f>
        <v>0</v>
      </c>
      <c r="W48" s="3466"/>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68" t="str">
        <f>A49</f>
        <v>比较价格（元/平方米）</v>
      </c>
      <c r="Q49" s="3370"/>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1560"/>
      <c r="Y49" s="1560"/>
      <c r="Z49" s="1560"/>
      <c r="AA49" s="1560"/>
      <c r="AB49" s="1560"/>
      <c r="AC49" s="1560"/>
    </row>
    <row r="50" spans="1:29" ht="15.75" thickBot="1">
      <c r="A50" s="621" t="s">
        <v>2935</v>
      </c>
      <c r="B50" s="622"/>
      <c r="C50" s="2616" t="e">
        <f>R50</f>
        <v>#DIV/0!</v>
      </c>
      <c r="D50" s="2616"/>
      <c r="E50" s="2616"/>
      <c r="F50" s="2616"/>
      <c r="G50" s="2616"/>
      <c r="H50" s="2616"/>
      <c r="I50" s="2616"/>
      <c r="J50" s="2616"/>
      <c r="K50" s="1614"/>
      <c r="L50" s="2145"/>
      <c r="M50" s="2135"/>
      <c r="N50" s="2135"/>
      <c r="O50" s="2135"/>
      <c r="P50" s="3468" t="str">
        <f>A50</f>
        <v>估价对象XX用房的比较价格（楼面单价，元/平方米）</v>
      </c>
      <c r="Q50" s="3368"/>
      <c r="R50" s="3465" t="e">
        <f>IF(F1="售价",ROUND(AVERAGE(R49:V49),0),ROUND(AVERAGE(R49:V49),1))</f>
        <v>#DIV/0!</v>
      </c>
      <c r="S50" s="3465"/>
      <c r="T50" s="3465"/>
      <c r="U50" s="3465"/>
      <c r="V50" s="3465"/>
      <c r="W50" s="3465"/>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6">EDATE(D59,-1)</f>
        <v>43466</v>
      </c>
      <c r="F59" s="2783">
        <f t="shared" si="16"/>
        <v>43435</v>
      </c>
      <c r="G59" s="2783">
        <f t="shared" si="16"/>
        <v>43405</v>
      </c>
      <c r="H59" s="2783">
        <f t="shared" si="16"/>
        <v>43374</v>
      </c>
      <c r="I59" s="2783">
        <f t="shared" si="16"/>
        <v>43344</v>
      </c>
      <c r="J59" s="2783">
        <f t="shared" si="16"/>
        <v>43313</v>
      </c>
      <c r="K59" s="2783">
        <f t="shared" si="16"/>
        <v>43282</v>
      </c>
      <c r="L59" s="2783">
        <f t="shared" si="16"/>
        <v>43252</v>
      </c>
      <c r="M59" s="2783">
        <f t="shared" si="16"/>
        <v>43221</v>
      </c>
      <c r="N59" s="2783">
        <f t="shared" si="16"/>
        <v>43191</v>
      </c>
      <c r="O59" s="2783">
        <f t="shared" si="16"/>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76" t="s">
        <v>522</v>
      </c>
      <c r="D4" s="3377"/>
      <c r="E4" s="3410" t="s">
        <v>523</v>
      </c>
      <c r="F4" s="3411"/>
      <c r="G4" s="3376" t="s">
        <v>524</v>
      </c>
      <c r="H4" s="3377"/>
      <c r="I4" s="3376" t="s">
        <v>525</v>
      </c>
      <c r="J4" s="3377"/>
      <c r="K4" s="514" t="s">
        <v>526</v>
      </c>
      <c r="L4" s="2134"/>
      <c r="M4" s="2135"/>
      <c r="N4" s="2135"/>
      <c r="O4" s="2135"/>
      <c r="P4" s="3378" t="s">
        <v>527</v>
      </c>
      <c r="Q4" s="3379"/>
      <c r="R4" s="3384" t="s">
        <v>523</v>
      </c>
      <c r="S4" s="3385"/>
      <c r="T4" s="3384" t="s">
        <v>524</v>
      </c>
      <c r="U4" s="3385"/>
      <c r="V4" s="3371" t="s">
        <v>525</v>
      </c>
      <c r="W4" s="3371"/>
      <c r="X4" s="1568"/>
      <c r="Y4" s="3384" t="s">
        <v>527</v>
      </c>
      <c r="Z4" s="3385"/>
      <c r="AA4" s="3373" t="s">
        <v>523</v>
      </c>
      <c r="AB4" s="3374" t="s">
        <v>524</v>
      </c>
      <c r="AC4" s="3373" t="s">
        <v>525</v>
      </c>
    </row>
    <row r="5" spans="1:29" ht="15">
      <c r="A5" s="515"/>
      <c r="B5" s="516"/>
      <c r="C5" s="3392" t="s">
        <v>2929</v>
      </c>
      <c r="D5" s="3393"/>
      <c r="E5" s="3412" t="s">
        <v>2930</v>
      </c>
      <c r="F5" s="3413"/>
      <c r="G5" s="3392" t="s">
        <v>2931</v>
      </c>
      <c r="H5" s="3393"/>
      <c r="I5" s="3392" t="s">
        <v>2932</v>
      </c>
      <c r="J5" s="3393"/>
      <c r="K5" s="514"/>
      <c r="L5" s="2134"/>
      <c r="M5" s="2135"/>
      <c r="N5" s="2135"/>
      <c r="O5" s="2135"/>
      <c r="P5" s="3380"/>
      <c r="Q5" s="3381"/>
      <c r="R5" s="3386"/>
      <c r="S5" s="3387"/>
      <c r="T5" s="3386"/>
      <c r="U5" s="3387"/>
      <c r="V5" s="3371"/>
      <c r="W5" s="3371"/>
      <c r="X5" s="1568"/>
      <c r="Y5" s="3386"/>
      <c r="Z5" s="3387"/>
      <c r="AA5" s="3374"/>
      <c r="AB5" s="3374"/>
      <c r="AC5" s="3374"/>
    </row>
    <row r="6" spans="1:29" ht="15.75" thickBot="1">
      <c r="A6" s="517"/>
      <c r="B6" s="518"/>
      <c r="C6" s="3390" t="s">
        <v>2933</v>
      </c>
      <c r="D6" s="3391"/>
      <c r="E6" s="3408" t="s">
        <v>2933</v>
      </c>
      <c r="F6" s="3409"/>
      <c r="G6" s="3390" t="s">
        <v>2933</v>
      </c>
      <c r="H6" s="3391"/>
      <c r="I6" s="3390" t="s">
        <v>2933</v>
      </c>
      <c r="J6" s="3391"/>
      <c r="K6" s="514" t="s">
        <v>528</v>
      </c>
      <c r="L6" s="2134"/>
      <c r="M6" s="2135"/>
      <c r="N6" s="2135"/>
      <c r="O6" s="2135"/>
      <c r="P6" s="3382"/>
      <c r="Q6" s="3383"/>
      <c r="R6" s="3386"/>
      <c r="S6" s="3387"/>
      <c r="T6" s="3388"/>
      <c r="U6" s="3389"/>
      <c r="V6" s="3371"/>
      <c r="W6" s="3371"/>
      <c r="X6" s="1568"/>
      <c r="Y6" s="3388"/>
      <c r="Z6" s="3389"/>
      <c r="AA6" s="3375"/>
      <c r="AB6" s="3375"/>
      <c r="AC6" s="3375"/>
    </row>
    <row r="7" spans="1:29" s="1220" customFormat="1" ht="15.75" thickBot="1">
      <c r="A7" s="2891"/>
      <c r="B7" s="2898" t="s">
        <v>529</v>
      </c>
      <c r="C7" s="519">
        <f>'数据-取费表'!B2</f>
        <v>43544</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01" t="s">
        <v>530</v>
      </c>
      <c r="Q7" s="3403"/>
      <c r="R7" s="1569" t="s">
        <v>8</v>
      </c>
      <c r="S7" s="1570">
        <f t="shared" ref="S7:S15" si="0">F7</f>
        <v>0</v>
      </c>
      <c r="T7" s="1569" t="s">
        <v>8</v>
      </c>
      <c r="U7" s="1570">
        <f t="shared" ref="U7:U15" si="1">H7</f>
        <v>0</v>
      </c>
      <c r="V7" s="1569" t="s">
        <v>8</v>
      </c>
      <c r="W7" s="1570">
        <f t="shared" ref="W7:W15" si="2">J7</f>
        <v>0</v>
      </c>
      <c r="X7" s="1571"/>
      <c r="Y7" s="3401" t="s">
        <v>530</v>
      </c>
      <c r="Z7" s="3402"/>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01" t="s">
        <v>533</v>
      </c>
      <c r="Q8" s="3402"/>
      <c r="R8" s="1569" t="s">
        <v>8</v>
      </c>
      <c r="S8" s="1570">
        <f t="shared" si="0"/>
        <v>0</v>
      </c>
      <c r="T8" s="1569" t="s">
        <v>8</v>
      </c>
      <c r="U8" s="1570">
        <f t="shared" si="1"/>
        <v>0</v>
      </c>
      <c r="V8" s="1569" t="s">
        <v>8</v>
      </c>
      <c r="W8" s="1570">
        <f t="shared" si="2"/>
        <v>0</v>
      </c>
      <c r="X8" s="1571"/>
      <c r="Y8" s="3401" t="s">
        <v>533</v>
      </c>
      <c r="Z8" s="3402"/>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70" t="s">
        <v>535</v>
      </c>
      <c r="Q9" s="1151" t="str">
        <f t="shared" ref="Q9:Q15" si="6">B9</f>
        <v>用途</v>
      </c>
      <c r="R9" s="1569" t="s">
        <v>8</v>
      </c>
      <c r="S9" s="1570">
        <f t="shared" si="0"/>
        <v>100</v>
      </c>
      <c r="T9" s="1569" t="s">
        <v>8</v>
      </c>
      <c r="U9" s="1570">
        <f t="shared" si="1"/>
        <v>100</v>
      </c>
      <c r="V9" s="1569" t="s">
        <v>8</v>
      </c>
      <c r="W9" s="1570">
        <f t="shared" si="2"/>
        <v>100</v>
      </c>
      <c r="X9" s="1571"/>
      <c r="Y9" s="3294"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70"/>
      <c r="Q10" s="1151" t="str">
        <f t="shared" si="6"/>
        <v>土地使用年限（年）</v>
      </c>
      <c r="R10" s="1569" t="s">
        <v>8</v>
      </c>
      <c r="S10" s="1570">
        <f t="shared" si="0"/>
        <v>100</v>
      </c>
      <c r="T10" s="1569" t="s">
        <v>8</v>
      </c>
      <c r="U10" s="1570">
        <f t="shared" si="1"/>
        <v>100</v>
      </c>
      <c r="V10" s="1569" t="s">
        <v>8</v>
      </c>
      <c r="W10" s="1570">
        <f t="shared" si="2"/>
        <v>100</v>
      </c>
      <c r="X10" s="1571"/>
      <c r="Y10" s="3294"/>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70"/>
      <c r="Q11" s="1151" t="str">
        <f t="shared" si="6"/>
        <v>容积率</v>
      </c>
      <c r="R11" s="1569" t="s">
        <v>8</v>
      </c>
      <c r="S11" s="1570" t="e">
        <f t="shared" si="0"/>
        <v>#N/A</v>
      </c>
      <c r="T11" s="1569" t="s">
        <v>8</v>
      </c>
      <c r="U11" s="1570" t="e">
        <f t="shared" si="1"/>
        <v>#N/A</v>
      </c>
      <c r="V11" s="1569" t="s">
        <v>8</v>
      </c>
      <c r="W11" s="1570" t="e">
        <f t="shared" si="2"/>
        <v>#N/A</v>
      </c>
      <c r="X11" s="1571"/>
      <c r="Y11" s="3294"/>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70"/>
      <c r="Q12" s="1151">
        <f t="shared" si="6"/>
        <v>111</v>
      </c>
      <c r="R12" s="1569" t="s">
        <v>8</v>
      </c>
      <c r="S12" s="1570">
        <f t="shared" si="0"/>
        <v>100</v>
      </c>
      <c r="T12" s="1569" t="s">
        <v>8</v>
      </c>
      <c r="U12" s="1570">
        <f t="shared" si="1"/>
        <v>100</v>
      </c>
      <c r="V12" s="1569" t="s">
        <v>8</v>
      </c>
      <c r="W12" s="1570">
        <f t="shared" si="2"/>
        <v>100</v>
      </c>
      <c r="X12" s="1571"/>
      <c r="Y12" s="3294"/>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70"/>
      <c r="Q13" s="1151">
        <f t="shared" si="6"/>
        <v>111</v>
      </c>
      <c r="R13" s="1569" t="s">
        <v>8</v>
      </c>
      <c r="S13" s="1570">
        <f t="shared" si="0"/>
        <v>100</v>
      </c>
      <c r="T13" s="1569" t="s">
        <v>8</v>
      </c>
      <c r="U13" s="1570">
        <f t="shared" si="1"/>
        <v>100</v>
      </c>
      <c r="V13" s="1569" t="s">
        <v>8</v>
      </c>
      <c r="W13" s="1570">
        <f t="shared" si="2"/>
        <v>100</v>
      </c>
      <c r="X13" s="1571"/>
      <c r="Y13" s="3294"/>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70"/>
      <c r="Q14" s="1151">
        <f t="shared" si="6"/>
        <v>111</v>
      </c>
      <c r="R14" s="1569" t="s">
        <v>8</v>
      </c>
      <c r="S14" s="1570">
        <f t="shared" si="0"/>
        <v>100</v>
      </c>
      <c r="T14" s="1569" t="s">
        <v>8</v>
      </c>
      <c r="U14" s="1570">
        <f t="shared" si="1"/>
        <v>100</v>
      </c>
      <c r="V14" s="1569" t="s">
        <v>8</v>
      </c>
      <c r="W14" s="1570">
        <f t="shared" si="2"/>
        <v>100</v>
      </c>
      <c r="X14" s="1571"/>
      <c r="Y14" s="3294"/>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04" t="s">
        <v>540</v>
      </c>
      <c r="Q15" s="1573" t="str">
        <f t="shared" si="6"/>
        <v>产业集聚程度</v>
      </c>
      <c r="R15" s="1574" t="s">
        <v>8</v>
      </c>
      <c r="S15" s="1575">
        <f t="shared" si="0"/>
        <v>100</v>
      </c>
      <c r="T15" s="1574" t="s">
        <v>8</v>
      </c>
      <c r="U15" s="1575">
        <f t="shared" si="1"/>
        <v>100</v>
      </c>
      <c r="V15" s="1574" t="s">
        <v>8</v>
      </c>
      <c r="W15" s="1575">
        <f t="shared" si="2"/>
        <v>100</v>
      </c>
      <c r="X15" s="1568"/>
      <c r="Y15" s="340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05"/>
      <c r="Q16" s="1573"/>
      <c r="R16" s="1574"/>
      <c r="S16" s="1575"/>
      <c r="T16" s="1574"/>
      <c r="U16" s="1575"/>
      <c r="V16" s="1574"/>
      <c r="W16" s="1575"/>
      <c r="X16" s="1568"/>
      <c r="Y16" s="340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05"/>
      <c r="Q17" s="1573" t="str">
        <f>B17</f>
        <v>交通便捷度</v>
      </c>
      <c r="R17" s="1574" t="s">
        <v>8</v>
      </c>
      <c r="S17" s="1575">
        <f>F17</f>
        <v>100</v>
      </c>
      <c r="T17" s="1574" t="s">
        <v>8</v>
      </c>
      <c r="U17" s="1575">
        <f>H17</f>
        <v>100</v>
      </c>
      <c r="V17" s="1574" t="s">
        <v>8</v>
      </c>
      <c r="W17" s="1575">
        <f>J17</f>
        <v>100</v>
      </c>
      <c r="X17" s="1568"/>
      <c r="Y17" s="340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05"/>
      <c r="Q18" s="1573"/>
      <c r="R18" s="1574"/>
      <c r="S18" s="1575"/>
      <c r="T18" s="1574"/>
      <c r="U18" s="1575"/>
      <c r="V18" s="1574"/>
      <c r="W18" s="1575"/>
      <c r="X18" s="1568"/>
      <c r="Y18" s="3405"/>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05"/>
      <c r="Q19" s="1573" t="str">
        <f>B19</f>
        <v>公共配套设施</v>
      </c>
      <c r="R19" s="1574" t="s">
        <v>8</v>
      </c>
      <c r="S19" s="1575">
        <f>F19</f>
        <v>100</v>
      </c>
      <c r="T19" s="1574" t="s">
        <v>8</v>
      </c>
      <c r="U19" s="1575">
        <f>H19</f>
        <v>100</v>
      </c>
      <c r="V19" s="1574" t="s">
        <v>8</v>
      </c>
      <c r="W19" s="1575">
        <f>J19</f>
        <v>100</v>
      </c>
      <c r="X19" s="1568"/>
      <c r="Y19" s="340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05"/>
      <c r="Q20" s="1573"/>
      <c r="R20" s="1574"/>
      <c r="S20" s="1575"/>
      <c r="T20" s="1574"/>
      <c r="U20" s="1575"/>
      <c r="V20" s="1574"/>
      <c r="W20" s="1575"/>
      <c r="X20" s="1568"/>
      <c r="Y20" s="3405"/>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05"/>
      <c r="Q21" s="2559" t="str">
        <f>B21</f>
        <v>基础设施水平</v>
      </c>
      <c r="R21" s="1574" t="s">
        <v>8</v>
      </c>
      <c r="S21" s="1575">
        <f>F21</f>
        <v>100</v>
      </c>
      <c r="T21" s="1574" t="s">
        <v>8</v>
      </c>
      <c r="U21" s="1575">
        <f>H21</f>
        <v>100</v>
      </c>
      <c r="V21" s="1574" t="s">
        <v>8</v>
      </c>
      <c r="W21" s="1575">
        <f>J21</f>
        <v>100</v>
      </c>
      <c r="X21" s="2561"/>
      <c r="Y21" s="3405"/>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405"/>
      <c r="Q22" s="2559"/>
      <c r="R22" s="1574"/>
      <c r="S22" s="1575"/>
      <c r="T22" s="1574"/>
      <c r="U22" s="1575"/>
      <c r="V22" s="1574"/>
      <c r="W22" s="1575"/>
      <c r="X22" s="2561"/>
      <c r="Y22" s="3405"/>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05"/>
      <c r="Q23" s="1573" t="str">
        <f>B23</f>
        <v>环境质量</v>
      </c>
      <c r="R23" s="1574" t="s">
        <v>8</v>
      </c>
      <c r="S23" s="1575">
        <f>F23</f>
        <v>100</v>
      </c>
      <c r="T23" s="1574" t="s">
        <v>8</v>
      </c>
      <c r="U23" s="1575">
        <f>H23</f>
        <v>100</v>
      </c>
      <c r="V23" s="1574" t="s">
        <v>8</v>
      </c>
      <c r="W23" s="1575">
        <f>J23</f>
        <v>100</v>
      </c>
      <c r="X23" s="1568"/>
      <c r="Y23" s="340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05"/>
      <c r="Q24" s="1573"/>
      <c r="R24" s="1574"/>
      <c r="S24" s="1575"/>
      <c r="T24" s="1574"/>
      <c r="U24" s="1575"/>
      <c r="V24" s="1574"/>
      <c r="W24" s="1575"/>
      <c r="X24" s="1568"/>
      <c r="Y24" s="340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05"/>
      <c r="Q25" s="1573">
        <f>B25</f>
        <v>111</v>
      </c>
      <c r="R25" s="1574" t="s">
        <v>8</v>
      </c>
      <c r="S25" s="1575">
        <f>F25</f>
        <v>100</v>
      </c>
      <c r="T25" s="1574" t="s">
        <v>8</v>
      </c>
      <c r="U25" s="1575">
        <f>H25</f>
        <v>100</v>
      </c>
      <c r="V25" s="1574" t="s">
        <v>8</v>
      </c>
      <c r="W25" s="1575">
        <f>J25</f>
        <v>100</v>
      </c>
      <c r="X25" s="1568"/>
      <c r="Y25" s="340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05"/>
      <c r="Q26" s="1573">
        <f t="shared" ref="Q26:Q40" si="11">B26</f>
        <v>111</v>
      </c>
      <c r="R26" s="1574" t="s">
        <v>8</v>
      </c>
      <c r="S26" s="1575">
        <f>F26</f>
        <v>100</v>
      </c>
      <c r="T26" s="1574" t="s">
        <v>8</v>
      </c>
      <c r="U26" s="1575">
        <f>H26</f>
        <v>100</v>
      </c>
      <c r="V26" s="1574" t="s">
        <v>8</v>
      </c>
      <c r="W26" s="1575">
        <f>J26</f>
        <v>100</v>
      </c>
      <c r="X26" s="1568"/>
      <c r="Y26" s="340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05"/>
      <c r="Q27" s="1151">
        <f t="shared" si="11"/>
        <v>111</v>
      </c>
      <c r="R27" s="1569" t="s">
        <v>8</v>
      </c>
      <c r="S27" s="1570">
        <f>F27</f>
        <v>100</v>
      </c>
      <c r="T27" s="1569" t="s">
        <v>8</v>
      </c>
      <c r="U27" s="1570">
        <f>H27</f>
        <v>100</v>
      </c>
      <c r="V27" s="1569" t="s">
        <v>8</v>
      </c>
      <c r="W27" s="1570">
        <f>J27</f>
        <v>100</v>
      </c>
      <c r="X27" s="1571"/>
      <c r="Y27" s="340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05"/>
      <c r="Q28" s="1573">
        <f t="shared" si="11"/>
        <v>111</v>
      </c>
      <c r="R28" s="1574" t="s">
        <v>8</v>
      </c>
      <c r="S28" s="1575">
        <f t="shared" ref="S28:S40" si="12">F28</f>
        <v>100</v>
      </c>
      <c r="T28" s="1574" t="s">
        <v>8</v>
      </c>
      <c r="U28" s="1575">
        <f t="shared" ref="U28:U40" si="13">H28</f>
        <v>100</v>
      </c>
      <c r="V28" s="1574" t="s">
        <v>8</v>
      </c>
      <c r="W28" s="1575">
        <f t="shared" ref="W28:W40" si="14">J28</f>
        <v>100</v>
      </c>
      <c r="X28" s="1568"/>
      <c r="Y28" s="3405"/>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06" t="s">
        <v>550</v>
      </c>
      <c r="Q29" s="1573" t="str">
        <f t="shared" si="11"/>
        <v>建筑类型</v>
      </c>
      <c r="R29" s="1574" t="s">
        <v>8</v>
      </c>
      <c r="S29" s="1575">
        <f t="shared" si="12"/>
        <v>100</v>
      </c>
      <c r="T29" s="1574" t="s">
        <v>8</v>
      </c>
      <c r="U29" s="1575">
        <f t="shared" si="13"/>
        <v>100</v>
      </c>
      <c r="V29" s="1574" t="s">
        <v>8</v>
      </c>
      <c r="W29" s="1575">
        <f t="shared" si="14"/>
        <v>100</v>
      </c>
      <c r="X29" s="1568"/>
      <c r="Y29" s="3407"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07"/>
      <c r="Q30" s="1606" t="str">
        <f t="shared" si="11"/>
        <v>项目建筑规模</v>
      </c>
      <c r="R30" s="1578" t="s">
        <v>8</v>
      </c>
      <c r="S30" s="1579" t="e">
        <f t="shared" si="12"/>
        <v>#N/A</v>
      </c>
      <c r="T30" s="1578" t="s">
        <v>8</v>
      </c>
      <c r="U30" s="1579" t="e">
        <f t="shared" si="13"/>
        <v>#N/A</v>
      </c>
      <c r="V30" s="1578" t="s">
        <v>8</v>
      </c>
      <c r="W30" s="1579" t="e">
        <f t="shared" si="14"/>
        <v>#N/A</v>
      </c>
      <c r="X30" s="1580"/>
      <c r="Y30" s="3407"/>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07"/>
      <c r="Q31" s="1573" t="str">
        <f t="shared" si="11"/>
        <v>建筑结构</v>
      </c>
      <c r="R31" s="1574" t="s">
        <v>8</v>
      </c>
      <c r="S31" s="1575">
        <f t="shared" si="12"/>
        <v>100</v>
      </c>
      <c r="T31" s="1574" t="s">
        <v>8</v>
      </c>
      <c r="U31" s="1575">
        <f t="shared" si="13"/>
        <v>100</v>
      </c>
      <c r="V31" s="1574" t="s">
        <v>8</v>
      </c>
      <c r="W31" s="1575">
        <f t="shared" si="14"/>
        <v>100</v>
      </c>
      <c r="X31" s="1568"/>
      <c r="Y31" s="3407"/>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07"/>
      <c r="Q32" s="1573" t="str">
        <f t="shared" si="11"/>
        <v>公共部分装修</v>
      </c>
      <c r="R32" s="1574" t="s">
        <v>8</v>
      </c>
      <c r="S32" s="1575">
        <f t="shared" si="12"/>
        <v>100</v>
      </c>
      <c r="T32" s="1574" t="s">
        <v>8</v>
      </c>
      <c r="U32" s="1575">
        <f t="shared" si="13"/>
        <v>100</v>
      </c>
      <c r="V32" s="1574" t="s">
        <v>8</v>
      </c>
      <c r="W32" s="1575">
        <f t="shared" si="14"/>
        <v>100</v>
      </c>
      <c r="X32" s="1568"/>
      <c r="Y32" s="3407"/>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07"/>
      <c r="Q33" s="1573" t="str">
        <f t="shared" si="11"/>
        <v>成新度</v>
      </c>
      <c r="R33" s="1574" t="s">
        <v>8</v>
      </c>
      <c r="S33" s="1575" t="e">
        <f t="shared" si="12"/>
        <v>#N/A</v>
      </c>
      <c r="T33" s="1574" t="s">
        <v>8</v>
      </c>
      <c r="U33" s="1575" t="e">
        <f t="shared" si="13"/>
        <v>#N/A</v>
      </c>
      <c r="V33" s="1574" t="s">
        <v>8</v>
      </c>
      <c r="W33" s="1575" t="e">
        <f t="shared" si="14"/>
        <v>#N/A</v>
      </c>
      <c r="X33" s="1568"/>
      <c r="Y33" s="3407"/>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07"/>
      <c r="Q34" s="1151" t="str">
        <f t="shared" si="11"/>
        <v>物业管理</v>
      </c>
      <c r="R34" s="1569" t="s">
        <v>8</v>
      </c>
      <c r="S34" s="1570">
        <f t="shared" si="12"/>
        <v>100</v>
      </c>
      <c r="T34" s="1569" t="s">
        <v>8</v>
      </c>
      <c r="U34" s="1570">
        <f t="shared" si="13"/>
        <v>100</v>
      </c>
      <c r="V34" s="1569" t="s">
        <v>8</v>
      </c>
      <c r="W34" s="1570">
        <f t="shared" si="14"/>
        <v>100</v>
      </c>
      <c r="X34" s="1571"/>
      <c r="Y34" s="3407"/>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07" t="s">
        <v>550</v>
      </c>
      <c r="Q35" s="1573" t="str">
        <f t="shared" si="11"/>
        <v>市政基础设施</v>
      </c>
      <c r="R35" s="1574" t="s">
        <v>8</v>
      </c>
      <c r="S35" s="1575">
        <f t="shared" si="12"/>
        <v>100</v>
      </c>
      <c r="T35" s="1574" t="s">
        <v>8</v>
      </c>
      <c r="U35" s="1575">
        <f t="shared" si="13"/>
        <v>100</v>
      </c>
      <c r="V35" s="1574" t="s">
        <v>8</v>
      </c>
      <c r="W35" s="1575">
        <f t="shared" si="14"/>
        <v>100</v>
      </c>
      <c r="X35" s="1568"/>
      <c r="Y35" s="3407"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07"/>
      <c r="Q36" s="1573" t="str">
        <f t="shared" si="11"/>
        <v>内部装修</v>
      </c>
      <c r="R36" s="1574" t="s">
        <v>8</v>
      </c>
      <c r="S36" s="1575">
        <f t="shared" si="12"/>
        <v>100</v>
      </c>
      <c r="T36" s="1574" t="s">
        <v>8</v>
      </c>
      <c r="U36" s="1575">
        <f t="shared" si="13"/>
        <v>100</v>
      </c>
      <c r="V36" s="1574" t="s">
        <v>8</v>
      </c>
      <c r="W36" s="1575">
        <f t="shared" si="14"/>
        <v>100</v>
      </c>
      <c r="X36" s="1568"/>
      <c r="Y36" s="3407"/>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07"/>
      <c r="Q37" s="1573" t="str">
        <f t="shared" si="11"/>
        <v>内部装修状况</v>
      </c>
      <c r="R37" s="1574" t="s">
        <v>8</v>
      </c>
      <c r="S37" s="1575">
        <f t="shared" si="12"/>
        <v>100</v>
      </c>
      <c r="T37" s="1574" t="s">
        <v>8</v>
      </c>
      <c r="U37" s="1575">
        <f t="shared" si="13"/>
        <v>100</v>
      </c>
      <c r="V37" s="1574" t="s">
        <v>8</v>
      </c>
      <c r="W37" s="1575">
        <f t="shared" si="14"/>
        <v>100</v>
      </c>
      <c r="X37" s="1568"/>
      <c r="Y37" s="340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07"/>
      <c r="Q38" s="1606">
        <f t="shared" si="11"/>
        <v>111</v>
      </c>
      <c r="R38" s="1578" t="s">
        <v>8</v>
      </c>
      <c r="S38" s="1579">
        <f t="shared" si="12"/>
        <v>100</v>
      </c>
      <c r="T38" s="1578" t="s">
        <v>8</v>
      </c>
      <c r="U38" s="1579">
        <f t="shared" si="13"/>
        <v>100</v>
      </c>
      <c r="V38" s="1578" t="s">
        <v>8</v>
      </c>
      <c r="W38" s="1579">
        <f t="shared" si="14"/>
        <v>100</v>
      </c>
      <c r="X38" s="1580"/>
      <c r="Y38" s="340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07"/>
      <c r="Q39" s="1573">
        <f t="shared" si="11"/>
        <v>111</v>
      </c>
      <c r="R39" s="1574" t="s">
        <v>8</v>
      </c>
      <c r="S39" s="1575">
        <f t="shared" si="12"/>
        <v>100</v>
      </c>
      <c r="T39" s="1574" t="s">
        <v>8</v>
      </c>
      <c r="U39" s="1575">
        <f t="shared" si="13"/>
        <v>100</v>
      </c>
      <c r="V39" s="1574" t="s">
        <v>8</v>
      </c>
      <c r="W39" s="1575">
        <f t="shared" si="14"/>
        <v>100</v>
      </c>
      <c r="X39" s="1568"/>
      <c r="Y39" s="340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7"/>
      <c r="Q40" s="1573">
        <f t="shared" si="11"/>
        <v>111</v>
      </c>
      <c r="R40" s="1574" t="s">
        <v>8</v>
      </c>
      <c r="S40" s="1575">
        <f t="shared" si="12"/>
        <v>100</v>
      </c>
      <c r="T40" s="1574" t="s">
        <v>8</v>
      </c>
      <c r="U40" s="1575">
        <f t="shared" si="13"/>
        <v>100</v>
      </c>
      <c r="V40" s="1574" t="s">
        <v>8</v>
      </c>
      <c r="W40" s="1575">
        <f t="shared" si="14"/>
        <v>100</v>
      </c>
      <c r="X40" s="1568"/>
      <c r="Y40" s="3467"/>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70" t="str">
        <f>A41</f>
        <v>成交单价（元/平方米）</v>
      </c>
      <c r="Q41" s="3370"/>
      <c r="R41" s="3466">
        <f>E41</f>
        <v>0</v>
      </c>
      <c r="S41" s="3466"/>
      <c r="T41" s="3466">
        <f>G41</f>
        <v>0</v>
      </c>
      <c r="U41" s="3466"/>
      <c r="V41" s="3466">
        <f>I41</f>
        <v>0</v>
      </c>
      <c r="W41" s="3466"/>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70" t="str">
        <f>A42</f>
        <v>比较价格（元/平方米）</v>
      </c>
      <c r="Q42" s="3370"/>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1560"/>
      <c r="Y42" s="1560"/>
      <c r="Z42" s="1560"/>
      <c r="AA42" s="1560"/>
      <c r="AB42" s="1560"/>
      <c r="AC42" s="1560"/>
    </row>
    <row r="43" spans="1:29" ht="15.75" thickBot="1">
      <c r="A43" s="621" t="s">
        <v>2935</v>
      </c>
      <c r="B43" s="622"/>
      <c r="C43" s="2616" t="e">
        <f>R43</f>
        <v>#DIV/0!</v>
      </c>
      <c r="D43" s="2616"/>
      <c r="E43" s="2616"/>
      <c r="F43" s="2616"/>
      <c r="G43" s="2616"/>
      <c r="H43" s="2616"/>
      <c r="I43" s="2616"/>
      <c r="J43" s="2616"/>
      <c r="K43" s="1614"/>
      <c r="L43" s="2145"/>
      <c r="M43" s="2146"/>
      <c r="N43" s="2146"/>
      <c r="O43" s="2146"/>
      <c r="P43" s="3367" t="str">
        <f>A43</f>
        <v>估价对象XX用房的比较价格（楼面单价，元/平方米）</v>
      </c>
      <c r="Q43" s="3368"/>
      <c r="R43" s="3465" t="e">
        <f>IF(F1="售价",ROUND(AVERAGE(R42:V42),0),ROUND(AVERAGE(R42:V42),1))</f>
        <v>#DIV/0!</v>
      </c>
      <c r="S43" s="3465"/>
      <c r="T43" s="3465"/>
      <c r="U43" s="3465"/>
      <c r="V43" s="3465"/>
      <c r="W43" s="3465"/>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6">EDATE(D52,-1)</f>
        <v>43466</v>
      </c>
      <c r="F52" s="2783">
        <f t="shared" si="16"/>
        <v>43435</v>
      </c>
      <c r="G52" s="2783">
        <f t="shared" si="16"/>
        <v>43405</v>
      </c>
      <c r="H52" s="2783">
        <f t="shared" si="16"/>
        <v>43374</v>
      </c>
      <c r="I52" s="2783">
        <f t="shared" si="16"/>
        <v>43344</v>
      </c>
      <c r="J52" s="2783">
        <f t="shared" si="16"/>
        <v>43313</v>
      </c>
      <c r="K52" s="2783">
        <f t="shared" si="16"/>
        <v>43282</v>
      </c>
      <c r="L52" s="2783">
        <f t="shared" si="16"/>
        <v>43252</v>
      </c>
      <c r="M52" s="2783">
        <f t="shared" si="16"/>
        <v>43221</v>
      </c>
      <c r="N52" s="2783">
        <f t="shared" si="16"/>
        <v>43191</v>
      </c>
      <c r="O52" s="2783">
        <f t="shared" si="16"/>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6" t="s">
        <v>798</v>
      </c>
      <c r="D4" s="3377"/>
      <c r="E4" s="3376" t="s">
        <v>799</v>
      </c>
      <c r="F4" s="3377"/>
      <c r="G4" s="3376" t="s">
        <v>800</v>
      </c>
      <c r="H4" s="3377"/>
      <c r="I4" s="3376" t="s">
        <v>801</v>
      </c>
      <c r="J4" s="3377"/>
      <c r="K4" s="514" t="s">
        <v>802</v>
      </c>
      <c r="L4" s="2134"/>
      <c r="M4" s="2135"/>
      <c r="N4" s="2135"/>
      <c r="O4" s="2135"/>
      <c r="P4" s="3378" t="s">
        <v>803</v>
      </c>
      <c r="Q4" s="3379"/>
      <c r="R4" s="3384" t="s">
        <v>799</v>
      </c>
      <c r="S4" s="3385"/>
      <c r="T4" s="3384" t="s">
        <v>800</v>
      </c>
      <c r="U4" s="3385"/>
      <c r="V4" s="3371" t="s">
        <v>801</v>
      </c>
      <c r="W4" s="3371"/>
      <c r="X4" s="1568"/>
      <c r="Y4" s="3384" t="s">
        <v>803</v>
      </c>
      <c r="Z4" s="3385"/>
      <c r="AA4" s="3373" t="s">
        <v>799</v>
      </c>
      <c r="AB4" s="3374" t="s">
        <v>800</v>
      </c>
      <c r="AC4" s="3373" t="s">
        <v>801</v>
      </c>
    </row>
    <row r="5" spans="1:29" ht="15">
      <c r="A5" s="515"/>
      <c r="B5" s="516"/>
      <c r="C5" s="3392" t="s">
        <v>2929</v>
      </c>
      <c r="D5" s="3393"/>
      <c r="E5" s="3392" t="s">
        <v>2930</v>
      </c>
      <c r="F5" s="3393"/>
      <c r="G5" s="3392" t="s">
        <v>2931</v>
      </c>
      <c r="H5" s="3393"/>
      <c r="I5" s="3392" t="s">
        <v>2932</v>
      </c>
      <c r="J5" s="3393"/>
      <c r="K5" s="514"/>
      <c r="L5" s="2134"/>
      <c r="M5" s="2135"/>
      <c r="N5" s="2135"/>
      <c r="O5" s="2135"/>
      <c r="P5" s="3380"/>
      <c r="Q5" s="3381"/>
      <c r="R5" s="3386"/>
      <c r="S5" s="3387"/>
      <c r="T5" s="3386"/>
      <c r="U5" s="3387"/>
      <c r="V5" s="3371"/>
      <c r="W5" s="3371"/>
      <c r="X5" s="1568"/>
      <c r="Y5" s="3386"/>
      <c r="Z5" s="3387"/>
      <c r="AA5" s="3374"/>
      <c r="AB5" s="3374"/>
      <c r="AC5" s="3374"/>
    </row>
    <row r="6" spans="1:29" ht="15.75" thickBot="1">
      <c r="A6" s="517"/>
      <c r="B6" s="518"/>
      <c r="C6" s="3390" t="s">
        <v>2933</v>
      </c>
      <c r="D6" s="3391"/>
      <c r="E6" s="3394" t="s">
        <v>2933</v>
      </c>
      <c r="F6" s="3395"/>
      <c r="G6" s="3390" t="s">
        <v>2933</v>
      </c>
      <c r="H6" s="3391"/>
      <c r="I6" s="3390" t="s">
        <v>2933</v>
      </c>
      <c r="J6" s="3391"/>
      <c r="K6" s="514" t="s">
        <v>528</v>
      </c>
      <c r="L6" s="2134"/>
      <c r="M6" s="2135"/>
      <c r="N6" s="2135"/>
      <c r="O6" s="2135"/>
      <c r="P6" s="3382"/>
      <c r="Q6" s="3383"/>
      <c r="R6" s="3386"/>
      <c r="S6" s="3387"/>
      <c r="T6" s="3388"/>
      <c r="U6" s="3389"/>
      <c r="V6" s="3371"/>
      <c r="W6" s="3371"/>
      <c r="X6" s="1568"/>
      <c r="Y6" s="3388"/>
      <c r="Z6" s="3389"/>
      <c r="AA6" s="3375"/>
      <c r="AB6" s="3375"/>
      <c r="AC6" s="3375"/>
    </row>
    <row r="7" spans="1:29" s="1220" customFormat="1" ht="15.75" thickBot="1">
      <c r="A7" s="2891"/>
      <c r="B7" s="2898" t="s">
        <v>529</v>
      </c>
      <c r="C7" s="519">
        <f>'数据-取费表'!B2</f>
        <v>43544</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01" t="s">
        <v>530</v>
      </c>
      <c r="Q7" s="3403"/>
      <c r="R7" s="1569" t="s">
        <v>8</v>
      </c>
      <c r="S7" s="1570">
        <f t="shared" ref="S7:S14" si="0">F7</f>
        <v>0</v>
      </c>
      <c r="T7" s="1569" t="s">
        <v>8</v>
      </c>
      <c r="U7" s="1570">
        <f t="shared" ref="U7:U14" si="1">H7</f>
        <v>0</v>
      </c>
      <c r="V7" s="1569" t="s">
        <v>8</v>
      </c>
      <c r="W7" s="1570">
        <f t="shared" ref="W7:W14" si="2">J7</f>
        <v>0</v>
      </c>
      <c r="X7" s="1571"/>
      <c r="Y7" s="3401" t="s">
        <v>530</v>
      </c>
      <c r="Z7" s="3402"/>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01" t="s">
        <v>533</v>
      </c>
      <c r="Q8" s="3402"/>
      <c r="R8" s="1569" t="s">
        <v>8</v>
      </c>
      <c r="S8" s="1570">
        <f t="shared" si="0"/>
        <v>0</v>
      </c>
      <c r="T8" s="1569" t="s">
        <v>8</v>
      </c>
      <c r="U8" s="1570">
        <f t="shared" si="1"/>
        <v>0</v>
      </c>
      <c r="V8" s="1569" t="s">
        <v>8</v>
      </c>
      <c r="W8" s="1570">
        <f t="shared" si="2"/>
        <v>0</v>
      </c>
      <c r="X8" s="1571"/>
      <c r="Y8" s="3401" t="s">
        <v>533</v>
      </c>
      <c r="Z8" s="3402"/>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70" t="s">
        <v>535</v>
      </c>
      <c r="Q9" s="1151" t="str">
        <f t="shared" ref="Q9:Q14" si="6">B9</f>
        <v>用途</v>
      </c>
      <c r="R9" s="1569" t="s">
        <v>8</v>
      </c>
      <c r="S9" s="1570">
        <f t="shared" si="0"/>
        <v>100</v>
      </c>
      <c r="T9" s="1569" t="s">
        <v>8</v>
      </c>
      <c r="U9" s="1570">
        <f t="shared" si="1"/>
        <v>100</v>
      </c>
      <c r="V9" s="1569" t="s">
        <v>8</v>
      </c>
      <c r="W9" s="1570">
        <f t="shared" si="2"/>
        <v>100</v>
      </c>
      <c r="X9" s="1571"/>
      <c r="Y9" s="3294"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70"/>
      <c r="Q10" s="1151" t="str">
        <f t="shared" si="6"/>
        <v>土地使用年限（年）</v>
      </c>
      <c r="R10" s="1569" t="s">
        <v>8</v>
      </c>
      <c r="S10" s="1570">
        <f t="shared" si="0"/>
        <v>100</v>
      </c>
      <c r="T10" s="1569" t="s">
        <v>8</v>
      </c>
      <c r="U10" s="1570">
        <f t="shared" si="1"/>
        <v>100</v>
      </c>
      <c r="V10" s="1569" t="s">
        <v>8</v>
      </c>
      <c r="W10" s="1570">
        <f t="shared" si="2"/>
        <v>100</v>
      </c>
      <c r="X10" s="1571"/>
      <c r="Y10" s="3294"/>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70"/>
      <c r="Q11" s="1151">
        <f t="shared" si="6"/>
        <v>111</v>
      </c>
      <c r="R11" s="1569" t="s">
        <v>8</v>
      </c>
      <c r="S11" s="1570">
        <f t="shared" si="0"/>
        <v>100</v>
      </c>
      <c r="T11" s="1569" t="s">
        <v>8</v>
      </c>
      <c r="U11" s="1570">
        <f t="shared" si="1"/>
        <v>100</v>
      </c>
      <c r="V11" s="1569" t="s">
        <v>8</v>
      </c>
      <c r="W11" s="1570">
        <f t="shared" si="2"/>
        <v>100</v>
      </c>
      <c r="X11" s="1571"/>
      <c r="Y11" s="3294"/>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70"/>
      <c r="Q12" s="1151">
        <f t="shared" si="6"/>
        <v>111</v>
      </c>
      <c r="R12" s="1569" t="s">
        <v>8</v>
      </c>
      <c r="S12" s="1570">
        <f t="shared" si="0"/>
        <v>100</v>
      </c>
      <c r="T12" s="1569" t="s">
        <v>8</v>
      </c>
      <c r="U12" s="1570">
        <f t="shared" si="1"/>
        <v>100</v>
      </c>
      <c r="V12" s="1569" t="s">
        <v>8</v>
      </c>
      <c r="W12" s="1570">
        <f t="shared" si="2"/>
        <v>100</v>
      </c>
      <c r="X12" s="1571"/>
      <c r="Y12" s="3294"/>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70"/>
      <c r="Q13" s="1151">
        <f t="shared" si="6"/>
        <v>111</v>
      </c>
      <c r="R13" s="1569" t="s">
        <v>8</v>
      </c>
      <c r="S13" s="1570">
        <f t="shared" si="0"/>
        <v>100</v>
      </c>
      <c r="T13" s="1569" t="s">
        <v>8</v>
      </c>
      <c r="U13" s="1570">
        <f t="shared" si="1"/>
        <v>100</v>
      </c>
      <c r="V13" s="1569" t="s">
        <v>8</v>
      </c>
      <c r="W13" s="1570">
        <f t="shared" si="2"/>
        <v>100</v>
      </c>
      <c r="X13" s="1571"/>
      <c r="Y13" s="3294"/>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04" t="s">
        <v>540</v>
      </c>
      <c r="Q14" s="1573" t="str">
        <f t="shared" si="6"/>
        <v>交通便捷度</v>
      </c>
      <c r="R14" s="1574" t="s">
        <v>8</v>
      </c>
      <c r="S14" s="1575">
        <f t="shared" si="0"/>
        <v>100</v>
      </c>
      <c r="T14" s="1574" t="s">
        <v>8</v>
      </c>
      <c r="U14" s="1575">
        <f t="shared" si="1"/>
        <v>100</v>
      </c>
      <c r="V14" s="1574" t="s">
        <v>8</v>
      </c>
      <c r="W14" s="1575">
        <f t="shared" si="2"/>
        <v>100</v>
      </c>
      <c r="X14" s="1568"/>
      <c r="Y14" s="340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05"/>
      <c r="Q15" s="1573"/>
      <c r="R15" s="1574"/>
      <c r="S15" s="1575"/>
      <c r="T15" s="1574"/>
      <c r="U15" s="1575"/>
      <c r="V15" s="1574"/>
      <c r="W15" s="1575"/>
      <c r="X15" s="1568"/>
      <c r="Y15" s="3405"/>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05"/>
      <c r="Q16" s="1573" t="str">
        <f>B16</f>
        <v>公共配套设施</v>
      </c>
      <c r="R16" s="1574" t="s">
        <v>8</v>
      </c>
      <c r="S16" s="1575">
        <f>F16</f>
        <v>100</v>
      </c>
      <c r="T16" s="1574" t="s">
        <v>8</v>
      </c>
      <c r="U16" s="1575">
        <f>H16</f>
        <v>100</v>
      </c>
      <c r="V16" s="1574" t="s">
        <v>8</v>
      </c>
      <c r="W16" s="1575">
        <f>J16</f>
        <v>100</v>
      </c>
      <c r="X16" s="1568"/>
      <c r="Y16" s="340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05"/>
      <c r="Q17" s="1573"/>
      <c r="R17" s="1574"/>
      <c r="S17" s="1575"/>
      <c r="T17" s="1574"/>
      <c r="U17" s="1575"/>
      <c r="V17" s="1574"/>
      <c r="W17" s="1575"/>
      <c r="X17" s="1568"/>
      <c r="Y17" s="3405"/>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05"/>
      <c r="Q18" s="2559" t="str">
        <f>B18</f>
        <v>基础设施水平</v>
      </c>
      <c r="R18" s="1574" t="s">
        <v>8</v>
      </c>
      <c r="S18" s="1575">
        <f>F18</f>
        <v>100</v>
      </c>
      <c r="T18" s="1574" t="s">
        <v>8</v>
      </c>
      <c r="U18" s="1575">
        <f>H18</f>
        <v>100</v>
      </c>
      <c r="V18" s="1574" t="s">
        <v>8</v>
      </c>
      <c r="W18" s="1575">
        <f>J18</f>
        <v>100</v>
      </c>
      <c r="X18" s="2561"/>
      <c r="Y18" s="3405"/>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405"/>
      <c r="Q19" s="2559"/>
      <c r="R19" s="1574"/>
      <c r="S19" s="1575"/>
      <c r="T19" s="1574"/>
      <c r="U19" s="1575"/>
      <c r="V19" s="1574"/>
      <c r="W19" s="1575"/>
      <c r="X19" s="2561"/>
      <c r="Y19" s="3405"/>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05"/>
      <c r="Q20" s="1573" t="str">
        <f>B20</f>
        <v>自然及人文环境</v>
      </c>
      <c r="R20" s="1574" t="s">
        <v>8</v>
      </c>
      <c r="S20" s="1575">
        <f>F20</f>
        <v>100</v>
      </c>
      <c r="T20" s="1574" t="s">
        <v>8</v>
      </c>
      <c r="U20" s="1575">
        <f>H20</f>
        <v>100</v>
      </c>
      <c r="V20" s="1574" t="s">
        <v>8</v>
      </c>
      <c r="W20" s="1575">
        <f>J20</f>
        <v>100</v>
      </c>
      <c r="X20" s="1568"/>
      <c r="Y20" s="340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05"/>
      <c r="Q21" s="1573"/>
      <c r="R21" s="1574"/>
      <c r="S21" s="1575"/>
      <c r="T21" s="1574"/>
      <c r="U21" s="1575"/>
      <c r="V21" s="1574"/>
      <c r="W21" s="1575"/>
      <c r="X21" s="1568"/>
      <c r="Y21" s="340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05"/>
      <c r="Q22" s="1573" t="str">
        <f>B22</f>
        <v>楼层</v>
      </c>
      <c r="R22" s="1574" t="s">
        <v>8</v>
      </c>
      <c r="S22" s="1575">
        <f>F22</f>
        <v>100</v>
      </c>
      <c r="T22" s="1574" t="s">
        <v>8</v>
      </c>
      <c r="U22" s="1575">
        <f>H22</f>
        <v>100</v>
      </c>
      <c r="V22" s="1574" t="s">
        <v>8</v>
      </c>
      <c r="W22" s="1575">
        <f>J22</f>
        <v>100</v>
      </c>
      <c r="X22" s="1568"/>
      <c r="Y22" s="340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05"/>
      <c r="Q23" s="1573">
        <f>B23</f>
        <v>111</v>
      </c>
      <c r="R23" s="1574" t="s">
        <v>8</v>
      </c>
      <c r="S23" s="1575">
        <f>F23</f>
        <v>100</v>
      </c>
      <c r="T23" s="1574" t="s">
        <v>8</v>
      </c>
      <c r="U23" s="1575">
        <f>H23</f>
        <v>100</v>
      </c>
      <c r="V23" s="1574" t="s">
        <v>8</v>
      </c>
      <c r="W23" s="1575">
        <f>J23</f>
        <v>100</v>
      </c>
      <c r="X23" s="1568"/>
      <c r="Y23" s="340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05"/>
      <c r="Q24" s="1573">
        <f t="shared" ref="Q24:Q36" si="11">B24</f>
        <v>111</v>
      </c>
      <c r="R24" s="1574" t="s">
        <v>8</v>
      </c>
      <c r="S24" s="1575">
        <f>F24</f>
        <v>100</v>
      </c>
      <c r="T24" s="1574" t="s">
        <v>8</v>
      </c>
      <c r="U24" s="1575">
        <f>H24</f>
        <v>100</v>
      </c>
      <c r="V24" s="1574" t="s">
        <v>8</v>
      </c>
      <c r="W24" s="1575">
        <f>J24</f>
        <v>100</v>
      </c>
      <c r="X24" s="1568"/>
      <c r="Y24" s="340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05"/>
      <c r="Q25" s="1151">
        <f t="shared" si="11"/>
        <v>111</v>
      </c>
      <c r="R25" s="1569" t="s">
        <v>8</v>
      </c>
      <c r="S25" s="1570">
        <f>F25</f>
        <v>100</v>
      </c>
      <c r="T25" s="1569" t="s">
        <v>8</v>
      </c>
      <c r="U25" s="1570">
        <f>H25</f>
        <v>100</v>
      </c>
      <c r="V25" s="1569" t="s">
        <v>8</v>
      </c>
      <c r="W25" s="1570">
        <f>J25</f>
        <v>100</v>
      </c>
      <c r="X25" s="1571"/>
      <c r="Y25" s="3405"/>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0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7"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07"/>
      <c r="Q27" s="1606" t="str">
        <f t="shared" si="11"/>
        <v>项目停车位配比</v>
      </c>
      <c r="R27" s="1578" t="s">
        <v>8</v>
      </c>
      <c r="S27" s="1579">
        <f t="shared" si="12"/>
        <v>100</v>
      </c>
      <c r="T27" s="1578" t="s">
        <v>8</v>
      </c>
      <c r="U27" s="1579">
        <f t="shared" si="13"/>
        <v>100</v>
      </c>
      <c r="V27" s="1578" t="s">
        <v>8</v>
      </c>
      <c r="W27" s="1579">
        <f t="shared" si="14"/>
        <v>100</v>
      </c>
      <c r="X27" s="1580"/>
      <c r="Y27" s="3407"/>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07"/>
      <c r="Q28" s="1573" t="str">
        <f t="shared" si="11"/>
        <v>公共部分装修</v>
      </c>
      <c r="R28" s="1574" t="s">
        <v>8</v>
      </c>
      <c r="S28" s="1575">
        <f t="shared" si="12"/>
        <v>100</v>
      </c>
      <c r="T28" s="1574" t="s">
        <v>8</v>
      </c>
      <c r="U28" s="1575">
        <f t="shared" si="13"/>
        <v>100</v>
      </c>
      <c r="V28" s="1574" t="s">
        <v>8</v>
      </c>
      <c r="W28" s="1575">
        <f t="shared" si="14"/>
        <v>100</v>
      </c>
      <c r="X28" s="1568"/>
      <c r="Y28" s="3407"/>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07"/>
      <c r="Q29" s="1573" t="str">
        <f t="shared" si="11"/>
        <v>成新率</v>
      </c>
      <c r="R29" s="1574" t="s">
        <v>8</v>
      </c>
      <c r="S29" s="1575" t="e">
        <f t="shared" si="12"/>
        <v>#N/A</v>
      </c>
      <c r="T29" s="1574" t="s">
        <v>8</v>
      </c>
      <c r="U29" s="1575" t="e">
        <f t="shared" si="13"/>
        <v>#N/A</v>
      </c>
      <c r="V29" s="1574" t="s">
        <v>8</v>
      </c>
      <c r="W29" s="1575" t="e">
        <f t="shared" si="14"/>
        <v>#N/A</v>
      </c>
      <c r="X29" s="1568"/>
      <c r="Y29" s="3407"/>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07"/>
      <c r="Q30" s="1573" t="str">
        <f t="shared" si="11"/>
        <v>物业等级</v>
      </c>
      <c r="R30" s="1574" t="s">
        <v>8</v>
      </c>
      <c r="S30" s="1575">
        <f t="shared" si="12"/>
        <v>100</v>
      </c>
      <c r="T30" s="1574" t="s">
        <v>8</v>
      </c>
      <c r="U30" s="1575">
        <f t="shared" si="13"/>
        <v>100</v>
      </c>
      <c r="V30" s="1574" t="s">
        <v>8</v>
      </c>
      <c r="W30" s="1575">
        <f t="shared" si="14"/>
        <v>100</v>
      </c>
      <c r="X30" s="1568"/>
      <c r="Y30" s="3407"/>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07"/>
      <c r="Q31" s="1151" t="str">
        <f t="shared" si="11"/>
        <v>停车位面积</v>
      </c>
      <c r="R31" s="1569" t="s">
        <v>8</v>
      </c>
      <c r="S31" s="1570" t="e">
        <f t="shared" si="12"/>
        <v>#N/A</v>
      </c>
      <c r="T31" s="1569" t="s">
        <v>8</v>
      </c>
      <c r="U31" s="1570" t="e">
        <f t="shared" si="13"/>
        <v>#N/A</v>
      </c>
      <c r="V31" s="1569" t="s">
        <v>8</v>
      </c>
      <c r="W31" s="1570" t="e">
        <f t="shared" si="14"/>
        <v>#N/A</v>
      </c>
      <c r="X31" s="1571"/>
      <c r="Y31" s="3407"/>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07" t="s">
        <v>550</v>
      </c>
      <c r="Q32" s="1573" t="str">
        <f t="shared" si="11"/>
        <v>车位类型</v>
      </c>
      <c r="R32" s="1574" t="s">
        <v>8</v>
      </c>
      <c r="S32" s="1575">
        <f t="shared" si="12"/>
        <v>100</v>
      </c>
      <c r="T32" s="1574" t="s">
        <v>8</v>
      </c>
      <c r="U32" s="1575">
        <f t="shared" si="13"/>
        <v>100</v>
      </c>
      <c r="V32" s="1574" t="s">
        <v>8</v>
      </c>
      <c r="W32" s="1575">
        <f t="shared" si="14"/>
        <v>100</v>
      </c>
      <c r="X32" s="1568"/>
      <c r="Y32" s="3407"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07"/>
      <c r="Q33" s="1573" t="str">
        <f t="shared" si="11"/>
        <v>是否直接入户</v>
      </c>
      <c r="R33" s="1574" t="s">
        <v>8</v>
      </c>
      <c r="S33" s="1575">
        <f t="shared" si="12"/>
        <v>100</v>
      </c>
      <c r="T33" s="1574" t="s">
        <v>8</v>
      </c>
      <c r="U33" s="1575">
        <f t="shared" si="13"/>
        <v>100</v>
      </c>
      <c r="V33" s="1574" t="s">
        <v>8</v>
      </c>
      <c r="W33" s="1575">
        <f t="shared" si="14"/>
        <v>100</v>
      </c>
      <c r="X33" s="1568"/>
      <c r="Y33" s="340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07"/>
      <c r="Q34" s="1573">
        <f t="shared" si="11"/>
        <v>111</v>
      </c>
      <c r="R34" s="1574" t="s">
        <v>8</v>
      </c>
      <c r="S34" s="1575">
        <f t="shared" si="12"/>
        <v>100</v>
      </c>
      <c r="T34" s="1574" t="s">
        <v>8</v>
      </c>
      <c r="U34" s="1575">
        <f t="shared" si="13"/>
        <v>100</v>
      </c>
      <c r="V34" s="1574" t="s">
        <v>8</v>
      </c>
      <c r="W34" s="1575">
        <f t="shared" si="14"/>
        <v>100</v>
      </c>
      <c r="X34" s="1568"/>
      <c r="Y34" s="340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07"/>
      <c r="Q35" s="1606">
        <f t="shared" si="11"/>
        <v>111</v>
      </c>
      <c r="R35" s="1578" t="s">
        <v>8</v>
      </c>
      <c r="S35" s="1579">
        <f t="shared" si="12"/>
        <v>100</v>
      </c>
      <c r="T35" s="1578" t="s">
        <v>8</v>
      </c>
      <c r="U35" s="1579">
        <f t="shared" si="13"/>
        <v>100</v>
      </c>
      <c r="V35" s="1578" t="s">
        <v>8</v>
      </c>
      <c r="W35" s="1579">
        <f t="shared" si="14"/>
        <v>100</v>
      </c>
      <c r="X35" s="1580"/>
      <c r="Y35" s="340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07"/>
      <c r="Q36" s="1573">
        <f t="shared" si="11"/>
        <v>111</v>
      </c>
      <c r="R36" s="1574" t="s">
        <v>8</v>
      </c>
      <c r="S36" s="1575">
        <f t="shared" si="12"/>
        <v>100</v>
      </c>
      <c r="T36" s="1574" t="s">
        <v>8</v>
      </c>
      <c r="U36" s="1575">
        <f t="shared" si="13"/>
        <v>100</v>
      </c>
      <c r="V36" s="1574" t="s">
        <v>8</v>
      </c>
      <c r="W36" s="1575">
        <f t="shared" si="14"/>
        <v>100</v>
      </c>
      <c r="X36" s="1568"/>
      <c r="Y36" s="3407"/>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70" t="str">
        <f>A37</f>
        <v>成交单价</v>
      </c>
      <c r="Q37" s="3370"/>
      <c r="R37" s="3466">
        <f>E37</f>
        <v>0</v>
      </c>
      <c r="S37" s="3466"/>
      <c r="T37" s="3466">
        <f>G37</f>
        <v>0</v>
      </c>
      <c r="U37" s="3466"/>
      <c r="V37" s="3466">
        <f>I37</f>
        <v>0</v>
      </c>
      <c r="W37" s="3466"/>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70" t="str">
        <f>A38</f>
        <v>比较价格（元/平方米）</v>
      </c>
      <c r="Q38" s="3370"/>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1560"/>
      <c r="Y38" s="1560"/>
      <c r="Z38" s="1560"/>
      <c r="AA38" s="1560"/>
      <c r="AB38" s="1560"/>
      <c r="AC38" s="1560"/>
    </row>
    <row r="39" spans="1:29" ht="15.75" thickBot="1">
      <c r="A39" s="621" t="s">
        <v>2935</v>
      </c>
      <c r="B39" s="622"/>
      <c r="C39" s="2616" t="e">
        <f>R39</f>
        <v>#DIV/0!</v>
      </c>
      <c r="D39" s="2616"/>
      <c r="E39" s="2616"/>
      <c r="F39" s="2616"/>
      <c r="G39" s="2616"/>
      <c r="H39" s="2616"/>
      <c r="I39" s="2616"/>
      <c r="J39" s="2616"/>
      <c r="K39" s="1614"/>
      <c r="L39" s="2145"/>
      <c r="M39" s="2146"/>
      <c r="N39" s="2146"/>
      <c r="O39" s="2146"/>
      <c r="P39" s="3367" t="str">
        <f>A39</f>
        <v>估价对象XX用房的比较价格（楼面单价，元/平方米）</v>
      </c>
      <c r="Q39" s="3368"/>
      <c r="R39" s="3465" t="e">
        <f>IF(F1="售价",ROUND(AVERAGE(R38:V38),0),ROUND(AVERAGE(R38:V38),1))</f>
        <v>#DIV/0!</v>
      </c>
      <c r="S39" s="3465"/>
      <c r="T39" s="3465"/>
      <c r="U39" s="3465"/>
      <c r="V39" s="3465"/>
      <c r="W39" s="3465"/>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6">EDATE(D48,-1)</f>
        <v>43466</v>
      </c>
      <c r="F48" s="2783">
        <f t="shared" si="16"/>
        <v>43435</v>
      </c>
      <c r="G48" s="2783">
        <f t="shared" si="16"/>
        <v>43405</v>
      </c>
      <c r="H48" s="2783">
        <f t="shared" si="16"/>
        <v>43374</v>
      </c>
      <c r="I48" s="2783">
        <f t="shared" si="16"/>
        <v>43344</v>
      </c>
      <c r="J48" s="2783">
        <f t="shared" si="16"/>
        <v>43313</v>
      </c>
      <c r="K48" s="2783">
        <f t="shared" si="16"/>
        <v>43282</v>
      </c>
      <c r="L48" s="2783">
        <f t="shared" si="16"/>
        <v>43252</v>
      </c>
      <c r="M48" s="2783">
        <f t="shared" si="16"/>
        <v>43221</v>
      </c>
      <c r="N48" s="2783">
        <f t="shared" si="16"/>
        <v>43191</v>
      </c>
      <c r="O48" s="2783">
        <f t="shared" si="16"/>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6" t="s">
        <v>798</v>
      </c>
      <c r="D4" s="3377"/>
      <c r="E4" s="3410" t="s">
        <v>799</v>
      </c>
      <c r="F4" s="3411"/>
      <c r="G4" s="3376" t="s">
        <v>800</v>
      </c>
      <c r="H4" s="3377"/>
      <c r="I4" s="3376" t="s">
        <v>801</v>
      </c>
      <c r="J4" s="3377"/>
      <c r="K4" s="514" t="s">
        <v>802</v>
      </c>
      <c r="L4" s="2134"/>
      <c r="M4" s="2135"/>
      <c r="N4" s="2135"/>
      <c r="O4" s="2135"/>
      <c r="P4" s="3378" t="s">
        <v>803</v>
      </c>
      <c r="Q4" s="3379"/>
      <c r="R4" s="3384" t="s">
        <v>799</v>
      </c>
      <c r="S4" s="3385"/>
      <c r="T4" s="3384" t="s">
        <v>800</v>
      </c>
      <c r="U4" s="3385"/>
      <c r="V4" s="3371" t="s">
        <v>801</v>
      </c>
      <c r="W4" s="3371"/>
      <c r="X4" s="1568"/>
      <c r="Y4" s="3384" t="s">
        <v>803</v>
      </c>
      <c r="Z4" s="3385"/>
      <c r="AA4" s="3373" t="s">
        <v>799</v>
      </c>
      <c r="AB4" s="3374" t="s">
        <v>800</v>
      </c>
      <c r="AC4" s="3373" t="s">
        <v>801</v>
      </c>
    </row>
    <row r="5" spans="1:29" ht="15">
      <c r="A5" s="515"/>
      <c r="B5" s="516"/>
      <c r="C5" s="3392" t="s">
        <v>2929</v>
      </c>
      <c r="D5" s="3393"/>
      <c r="E5" s="3412" t="s">
        <v>2930</v>
      </c>
      <c r="F5" s="3413"/>
      <c r="G5" s="3392" t="s">
        <v>2931</v>
      </c>
      <c r="H5" s="3393"/>
      <c r="I5" s="3392" t="s">
        <v>2932</v>
      </c>
      <c r="J5" s="3393"/>
      <c r="K5" s="514"/>
      <c r="L5" s="2134"/>
      <c r="M5" s="2135"/>
      <c r="N5" s="2135"/>
      <c r="O5" s="2135"/>
      <c r="P5" s="3380"/>
      <c r="Q5" s="3381"/>
      <c r="R5" s="3386"/>
      <c r="S5" s="3387"/>
      <c r="T5" s="3386"/>
      <c r="U5" s="3387"/>
      <c r="V5" s="3371"/>
      <c r="W5" s="3371"/>
      <c r="X5" s="1568"/>
      <c r="Y5" s="3386"/>
      <c r="Z5" s="3387"/>
      <c r="AA5" s="3374"/>
      <c r="AB5" s="3374"/>
      <c r="AC5" s="3374"/>
    </row>
    <row r="6" spans="1:29" ht="15.75" thickBot="1">
      <c r="A6" s="517"/>
      <c r="B6" s="518"/>
      <c r="C6" s="3390" t="s">
        <v>2933</v>
      </c>
      <c r="D6" s="3391"/>
      <c r="E6" s="3408" t="s">
        <v>2933</v>
      </c>
      <c r="F6" s="3409"/>
      <c r="G6" s="3390" t="s">
        <v>2933</v>
      </c>
      <c r="H6" s="3391"/>
      <c r="I6" s="3390" t="s">
        <v>2933</v>
      </c>
      <c r="J6" s="3391"/>
      <c r="K6" s="514" t="s">
        <v>528</v>
      </c>
      <c r="L6" s="2134"/>
      <c r="M6" s="2135"/>
      <c r="N6" s="2135"/>
      <c r="O6" s="2135"/>
      <c r="P6" s="3382"/>
      <c r="Q6" s="3383"/>
      <c r="R6" s="3386"/>
      <c r="S6" s="3387"/>
      <c r="T6" s="3388"/>
      <c r="U6" s="3389"/>
      <c r="V6" s="3371"/>
      <c r="W6" s="3371"/>
      <c r="X6" s="1568"/>
      <c r="Y6" s="3388"/>
      <c r="Z6" s="3389"/>
      <c r="AA6" s="3375"/>
      <c r="AB6" s="3375"/>
      <c r="AC6" s="3375"/>
    </row>
    <row r="7" spans="1:29" s="1220" customFormat="1" ht="15.75" thickBot="1">
      <c r="A7" s="2891"/>
      <c r="B7" s="2898" t="s">
        <v>529</v>
      </c>
      <c r="C7" s="519">
        <f>'数据-取费表'!B2</f>
        <v>43544</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01" t="s">
        <v>530</v>
      </c>
      <c r="Q7" s="3403"/>
      <c r="R7" s="1569" t="s">
        <v>8</v>
      </c>
      <c r="S7" s="1570">
        <f t="shared" ref="S7:S14" si="0">F7</f>
        <v>0</v>
      </c>
      <c r="T7" s="1569" t="s">
        <v>8</v>
      </c>
      <c r="U7" s="1570">
        <f t="shared" ref="U7:U14" si="1">H7</f>
        <v>0</v>
      </c>
      <c r="V7" s="1569" t="s">
        <v>8</v>
      </c>
      <c r="W7" s="1570">
        <f t="shared" ref="W7:W14" si="2">J7</f>
        <v>0</v>
      </c>
      <c r="X7" s="1571"/>
      <c r="Y7" s="3401" t="s">
        <v>530</v>
      </c>
      <c r="Z7" s="3402"/>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01" t="s">
        <v>533</v>
      </c>
      <c r="Q8" s="3402"/>
      <c r="R8" s="1569" t="s">
        <v>8</v>
      </c>
      <c r="S8" s="1570">
        <f t="shared" si="0"/>
        <v>0</v>
      </c>
      <c r="T8" s="1569" t="s">
        <v>8</v>
      </c>
      <c r="U8" s="1570">
        <f t="shared" si="1"/>
        <v>0</v>
      </c>
      <c r="V8" s="1569" t="s">
        <v>8</v>
      </c>
      <c r="W8" s="1570">
        <f t="shared" si="2"/>
        <v>0</v>
      </c>
      <c r="X8" s="1571"/>
      <c r="Y8" s="3401" t="s">
        <v>533</v>
      </c>
      <c r="Z8" s="3402"/>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70" t="s">
        <v>535</v>
      </c>
      <c r="Q9" s="1151" t="str">
        <f t="shared" ref="Q9:Q14" si="6">B9</f>
        <v>用途</v>
      </c>
      <c r="R9" s="1569" t="s">
        <v>8</v>
      </c>
      <c r="S9" s="1570">
        <f t="shared" si="0"/>
        <v>100</v>
      </c>
      <c r="T9" s="1569" t="s">
        <v>8</v>
      </c>
      <c r="U9" s="1570">
        <f t="shared" si="1"/>
        <v>100</v>
      </c>
      <c r="V9" s="1569" t="s">
        <v>8</v>
      </c>
      <c r="W9" s="1570">
        <f t="shared" si="2"/>
        <v>100</v>
      </c>
      <c r="X9" s="1571"/>
      <c r="Y9" s="3294"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70"/>
      <c r="Q10" s="1151" t="str">
        <f t="shared" si="6"/>
        <v>土地使用年限（年）</v>
      </c>
      <c r="R10" s="1569" t="s">
        <v>8</v>
      </c>
      <c r="S10" s="1570">
        <f t="shared" si="0"/>
        <v>100</v>
      </c>
      <c r="T10" s="1569" t="s">
        <v>8</v>
      </c>
      <c r="U10" s="1570">
        <f t="shared" si="1"/>
        <v>100</v>
      </c>
      <c r="V10" s="1569" t="s">
        <v>8</v>
      </c>
      <c r="W10" s="1570">
        <f t="shared" si="2"/>
        <v>100</v>
      </c>
      <c r="X10" s="1571"/>
      <c r="Y10" s="3294"/>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70"/>
      <c r="Q11" s="1151">
        <f t="shared" si="6"/>
        <v>111</v>
      </c>
      <c r="R11" s="1569" t="s">
        <v>8</v>
      </c>
      <c r="S11" s="1570">
        <f t="shared" si="0"/>
        <v>100</v>
      </c>
      <c r="T11" s="1569" t="s">
        <v>8</v>
      </c>
      <c r="U11" s="1570">
        <f t="shared" si="1"/>
        <v>100</v>
      </c>
      <c r="V11" s="1569" t="s">
        <v>8</v>
      </c>
      <c r="W11" s="1570">
        <f t="shared" si="2"/>
        <v>100</v>
      </c>
      <c r="X11" s="1571"/>
      <c r="Y11" s="3294"/>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70"/>
      <c r="Q12" s="1151">
        <f t="shared" si="6"/>
        <v>111</v>
      </c>
      <c r="R12" s="1569" t="s">
        <v>8</v>
      </c>
      <c r="S12" s="1570">
        <f t="shared" si="0"/>
        <v>100</v>
      </c>
      <c r="T12" s="1569" t="s">
        <v>8</v>
      </c>
      <c r="U12" s="1570">
        <f t="shared" si="1"/>
        <v>100</v>
      </c>
      <c r="V12" s="1569" t="s">
        <v>8</v>
      </c>
      <c r="W12" s="1570">
        <f t="shared" si="2"/>
        <v>100</v>
      </c>
      <c r="X12" s="1571"/>
      <c r="Y12" s="3294"/>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70"/>
      <c r="Q13" s="1151">
        <f t="shared" si="6"/>
        <v>111</v>
      </c>
      <c r="R13" s="1569" t="s">
        <v>8</v>
      </c>
      <c r="S13" s="1570">
        <f t="shared" si="0"/>
        <v>100</v>
      </c>
      <c r="T13" s="1569" t="s">
        <v>8</v>
      </c>
      <c r="U13" s="1570">
        <f t="shared" si="1"/>
        <v>100</v>
      </c>
      <c r="V13" s="1569" t="s">
        <v>8</v>
      </c>
      <c r="W13" s="1570">
        <f t="shared" si="2"/>
        <v>100</v>
      </c>
      <c r="X13" s="1571"/>
      <c r="Y13" s="3294"/>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04" t="s">
        <v>540</v>
      </c>
      <c r="Q14" s="1573" t="str">
        <f t="shared" si="6"/>
        <v>交通便捷度</v>
      </c>
      <c r="R14" s="1574" t="s">
        <v>8</v>
      </c>
      <c r="S14" s="1575">
        <f t="shared" si="0"/>
        <v>100</v>
      </c>
      <c r="T14" s="1574" t="s">
        <v>8</v>
      </c>
      <c r="U14" s="1575">
        <f t="shared" si="1"/>
        <v>100</v>
      </c>
      <c r="V14" s="1574" t="s">
        <v>8</v>
      </c>
      <c r="W14" s="1575">
        <f t="shared" si="2"/>
        <v>100</v>
      </c>
      <c r="X14" s="1568"/>
      <c r="Y14" s="340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05"/>
      <c r="Q15" s="1573"/>
      <c r="R15" s="1574"/>
      <c r="S15" s="1575"/>
      <c r="T15" s="1574"/>
      <c r="U15" s="1575"/>
      <c r="V15" s="1574"/>
      <c r="W15" s="1575"/>
      <c r="X15" s="1568"/>
      <c r="Y15" s="3405"/>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05"/>
      <c r="Q16" s="1573" t="str">
        <f>B16</f>
        <v>公共配套设施</v>
      </c>
      <c r="R16" s="1574" t="s">
        <v>8</v>
      </c>
      <c r="S16" s="1575">
        <f>F16</f>
        <v>100</v>
      </c>
      <c r="T16" s="1574" t="s">
        <v>8</v>
      </c>
      <c r="U16" s="1575">
        <f>H16</f>
        <v>100</v>
      </c>
      <c r="V16" s="1574" t="s">
        <v>8</v>
      </c>
      <c r="W16" s="1575">
        <f>J16</f>
        <v>100</v>
      </c>
      <c r="X16" s="1568"/>
      <c r="Y16" s="340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05"/>
      <c r="Q17" s="1573"/>
      <c r="R17" s="1574"/>
      <c r="S17" s="1575"/>
      <c r="T17" s="1574"/>
      <c r="U17" s="1575"/>
      <c r="V17" s="1574"/>
      <c r="W17" s="1575"/>
      <c r="X17" s="1568"/>
      <c r="Y17" s="3405"/>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05"/>
      <c r="Q18" s="2559" t="str">
        <f>B18</f>
        <v>基础设施水平</v>
      </c>
      <c r="R18" s="1574" t="s">
        <v>8</v>
      </c>
      <c r="S18" s="1575">
        <f>F18</f>
        <v>100</v>
      </c>
      <c r="T18" s="1574" t="s">
        <v>8</v>
      </c>
      <c r="U18" s="1575">
        <f>H18</f>
        <v>100</v>
      </c>
      <c r="V18" s="1574" t="s">
        <v>8</v>
      </c>
      <c r="W18" s="1575">
        <f>J18</f>
        <v>100</v>
      </c>
      <c r="X18" s="2561"/>
      <c r="Y18" s="3405"/>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405"/>
      <c r="Q19" s="2559"/>
      <c r="R19" s="1574"/>
      <c r="S19" s="1575"/>
      <c r="T19" s="1574"/>
      <c r="U19" s="1575"/>
      <c r="V19" s="1574"/>
      <c r="W19" s="1575"/>
      <c r="X19" s="2561"/>
      <c r="Y19" s="3405"/>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05"/>
      <c r="Q20" s="1573" t="str">
        <f>B20</f>
        <v>自然及人文环境</v>
      </c>
      <c r="R20" s="1574" t="s">
        <v>8</v>
      </c>
      <c r="S20" s="1575">
        <f>F20</f>
        <v>100</v>
      </c>
      <c r="T20" s="1574" t="s">
        <v>8</v>
      </c>
      <c r="U20" s="1575">
        <f>H20</f>
        <v>100</v>
      </c>
      <c r="V20" s="1574" t="s">
        <v>8</v>
      </c>
      <c r="W20" s="1575">
        <f>J20</f>
        <v>100</v>
      </c>
      <c r="X20" s="1568"/>
      <c r="Y20" s="340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05"/>
      <c r="Q21" s="1573"/>
      <c r="R21" s="1574"/>
      <c r="S21" s="1575"/>
      <c r="T21" s="1574"/>
      <c r="U21" s="1575"/>
      <c r="V21" s="1574"/>
      <c r="W21" s="1575"/>
      <c r="X21" s="1568"/>
      <c r="Y21" s="340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05"/>
      <c r="Q22" s="1573" t="str">
        <f>B22</f>
        <v>楼层</v>
      </c>
      <c r="R22" s="1574" t="s">
        <v>8</v>
      </c>
      <c r="S22" s="1575">
        <f>F22</f>
        <v>100</v>
      </c>
      <c r="T22" s="1574" t="s">
        <v>8</v>
      </c>
      <c r="U22" s="1575">
        <f>H22</f>
        <v>100</v>
      </c>
      <c r="V22" s="1574" t="s">
        <v>8</v>
      </c>
      <c r="W22" s="1575">
        <f>J22</f>
        <v>100</v>
      </c>
      <c r="X22" s="1568"/>
      <c r="Y22" s="340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05"/>
      <c r="Q23" s="1573">
        <f>B23</f>
        <v>111</v>
      </c>
      <c r="R23" s="1574" t="s">
        <v>8</v>
      </c>
      <c r="S23" s="1575">
        <f>F23</f>
        <v>100</v>
      </c>
      <c r="T23" s="1574" t="s">
        <v>8</v>
      </c>
      <c r="U23" s="1575">
        <f>H23</f>
        <v>100</v>
      </c>
      <c r="V23" s="1574" t="s">
        <v>8</v>
      </c>
      <c r="W23" s="1575">
        <f>J23</f>
        <v>100</v>
      </c>
      <c r="X23" s="1568"/>
      <c r="Y23" s="340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05"/>
      <c r="Q24" s="1573">
        <f t="shared" ref="Q24:Q34" si="11">B24</f>
        <v>111</v>
      </c>
      <c r="R24" s="1574" t="s">
        <v>8</v>
      </c>
      <c r="S24" s="1575">
        <f>F24</f>
        <v>100</v>
      </c>
      <c r="T24" s="1574" t="s">
        <v>8</v>
      </c>
      <c r="U24" s="1575">
        <f>H24</f>
        <v>100</v>
      </c>
      <c r="V24" s="1574" t="s">
        <v>8</v>
      </c>
      <c r="W24" s="1575">
        <f>J24</f>
        <v>100</v>
      </c>
      <c r="X24" s="1568"/>
      <c r="Y24" s="340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05"/>
      <c r="Q25" s="1151">
        <f t="shared" si="11"/>
        <v>111</v>
      </c>
      <c r="R25" s="1569" t="s">
        <v>8</v>
      </c>
      <c r="S25" s="1570">
        <f>F25</f>
        <v>100</v>
      </c>
      <c r="T25" s="1569" t="s">
        <v>8</v>
      </c>
      <c r="U25" s="1570">
        <f>H25</f>
        <v>100</v>
      </c>
      <c r="V25" s="1569" t="s">
        <v>8</v>
      </c>
      <c r="W25" s="1570">
        <f>J25</f>
        <v>100</v>
      </c>
      <c r="X25" s="1571"/>
      <c r="Y25" s="3405"/>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06"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7"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07"/>
      <c r="Q27" s="1606" t="str">
        <f t="shared" si="11"/>
        <v>成新率</v>
      </c>
      <c r="R27" s="1578" t="s">
        <v>8</v>
      </c>
      <c r="S27" s="1579" t="e">
        <f t="shared" si="12"/>
        <v>#N/A</v>
      </c>
      <c r="T27" s="1578" t="s">
        <v>8</v>
      </c>
      <c r="U27" s="1579" t="e">
        <f t="shared" si="13"/>
        <v>#N/A</v>
      </c>
      <c r="V27" s="1578" t="s">
        <v>8</v>
      </c>
      <c r="W27" s="1579" t="e">
        <f t="shared" si="14"/>
        <v>#N/A</v>
      </c>
      <c r="X27" s="1580"/>
      <c r="Y27" s="3407"/>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07"/>
      <c r="Q28" s="1573" t="str">
        <f t="shared" si="11"/>
        <v>物业等级</v>
      </c>
      <c r="R28" s="1574" t="s">
        <v>8</v>
      </c>
      <c r="S28" s="1575">
        <f t="shared" si="12"/>
        <v>100</v>
      </c>
      <c r="T28" s="1574" t="s">
        <v>8</v>
      </c>
      <c r="U28" s="1575">
        <f t="shared" si="13"/>
        <v>100</v>
      </c>
      <c r="V28" s="1574" t="s">
        <v>8</v>
      </c>
      <c r="W28" s="1575">
        <f t="shared" si="14"/>
        <v>100</v>
      </c>
      <c r="X28" s="1568"/>
      <c r="Y28" s="3407"/>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07"/>
      <c r="Q29" s="1573" t="str">
        <f t="shared" si="11"/>
        <v>有无电梯</v>
      </c>
      <c r="R29" s="1574" t="s">
        <v>8</v>
      </c>
      <c r="S29" s="1575">
        <f t="shared" si="12"/>
        <v>100</v>
      </c>
      <c r="T29" s="1574" t="s">
        <v>8</v>
      </c>
      <c r="U29" s="1575">
        <f t="shared" si="13"/>
        <v>100</v>
      </c>
      <c r="V29" s="1574" t="s">
        <v>8</v>
      </c>
      <c r="W29" s="1575">
        <f t="shared" si="14"/>
        <v>100</v>
      </c>
      <c r="X29" s="1568"/>
      <c r="Y29" s="3407"/>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07"/>
      <c r="Q30" s="1573" t="str">
        <f t="shared" si="11"/>
        <v>建筑面积</v>
      </c>
      <c r="R30" s="1574" t="s">
        <v>8</v>
      </c>
      <c r="S30" s="1575" t="e">
        <f t="shared" si="12"/>
        <v>#N/A</v>
      </c>
      <c r="T30" s="1574" t="s">
        <v>8</v>
      </c>
      <c r="U30" s="1575" t="e">
        <f t="shared" si="13"/>
        <v>#N/A</v>
      </c>
      <c r="V30" s="1574" t="s">
        <v>8</v>
      </c>
      <c r="W30" s="1575" t="e">
        <f t="shared" si="14"/>
        <v>#N/A</v>
      </c>
      <c r="X30" s="1568"/>
      <c r="Y30" s="3407"/>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07"/>
      <c r="Q31" s="1151" t="str">
        <f t="shared" si="11"/>
        <v>是否封闭</v>
      </c>
      <c r="R31" s="1569" t="s">
        <v>8</v>
      </c>
      <c r="S31" s="1570">
        <f t="shared" si="12"/>
        <v>100</v>
      </c>
      <c r="T31" s="1569" t="s">
        <v>8</v>
      </c>
      <c r="U31" s="1570">
        <f t="shared" si="13"/>
        <v>100</v>
      </c>
      <c r="V31" s="1569" t="s">
        <v>8</v>
      </c>
      <c r="W31" s="1570">
        <f t="shared" si="14"/>
        <v>100</v>
      </c>
      <c r="X31" s="1571"/>
      <c r="Y31" s="340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07" t="s">
        <v>550</v>
      </c>
      <c r="Q32" s="1573">
        <f t="shared" si="11"/>
        <v>111</v>
      </c>
      <c r="R32" s="1574" t="s">
        <v>8</v>
      </c>
      <c r="S32" s="1575">
        <f t="shared" si="12"/>
        <v>100</v>
      </c>
      <c r="T32" s="1574" t="s">
        <v>8</v>
      </c>
      <c r="U32" s="1575">
        <f t="shared" si="13"/>
        <v>100</v>
      </c>
      <c r="V32" s="1574" t="s">
        <v>8</v>
      </c>
      <c r="W32" s="1575">
        <f t="shared" si="14"/>
        <v>100</v>
      </c>
      <c r="X32" s="1568"/>
      <c r="Y32" s="340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07"/>
      <c r="Q33" s="1573">
        <f t="shared" si="11"/>
        <v>111</v>
      </c>
      <c r="R33" s="1574" t="s">
        <v>8</v>
      </c>
      <c r="S33" s="1575">
        <f t="shared" si="12"/>
        <v>100</v>
      </c>
      <c r="T33" s="1574" t="s">
        <v>8</v>
      </c>
      <c r="U33" s="1575">
        <f t="shared" si="13"/>
        <v>100</v>
      </c>
      <c r="V33" s="1574" t="s">
        <v>8</v>
      </c>
      <c r="W33" s="1575">
        <f t="shared" si="14"/>
        <v>100</v>
      </c>
      <c r="X33" s="1568"/>
      <c r="Y33" s="340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07"/>
      <c r="Q34" s="1573">
        <f t="shared" si="11"/>
        <v>111</v>
      </c>
      <c r="R34" s="1574" t="s">
        <v>8</v>
      </c>
      <c r="S34" s="1575">
        <f t="shared" si="12"/>
        <v>100</v>
      </c>
      <c r="T34" s="1574" t="s">
        <v>8</v>
      </c>
      <c r="U34" s="1575">
        <f t="shared" si="13"/>
        <v>100</v>
      </c>
      <c r="V34" s="1574" t="s">
        <v>8</v>
      </c>
      <c r="W34" s="1575">
        <f t="shared" si="14"/>
        <v>100</v>
      </c>
      <c r="X34" s="1568"/>
      <c r="Y34" s="3407"/>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70" t="str">
        <f>A35</f>
        <v>成交单价（元/平方米）</v>
      </c>
      <c r="Q35" s="3370"/>
      <c r="R35" s="3466">
        <f>E35</f>
        <v>0</v>
      </c>
      <c r="S35" s="3466"/>
      <c r="T35" s="3466">
        <f>G35</f>
        <v>0</v>
      </c>
      <c r="U35" s="3466"/>
      <c r="V35" s="3466">
        <f>I35</f>
        <v>0</v>
      </c>
      <c r="W35" s="3466"/>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70" t="str">
        <f>A36</f>
        <v>比较价格（元/平方米）</v>
      </c>
      <c r="Q36" s="3370"/>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1560"/>
      <c r="Y36" s="1560"/>
      <c r="Z36" s="1560"/>
      <c r="AA36" s="1560"/>
      <c r="AB36" s="1560"/>
      <c r="AC36" s="1560"/>
    </row>
    <row r="37" spans="1:29" ht="15.75" thickBot="1">
      <c r="A37" s="621" t="s">
        <v>2935</v>
      </c>
      <c r="B37" s="622"/>
      <c r="C37" s="2616" t="e">
        <f>R37</f>
        <v>#DIV/0!</v>
      </c>
      <c r="D37" s="2616"/>
      <c r="E37" s="2616"/>
      <c r="F37" s="2616"/>
      <c r="G37" s="2616"/>
      <c r="H37" s="2616"/>
      <c r="I37" s="2616"/>
      <c r="J37" s="2616"/>
      <c r="K37" s="1614"/>
      <c r="L37" s="2145"/>
      <c r="M37" s="2146"/>
      <c r="N37" s="2146"/>
      <c r="O37" s="2146"/>
      <c r="P37" s="3367" t="str">
        <f>A37</f>
        <v>估价对象XX用房的比较价格（楼面单价，元/平方米）</v>
      </c>
      <c r="Q37" s="3368"/>
      <c r="R37" s="3465" t="e">
        <f>IF(F1="售价",ROUND(AVERAGE(R36:V36),0),ROUND(AVERAGE(R36:V36),1))</f>
        <v>#DIV/0!</v>
      </c>
      <c r="S37" s="3465"/>
      <c r="T37" s="3465"/>
      <c r="U37" s="3465"/>
      <c r="V37" s="3465"/>
      <c r="W37" s="3465"/>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6">EDATE(D46,-1)</f>
        <v>43466</v>
      </c>
      <c r="F46" s="2783">
        <f t="shared" si="16"/>
        <v>43435</v>
      </c>
      <c r="G46" s="2783">
        <f t="shared" si="16"/>
        <v>43405</v>
      </c>
      <c r="H46" s="2783">
        <f t="shared" si="16"/>
        <v>43374</v>
      </c>
      <c r="I46" s="2783">
        <f t="shared" si="16"/>
        <v>43344</v>
      </c>
      <c r="J46" s="2783">
        <f t="shared" si="16"/>
        <v>43313</v>
      </c>
      <c r="K46" s="2783">
        <f t="shared" si="16"/>
        <v>43282</v>
      </c>
      <c r="L46" s="2783">
        <f t="shared" si="16"/>
        <v>43252</v>
      </c>
      <c r="M46" s="2783">
        <f t="shared" si="16"/>
        <v>43221</v>
      </c>
      <c r="N46" s="2783">
        <f t="shared" si="16"/>
        <v>43191</v>
      </c>
      <c r="O46" s="2783">
        <f t="shared" si="16"/>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5" t="s">
        <v>2305</v>
      </c>
      <c r="D1" s="3476"/>
      <c r="E1" s="3476"/>
      <c r="F1" s="3476"/>
      <c r="G1" s="3476"/>
      <c r="H1" s="3476"/>
      <c r="I1" s="3476"/>
      <c r="J1" s="3476"/>
      <c r="K1" s="3476"/>
      <c r="L1" s="3476"/>
      <c r="M1" s="3476"/>
      <c r="N1" s="3476"/>
      <c r="O1" s="3476"/>
      <c r="P1" s="3476"/>
      <c r="Q1" s="3476"/>
      <c r="R1" s="3476"/>
      <c r="S1" s="3477"/>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2928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2927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2" t="s">
        <v>20</v>
      </c>
      <c r="D22" s="3473"/>
      <c r="E22" s="3473"/>
      <c r="F22" s="3473"/>
      <c r="G22" s="3473"/>
      <c r="H22" s="3473"/>
      <c r="I22" s="3473"/>
      <c r="J22" s="3473"/>
      <c r="K22" s="3473"/>
      <c r="L22" s="3473"/>
      <c r="M22" s="3473"/>
      <c r="N22" s="3473"/>
      <c r="O22" s="3473"/>
      <c r="P22" s="3473"/>
      <c r="Q22" s="3474"/>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工商银行通州支行：</v>
      </c>
    </row>
    <row r="4" spans="1:4" ht="37.5">
      <c r="A4" s="1792" t="str">
        <f>"受贵公司委托，我公司对"&amp;项目基本情况!K2&amp;项目基本情况!B9&amp;"进行了预评估。"</f>
        <v>受贵公司委托，我公司对北京市通州区靛庄村一区16号院3号楼1至3层101出让国有建设用地使用权抵押价格进行了预评估。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通州开关有限公司使用的、位于北京市通州区靛庄村一区16号院3号楼1至3层101出让国有建设用地使用权。根据《国有土地使用证》[京通国用（2003出）字第207号]，估价对象（分摊）出让国有建设用地使用权面积为120363.16平方米。根据《建设工程规划许可证》[]、《出让合同》[]，估价对象规划建筑面积为72217.9平方米。</v>
      </c>
    </row>
    <row r="7" spans="1:4" ht="93.75">
      <c r="A7" s="2852" t="s">
        <v>2749</v>
      </c>
    </row>
    <row r="8" spans="1:4" ht="18.75">
      <c r="A8" s="1795" t="s">
        <v>1907</v>
      </c>
    </row>
    <row r="9" spans="1:4" ht="93.75">
      <c r="A9" s="1797" t="str">
        <f>IF(项目基本情况!B8="抵押",IF(项目基本情况!B5=项目基本情况!B6,定义!C51,定义!B51),定义!D51)</f>
        <v>北京通州开关有限公司拟使用北京市通州区靛庄村一区16号院3号楼1至3层101出让国有建设用地使用权作为抵押担保物，向工商银行通州支行办理贷款手续。工商银行通州支行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2019年3月20日（评估专业人员勘察现场之日）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根据《国有土地使用证》[京通国用（2003出）字第207号]，本次评估估价对象证载（地类）用途为工业用地。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本次评估设定用途即为证载用途工业用地。</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7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通国用（2003出）字第207号]，估价对象（分摊）出让国有建设用地使用权面积为120363.16平方米。根据《建设工程规划许可证》[]、《出让合同》[]，估价对象规划建筑面积为72217.9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2019年3月20日，在规划利用条件下、设定土地开发程度为红线外“七通”、宗地内场地，设定用途为工业用地，剩余土地使用年限为工业29.80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2788</v>
      </c>
      <c r="C1" s="2983">
        <f>项目基本情况!D3</f>
        <v>43544</v>
      </c>
      <c r="H1" s="2917">
        <f>IF(C1&gt;C13,0,MATCH(C1,C$13:C$100,-1))+IF(SUMIF(C13:C100,C1,D13:D100)=0,13,12)</f>
        <v>13</v>
      </c>
      <c r="I1" s="2917">
        <f ca="1">MATCH(C2,H3:H7,1)+IF(SUMIF(H3:H7,C2,I3:I7)=0,2,1)</f>
        <v>4</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2819</v>
      </c>
      <c r="C2" s="2984">
        <f>'数据-取费表'!B22</f>
        <v>1</v>
      </c>
      <c r="D2" s="2979" t="s">
        <v>2789</v>
      </c>
      <c r="E2" s="2982">
        <f ca="1">INDIRECT("I"&amp;$I$1)/100</f>
        <v>4.3499999999999997E-2</v>
      </c>
      <c r="G2" s="2919"/>
      <c r="H2" s="2919"/>
      <c r="I2" s="2919" t="s">
        <v>2790</v>
      </c>
      <c r="K2" s="2919"/>
      <c r="L2" s="2919"/>
      <c r="M2" s="2919"/>
      <c r="N2" s="2919" t="s">
        <v>2791</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2821</v>
      </c>
      <c r="C3" s="2981">
        <f>'数据-取费表'!B19</f>
        <v>0</v>
      </c>
      <c r="D3" s="2979" t="s">
        <v>2789</v>
      </c>
      <c r="E3" s="2982">
        <f ca="1">INDIRECT("J"&amp;$J$1)/100</f>
        <v>0</v>
      </c>
      <c r="G3" s="2921" t="s">
        <v>2792</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2820</v>
      </c>
      <c r="C4" s="2982">
        <f ca="1">N4/100</f>
        <v>1.4999999999999999E-2</v>
      </c>
      <c r="G4" s="2927" t="s">
        <v>2793</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2794</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2795</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2796</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2797</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2798</v>
      </c>
      <c r="C10" s="2946"/>
      <c r="D10" s="2946"/>
      <c r="E10" s="2946"/>
      <c r="F10" s="2946"/>
      <c r="G10" s="2946"/>
      <c r="H10" s="2946"/>
      <c r="I10" s="2920"/>
      <c r="J10" s="2920"/>
      <c r="K10" s="2946"/>
      <c r="L10" s="2947" t="s">
        <v>2799</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2800</v>
      </c>
      <c r="C11" s="2951" t="s">
        <v>2801</v>
      </c>
      <c r="D11" s="2952" t="s">
        <v>2802</v>
      </c>
      <c r="E11" s="2953"/>
      <c r="F11" s="2952" t="s">
        <v>2803</v>
      </c>
      <c r="G11" s="2954"/>
      <c r="H11" s="2953"/>
      <c r="I11" s="2952" t="s">
        <v>2804</v>
      </c>
      <c r="J11" s="2953"/>
      <c r="K11" s="2949"/>
      <c r="L11" s="2950" t="s">
        <v>2800</v>
      </c>
      <c r="M11" s="2951" t="s">
        <v>2801</v>
      </c>
      <c r="N11" s="2950" t="s">
        <v>2805</v>
      </c>
      <c r="O11" s="2952" t="s">
        <v>2806</v>
      </c>
      <c r="P11" s="2954"/>
      <c r="Q11" s="2954"/>
      <c r="R11" s="2954"/>
      <c r="S11" s="2954"/>
      <c r="T11" s="2953"/>
      <c r="U11" s="2952" t="s">
        <v>2807</v>
      </c>
      <c r="V11" s="2954"/>
      <c r="W11" s="2953"/>
      <c r="X11" s="2950" t="s">
        <v>2808</v>
      </c>
      <c r="Y11" s="2950" t="s">
        <v>2809</v>
      </c>
      <c r="Z11" s="2950" t="s">
        <v>2810</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2811</v>
      </c>
      <c r="E12" s="2959" t="s">
        <v>2812</v>
      </c>
      <c r="F12" s="2959" t="s">
        <v>2813</v>
      </c>
      <c r="G12" s="2959" t="s">
        <v>2814</v>
      </c>
      <c r="H12" s="2959" t="s">
        <v>2796</v>
      </c>
      <c r="I12" s="2960" t="s">
        <v>2815</v>
      </c>
      <c r="J12" s="2960" t="s">
        <v>2815</v>
      </c>
      <c r="K12" s="2956"/>
      <c r="L12" s="2957"/>
      <c r="M12" s="2958"/>
      <c r="N12" s="2957"/>
      <c r="O12" s="2960" t="s">
        <v>2816</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2817</v>
      </c>
      <c r="C13" s="2964">
        <v>42301</v>
      </c>
      <c r="D13" s="2965">
        <v>4.3499999999999996</v>
      </c>
      <c r="E13" s="2965">
        <v>4.3499999999999996</v>
      </c>
      <c r="F13" s="2965">
        <v>4.75</v>
      </c>
      <c r="G13" s="2965">
        <v>4.75</v>
      </c>
      <c r="H13" s="2965">
        <v>4.9000000000000004</v>
      </c>
      <c r="I13" s="2965">
        <v>2.75</v>
      </c>
      <c r="J13" s="2965">
        <v>3.25</v>
      </c>
      <c r="K13" s="2962"/>
      <c r="L13" s="2963" t="s">
        <v>2817</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2818</v>
      </c>
      <c r="Y42" s="2969" t="s">
        <v>2818</v>
      </c>
      <c r="Z42" s="2969" t="s">
        <v>2818</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2818</v>
      </c>
      <c r="Y43" s="2969" t="s">
        <v>2818</v>
      </c>
      <c r="Z43" s="2969" t="s">
        <v>2818</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2818</v>
      </c>
      <c r="Y44" s="2969" t="s">
        <v>2818</v>
      </c>
      <c r="Z44" s="2969" t="s">
        <v>2818</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2818</v>
      </c>
      <c r="Y45" s="2969" t="s">
        <v>2818</v>
      </c>
      <c r="Z45" s="2969" t="s">
        <v>2818</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2818</v>
      </c>
      <c r="Y46" s="2969" t="s">
        <v>2818</v>
      </c>
      <c r="Z46" s="2969" t="s">
        <v>2818</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2818</v>
      </c>
      <c r="Y47" s="2969" t="s">
        <v>2818</v>
      </c>
      <c r="Z47" s="2969" t="s">
        <v>2818</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2818</v>
      </c>
      <c r="Y48" s="2969" t="s">
        <v>2818</v>
      </c>
      <c r="Z48" s="2969" t="s">
        <v>2818</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2818</v>
      </c>
      <c r="Y49" s="2969" t="s">
        <v>2818</v>
      </c>
      <c r="Z49" s="2969" t="s">
        <v>2818</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2818</v>
      </c>
      <c r="Y50" s="2969" t="s">
        <v>2818</v>
      </c>
      <c r="Z50" s="2969" t="s">
        <v>2818</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2818</v>
      </c>
      <c r="V51" s="2969" t="s">
        <v>2818</v>
      </c>
      <c r="W51" s="2969" t="s">
        <v>2818</v>
      </c>
      <c r="X51" s="2969" t="s">
        <v>2818</v>
      </c>
      <c r="Y51" s="2969" t="s">
        <v>2818</v>
      </c>
      <c r="Z51" s="2969" t="s">
        <v>2818</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2818</v>
      </c>
      <c r="J55" s="2969" t="s">
        <v>2818</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1" t="s">
        <v>2039</v>
      </c>
      <c r="B1" s="3181"/>
      <c r="C1" s="3181"/>
      <c r="D1" s="3181"/>
      <c r="E1" s="3181"/>
      <c r="F1" s="3181"/>
      <c r="G1" s="3181"/>
      <c r="H1" s="3181"/>
      <c r="I1" s="3181"/>
      <c r="J1" s="3181"/>
      <c r="K1" s="3181"/>
      <c r="L1" s="3181"/>
      <c r="M1" s="3181"/>
      <c r="N1" s="3181"/>
      <c r="O1" s="3181"/>
      <c r="P1" s="3181"/>
      <c r="Q1" s="3181"/>
      <c r="R1" s="3181"/>
    </row>
    <row r="2" spans="1:18">
      <c r="A2" s="1808" t="s">
        <v>2041</v>
      </c>
      <c r="B2" s="1808"/>
      <c r="C2" s="1808"/>
      <c r="D2" s="1808"/>
      <c r="E2" s="1808"/>
      <c r="F2" s="1808"/>
      <c r="G2" s="1808"/>
      <c r="H2" s="1808"/>
      <c r="I2" s="1809"/>
      <c r="J2" s="1809"/>
      <c r="K2" s="1810" t="str">
        <f>"估价期日："&amp;TEXT(项目基本情况!D3,"yyyy年m月d日;;")</f>
        <v>估价期日：2019年3月20日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2" t="s">
        <v>2030</v>
      </c>
      <c r="B3" s="3182" t="s">
        <v>2732</v>
      </c>
      <c r="C3" s="3183" t="s">
        <v>2031</v>
      </c>
      <c r="D3" s="3182" t="s">
        <v>2736</v>
      </c>
      <c r="E3" s="3185" t="s">
        <v>2032</v>
      </c>
      <c r="F3" s="3185"/>
      <c r="G3" s="3185"/>
      <c r="H3" s="3185" t="s">
        <v>2033</v>
      </c>
      <c r="I3" s="3185"/>
      <c r="J3" s="3185"/>
      <c r="K3" s="3183" t="s">
        <v>2034</v>
      </c>
      <c r="L3" s="3183" t="s">
        <v>2035</v>
      </c>
      <c r="M3" s="3182" t="s">
        <v>2733</v>
      </c>
      <c r="N3" s="3184" t="str">
        <f>"（分摊）"&amp;项目基本情况!B16&amp;"国有建设用地使用权面积/㎡"</f>
        <v>（分摊）出让国有建设用地使用权面积/㎡</v>
      </c>
      <c r="O3" s="3182" t="s">
        <v>2064</v>
      </c>
      <c r="P3" s="3183" t="s">
        <v>2044</v>
      </c>
      <c r="Q3" s="3183" t="s">
        <v>2065</v>
      </c>
      <c r="R3" s="3183" t="s">
        <v>2036</v>
      </c>
    </row>
    <row r="4" spans="1:18" ht="36.75" customHeight="1">
      <c r="A4" s="3182"/>
      <c r="B4" s="3182"/>
      <c r="C4" s="3183"/>
      <c r="D4" s="3182"/>
      <c r="E4" s="2629" t="s">
        <v>2043</v>
      </c>
      <c r="F4" s="2629" t="s">
        <v>2745</v>
      </c>
      <c r="G4" s="2629" t="s">
        <v>2037</v>
      </c>
      <c r="H4" s="2629" t="s">
        <v>2038</v>
      </c>
      <c r="I4" s="2629" t="s">
        <v>2746</v>
      </c>
      <c r="J4" s="2629" t="s">
        <v>2037</v>
      </c>
      <c r="K4" s="3183"/>
      <c r="L4" s="3183"/>
      <c r="M4" s="3182"/>
      <c r="N4" s="3184"/>
      <c r="O4" s="3182"/>
      <c r="P4" s="3183"/>
      <c r="Q4" s="3183"/>
      <c r="R4" s="3183"/>
    </row>
    <row r="5" spans="1:18" ht="135" customHeight="1">
      <c r="A5" s="1944" t="s">
        <v>2656</v>
      </c>
      <c r="B5" s="2846" t="s">
        <v>2654</v>
      </c>
      <c r="C5" s="2628">
        <v>22</v>
      </c>
      <c r="D5" s="2627" t="s">
        <v>2655</v>
      </c>
      <c r="E5" s="1811" t="str">
        <f>项目基本情况!B12</f>
        <v>工业用地</v>
      </c>
      <c r="F5" s="2627">
        <v>258</v>
      </c>
      <c r="G5" s="1811" t="str">
        <f>项目基本情况!B13</f>
        <v>工业用地</v>
      </c>
      <c r="H5" s="2627">
        <v>1.5</v>
      </c>
      <c r="I5" s="2627">
        <v>1.5</v>
      </c>
      <c r="J5" s="2627">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v>
      </c>
      <c r="M5" s="1811" t="str">
        <f>IF(项目基本情况!B16="出让",项目基本情况!D20,"——")</f>
        <v>工业29.80年</v>
      </c>
      <c r="N5" s="1811">
        <f>项目基本情况!C22</f>
        <v>120363.16</v>
      </c>
      <c r="O5" s="1811">
        <f>项目基本情况!C21</f>
        <v>72217.899999999994</v>
      </c>
      <c r="P5" s="1811">
        <f ca="1">结果表!E42</f>
        <v>682</v>
      </c>
      <c r="Q5" s="1811">
        <f ca="1">结果表!D42</f>
        <v>1137</v>
      </c>
      <c r="R5" s="1812">
        <f ca="1">结果表!C42</f>
        <v>8208</v>
      </c>
    </row>
    <row r="6" spans="1:18">
      <c r="A6" s="3186" t="str">
        <f>IF(项目基本情况!B9="市场价格","——","抵押价格")</f>
        <v>抵押价格</v>
      </c>
      <c r="B6" s="3187"/>
      <c r="C6" s="3187"/>
      <c r="D6" s="3187"/>
      <c r="E6" s="3187"/>
      <c r="F6" s="3187"/>
      <c r="G6" s="3187"/>
      <c r="H6" s="3187"/>
      <c r="I6" s="3187"/>
      <c r="J6" s="3187"/>
      <c r="K6" s="3187"/>
      <c r="L6" s="3187"/>
      <c r="M6" s="3187"/>
      <c r="N6" s="3187"/>
      <c r="O6" s="3187"/>
      <c r="P6" s="3187"/>
      <c r="Q6" s="3188"/>
      <c r="R6" s="1813">
        <f ca="1">结果表!O39</f>
        <v>8208</v>
      </c>
    </row>
    <row r="7" spans="1:18">
      <c r="A7" s="3186" t="str">
        <f>IF(项目基本情况!B9="市场价格","——",IF(项目基本情况!E8="已注销及未注销","抵押担保权已注销时的抵押价格","——"))</f>
        <v>——</v>
      </c>
      <c r="B7" s="3187"/>
      <c r="C7" s="3187"/>
      <c r="D7" s="3187"/>
      <c r="E7" s="3187"/>
      <c r="F7" s="3187"/>
      <c r="G7" s="3187"/>
      <c r="H7" s="3187"/>
      <c r="I7" s="3187"/>
      <c r="J7" s="3187"/>
      <c r="K7" s="3187"/>
      <c r="L7" s="3187"/>
      <c r="M7" s="3187"/>
      <c r="N7" s="3187"/>
      <c r="O7" s="3187"/>
      <c r="P7" s="3187"/>
      <c r="Q7" s="3188"/>
      <c r="R7" s="1813" t="str">
        <f>结果表!O40</f>
        <v>——</v>
      </c>
    </row>
    <row r="8" spans="1:18">
      <c r="A8" s="3186">
        <f>IF(项目基本情况!B9="市场价格","——",项目基本情况!E9)</f>
        <v>0</v>
      </c>
      <c r="B8" s="3187"/>
      <c r="C8" s="3187"/>
      <c r="D8" s="3187"/>
      <c r="E8" s="3187"/>
      <c r="F8" s="3187"/>
      <c r="G8" s="3187"/>
      <c r="H8" s="3187"/>
      <c r="I8" s="3187"/>
      <c r="J8" s="3187"/>
      <c r="K8" s="3187"/>
      <c r="L8" s="3187"/>
      <c r="M8" s="3187"/>
      <c r="N8" s="3187"/>
      <c r="O8" s="3187"/>
      <c r="P8" s="3187"/>
      <c r="Q8" s="3188"/>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0" t="s">
        <v>2066</v>
      </c>
      <c r="B1" s="3190"/>
      <c r="C1" s="3190"/>
      <c r="D1" s="3190"/>
    </row>
    <row r="2" spans="1:4" ht="47.25" customHeight="1">
      <c r="A2" s="3191" t="str">
        <f>"1.权利限制："&amp;项目基本情况!L24&amp;"未设定租赁等其他他项权利。"</f>
        <v>1.权利限制：根据估价对象《不动产权证书》原件、《国有土地使用权》复印件，截至估价期日，估价对象抵押权未见登记。未设定租赁等其他他项权利。</v>
      </c>
      <c r="B2" s="3191"/>
      <c r="C2" s="3191"/>
      <c r="D2" s="3191"/>
    </row>
    <row r="3" spans="1:4" ht="48" customHeight="1">
      <c r="A3" s="319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190"/>
      <c r="C3" s="3190"/>
      <c r="D3" s="3190"/>
    </row>
    <row r="4" spans="1:4" ht="36.75" customHeight="1">
      <c r="A4" s="3190" t="str">
        <f>"3.估价规划限制条件：详见"&amp;项目基本情况!E21&amp;"。"</f>
        <v>3.估价规划限制条件：详见《建设工程规划许可证》[]、《出让合同》[]。</v>
      </c>
      <c r="B4" s="3190"/>
      <c r="C4" s="3190"/>
      <c r="D4" s="3190"/>
    </row>
    <row r="5" spans="1:4">
      <c r="A5" s="3189" t="s">
        <v>2067</v>
      </c>
      <c r="B5" s="3189"/>
      <c r="C5" s="3189"/>
      <c r="D5" s="3189"/>
    </row>
    <row r="6" spans="1:4">
      <c r="A6" s="3190" t="s">
        <v>2045</v>
      </c>
      <c r="B6" s="3190"/>
      <c r="C6" s="3190"/>
      <c r="D6" s="3190"/>
    </row>
    <row r="7" spans="1:4" ht="33" customHeight="1">
      <c r="A7" s="3190" t="s">
        <v>2576</v>
      </c>
      <c r="B7" s="3190"/>
      <c r="C7" s="3190"/>
      <c r="D7" s="3190"/>
    </row>
    <row r="8" spans="1:4" ht="32.25" customHeight="1">
      <c r="A8" s="31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0"/>
      <c r="C8" s="3190"/>
      <c r="D8" s="3190"/>
    </row>
    <row r="9" spans="1:4" ht="33.75" customHeight="1">
      <c r="A9" s="319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0"/>
      <c r="C9" s="3190"/>
      <c r="D9" s="3190"/>
    </row>
    <row r="10" spans="1:4">
      <c r="A10" s="3190" t="str">
        <f>IF(项目基本情况!B8="抵押","4.估价师所知悉的法定优先受偿款情况为：","——")</f>
        <v>4.估价师所知悉的法定优先受偿款情况为：</v>
      </c>
      <c r="B10" s="3190"/>
      <c r="C10" s="3190"/>
      <c r="D10" s="3190"/>
    </row>
    <row r="11" spans="1:4" ht="37.5" customHeight="1">
      <c r="A11" s="3192" t="str">
        <f>IF(项目基本情况!B8="抵押","（1）"&amp;CONCATENATE(项目基本情况!L24,项目基本情况!L25,项目基本情况!L26),"——")</f>
        <v>（1）根据估价对象《不动产权证书》原件、《国有土地使用权》复印件，截至估价期日，估价对象抵押权未见登记。</v>
      </c>
      <c r="B11" s="3192"/>
      <c r="C11" s="3192"/>
      <c r="D11" s="3192"/>
    </row>
    <row r="12" spans="1:4" ht="168" customHeight="1">
      <c r="A12" s="3189" t="s">
        <v>2069</v>
      </c>
      <c r="B12" s="3189"/>
      <c r="C12" s="3189"/>
      <c r="D12" s="3189"/>
    </row>
    <row r="13" spans="1:4">
      <c r="A13" s="3193" t="s">
        <v>2747</v>
      </c>
      <c r="B13" s="3193"/>
      <c r="C13" s="3193"/>
      <c r="D13" s="3193"/>
    </row>
    <row r="14" spans="1:4">
      <c r="A14" s="3192" t="str">
        <f>IF(项目基本情况!B8="抵押","综上，"&amp;结果表!K47,"——")</f>
        <v>综上，本次评估不存在估价师知悉的法定优先受偿款</v>
      </c>
      <c r="B14" s="3192"/>
      <c r="C14" s="3192"/>
      <c r="D14" s="3192"/>
    </row>
    <row r="15" spans="1:4" ht="58.5" customHeight="1">
      <c r="A15" s="31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0"/>
      <c r="C15" s="3190"/>
      <c r="D15" s="3190"/>
    </row>
    <row r="16" spans="1:4" ht="70.5" customHeight="1">
      <c r="A16" s="31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0"/>
      <c r="C16" s="3190"/>
      <c r="D16" s="3190"/>
    </row>
    <row r="17" spans="1:4">
      <c r="A17" s="3190" t="s">
        <v>2703</v>
      </c>
      <c r="B17" s="3190"/>
      <c r="C17" s="3190"/>
      <c r="D17" s="3190"/>
    </row>
    <row r="18" spans="1:4">
      <c r="A18" s="3190" t="s">
        <v>2695</v>
      </c>
      <c r="B18" s="3190"/>
      <c r="C18" s="3190"/>
      <c r="D18" s="3190"/>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90" t="s">
        <v>2700</v>
      </c>
      <c r="B23" s="3190"/>
      <c r="C23" s="3190"/>
      <c r="D23" s="3190"/>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1" t="s">
        <v>53</v>
      </c>
      <c r="B15" s="3202" t="s">
        <v>846</v>
      </c>
      <c r="C15" s="3198"/>
    </row>
    <row r="16" spans="1:7" ht="14.25">
      <c r="A16" s="3201"/>
      <c r="B16" s="3199" t="s">
        <v>54</v>
      </c>
      <c r="C16" s="1172" t="s">
        <v>53</v>
      </c>
    </row>
    <row r="17" spans="1:3" ht="14.25">
      <c r="A17" s="3201"/>
      <c r="B17" s="3199"/>
      <c r="C17" s="1172" t="s">
        <v>55</v>
      </c>
    </row>
    <row r="18" spans="1:3" ht="14.25">
      <c r="A18" s="3201"/>
      <c r="B18" s="3199"/>
      <c r="C18" s="1172" t="s">
        <v>56</v>
      </c>
    </row>
    <row r="19" spans="1:3" ht="14.25">
      <c r="A19" s="3201"/>
      <c r="B19" s="3197" t="s">
        <v>57</v>
      </c>
      <c r="C19" s="3198"/>
    </row>
    <row r="20" spans="1:3" ht="14.25">
      <c r="A20" s="1173" t="s">
        <v>58</v>
      </c>
      <c r="B20" s="1174"/>
      <c r="C20" s="1175"/>
    </row>
    <row r="21" spans="1:3" ht="14.25">
      <c r="A21" s="3200" t="s">
        <v>59</v>
      </c>
      <c r="B21" s="3197" t="s">
        <v>60</v>
      </c>
      <c r="C21" s="3198"/>
    </row>
    <row r="22" spans="1:3" ht="14.25">
      <c r="A22" s="3200"/>
      <c r="B22" s="3197" t="s">
        <v>61</v>
      </c>
      <c r="C22" s="3198"/>
    </row>
    <row r="23" spans="1:3" ht="14.25">
      <c r="A23" s="3200"/>
      <c r="B23" s="3197" t="s">
        <v>62</v>
      </c>
      <c r="C23" s="3198"/>
    </row>
    <row r="24" spans="1:3" ht="14.25">
      <c r="A24" s="3200"/>
      <c r="B24" s="3203" t="s">
        <v>63</v>
      </c>
      <c r="C24" s="1176" t="s">
        <v>837</v>
      </c>
    </row>
    <row r="25" spans="1:3" ht="14.25">
      <c r="A25" s="3200"/>
      <c r="B25" s="3204"/>
      <c r="C25" s="1176" t="s">
        <v>838</v>
      </c>
    </row>
    <row r="26" spans="1:3" ht="14.25">
      <c r="A26" s="3200"/>
      <c r="B26" s="3204"/>
      <c r="C26" s="1176" t="s">
        <v>839</v>
      </c>
    </row>
    <row r="27" spans="1:3" ht="14.25">
      <c r="A27" s="3200"/>
      <c r="B27" s="3204"/>
      <c r="C27" s="1176" t="s">
        <v>840</v>
      </c>
    </row>
    <row r="28" spans="1:3" ht="14.25">
      <c r="A28" s="3200"/>
      <c r="B28" s="3204"/>
      <c r="C28" s="1176" t="s">
        <v>841</v>
      </c>
    </row>
    <row r="29" spans="1:3" ht="14.25">
      <c r="A29" s="3200"/>
      <c r="B29" s="3204"/>
      <c r="C29" s="1176" t="s">
        <v>842</v>
      </c>
    </row>
    <row r="30" spans="1:3" ht="14.25">
      <c r="A30" s="3200"/>
      <c r="B30" s="3204"/>
      <c r="C30" s="1176" t="s">
        <v>843</v>
      </c>
    </row>
    <row r="31" spans="1:3" ht="14.25">
      <c r="A31" s="3200"/>
      <c r="B31" s="3204"/>
      <c r="C31" s="1176" t="s">
        <v>844</v>
      </c>
    </row>
    <row r="32" spans="1:3" ht="14.25">
      <c r="A32" s="3200"/>
      <c r="B32" s="3204"/>
      <c r="C32" s="1176" t="s">
        <v>1647</v>
      </c>
    </row>
    <row r="33" spans="1:3" ht="14.25">
      <c r="A33" s="3200"/>
      <c r="B33" s="3194" t="s">
        <v>1653</v>
      </c>
      <c r="C33" s="1176" t="s">
        <v>1648</v>
      </c>
    </row>
    <row r="34" spans="1:3" ht="14.25">
      <c r="A34" s="3200"/>
      <c r="B34" s="3195"/>
      <c r="C34" s="1181" t="s">
        <v>1649</v>
      </c>
    </row>
    <row r="35" spans="1:3" ht="14.25">
      <c r="A35" s="3200"/>
      <c r="B35" s="3195"/>
      <c r="C35" s="1182" t="s">
        <v>1650</v>
      </c>
    </row>
    <row r="36" spans="1:3" ht="14.25">
      <c r="A36" s="3200"/>
      <c r="B36" s="3195"/>
      <c r="C36" s="1182" t="s">
        <v>1651</v>
      </c>
    </row>
    <row r="37" spans="1:3" ht="14.25">
      <c r="A37" s="3200"/>
      <c r="B37" s="3196"/>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3" sqref="B13"/>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1908</v>
      </c>
      <c r="B2" s="3152">
        <f ca="1">TODAY()</f>
        <v>43563</v>
      </c>
      <c r="C2" s="3153" t="s">
        <v>1909</v>
      </c>
      <c r="D2" s="3153"/>
    </row>
    <row r="3" spans="1:6" ht="20.25" customHeight="1">
      <c r="A3" s="3155" t="s">
        <v>1910</v>
      </c>
      <c r="B3" s="3156" t="s">
        <v>1911</v>
      </c>
      <c r="C3" s="3156" t="s">
        <v>1912</v>
      </c>
      <c r="D3" s="3157" t="s">
        <v>1913</v>
      </c>
      <c r="E3" s="3156" t="s">
        <v>1914</v>
      </c>
      <c r="F3" s="3156" t="s">
        <v>1912</v>
      </c>
    </row>
    <row r="4" spans="1:6" ht="20.25" customHeight="1">
      <c r="A4" s="3156" t="s">
        <v>1915</v>
      </c>
      <c r="B4" s="3156">
        <f ca="1">IF(C4&lt;B2,"已过期",1119970066)</f>
        <v>1119970066</v>
      </c>
      <c r="C4" s="3158">
        <v>43849</v>
      </c>
      <c r="D4" s="3156" t="s">
        <v>1915</v>
      </c>
      <c r="E4" s="3156">
        <f ca="1">IF(F4&lt;B2,"已过期",96010014)</f>
        <v>96010014</v>
      </c>
      <c r="F4" s="3159">
        <v>47118</v>
      </c>
    </row>
    <row r="5" spans="1:6" ht="20.25" customHeight="1">
      <c r="A5" s="3156" t="s">
        <v>1916</v>
      </c>
      <c r="B5" s="3156">
        <f ca="1">IF(C5&lt;B2,"已过期",1119970074)</f>
        <v>1119970074</v>
      </c>
      <c r="C5" s="3158">
        <v>43849</v>
      </c>
      <c r="D5" s="3156" t="s">
        <v>1916</v>
      </c>
      <c r="E5" s="3156">
        <f ca="1">IF(F5&lt;B2,"已过期",2002110027)</f>
        <v>2002110027</v>
      </c>
      <c r="F5" s="3159">
        <v>46752</v>
      </c>
    </row>
    <row r="6" spans="1:6" ht="20.25" customHeight="1">
      <c r="A6" s="3156" t="s">
        <v>1917</v>
      </c>
      <c r="B6" s="3156">
        <f ca="1">IF(C6&lt;B2,"已过期",1119970111)</f>
        <v>1119970111</v>
      </c>
      <c r="C6" s="3158">
        <v>43849</v>
      </c>
      <c r="D6" s="3156" t="s">
        <v>1917</v>
      </c>
      <c r="E6" s="3156">
        <f ca="1">IF(F6&lt;B2,"已过期",94010078)</f>
        <v>94010078</v>
      </c>
      <c r="F6" s="3159">
        <v>46387</v>
      </c>
    </row>
    <row r="7" spans="1:6" ht="20.25" customHeight="1">
      <c r="A7" s="3156" t="s">
        <v>1918</v>
      </c>
      <c r="B7" s="3156">
        <f ca="1">IF(C7&lt;B2,"已过期",1120050019)</f>
        <v>1120050019</v>
      </c>
      <c r="C7" s="3158">
        <v>44395</v>
      </c>
      <c r="D7" s="3156" t="s">
        <v>1918</v>
      </c>
      <c r="E7" s="3156">
        <f ca="1">IF(F7&lt;B2,"已过期",2002110030)</f>
        <v>2002110030</v>
      </c>
      <c r="F7" s="3159">
        <v>46387</v>
      </c>
    </row>
    <row r="8" spans="1:6" ht="20.25" customHeight="1">
      <c r="A8" s="3156" t="s">
        <v>1919</v>
      </c>
      <c r="B8" s="3156">
        <f ca="1">IF(C8&lt;B2,"已过期",1120000080)</f>
        <v>1120000080</v>
      </c>
      <c r="C8" s="3158">
        <v>43849</v>
      </c>
      <c r="D8" s="3156" t="s">
        <v>1919</v>
      </c>
      <c r="E8" s="3156">
        <f ca="1">IF(F8&lt;B2,"已过期",2000110082)</f>
        <v>2000110082</v>
      </c>
      <c r="F8" s="3159">
        <v>46387</v>
      </c>
    </row>
    <row r="9" spans="1:6" ht="20.25" customHeight="1">
      <c r="A9" s="3156" t="s">
        <v>1920</v>
      </c>
      <c r="B9" s="3156">
        <f ca="1">IF(C9&lt;B2,"已过期",1419970001)</f>
        <v>1419970001</v>
      </c>
      <c r="C9" s="3158">
        <v>43867</v>
      </c>
      <c r="D9" s="3156" t="s">
        <v>1920</v>
      </c>
      <c r="E9" s="3156">
        <f ca="1">IF(F9&lt;B2,"已过期",2002110125)</f>
        <v>2002110125</v>
      </c>
      <c r="F9" s="3159">
        <v>47118</v>
      </c>
    </row>
    <row r="10" spans="1:6" ht="20.25" customHeight="1">
      <c r="A10" s="3156" t="s">
        <v>1921</v>
      </c>
      <c r="B10" s="3156" t="str">
        <f ca="1">IF(C10&lt;B2,"已过期",1120060040)</f>
        <v>已过期</v>
      </c>
      <c r="C10" s="3158">
        <v>43483</v>
      </c>
      <c r="D10" s="3156" t="s">
        <v>1921</v>
      </c>
      <c r="E10" s="3156">
        <f ca="1">IF(F10&lt;B2,"已过期",2004110096)</f>
        <v>2004110096</v>
      </c>
      <c r="F10" s="3159">
        <v>47118</v>
      </c>
    </row>
    <row r="11" spans="1:6" ht="20.25" customHeight="1">
      <c r="A11" s="3156" t="s">
        <v>1922</v>
      </c>
      <c r="B11" s="3156">
        <f ca="1">IF(C11&lt;B2,"已过期",1120100036)</f>
        <v>1120100036</v>
      </c>
      <c r="C11" s="3158">
        <v>43622</v>
      </c>
      <c r="D11" s="3156" t="s">
        <v>1922</v>
      </c>
      <c r="E11" s="3156">
        <f ca="1">IF(F11&lt;B2,"已过期",2010110070)</f>
        <v>2010110070</v>
      </c>
      <c r="F11" s="3159">
        <v>47907</v>
      </c>
    </row>
    <row r="12" spans="1:6" ht="20.25" customHeight="1">
      <c r="A12" s="3156"/>
      <c r="B12" s="3156"/>
      <c r="C12" s="3158"/>
      <c r="D12" s="3156"/>
      <c r="E12" s="3156"/>
      <c r="F12" s="3159"/>
    </row>
    <row r="13" spans="1:6" ht="20.25" customHeight="1">
      <c r="A13" s="3156" t="s">
        <v>1923</v>
      </c>
      <c r="B13" s="3156">
        <f ca="1">IF(C13&lt;B2,"已过期",1120070131)</f>
        <v>1120070131</v>
      </c>
      <c r="C13" s="3158">
        <v>43814</v>
      </c>
      <c r="D13" s="3156" t="s">
        <v>1923</v>
      </c>
      <c r="E13" s="3156">
        <f ca="1">IF(F13&lt;B2,"已过期",2014110011)</f>
        <v>2014110011</v>
      </c>
      <c r="F13" s="3159">
        <v>49302</v>
      </c>
    </row>
    <row r="14" spans="1:6" ht="20.25" customHeight="1">
      <c r="A14" s="3156" t="s">
        <v>2983</v>
      </c>
      <c r="B14" s="3156">
        <f ca="1">IF(C14&lt;B2,"已过期",1120040230)</f>
        <v>1120040230</v>
      </c>
      <c r="C14" s="3160">
        <v>43835</v>
      </c>
      <c r="D14" s="3161" t="s">
        <v>2984</v>
      </c>
      <c r="E14" s="3156">
        <f ca="1">IF(F14&lt;B2,"已过期",98030020)</f>
        <v>98030020</v>
      </c>
      <c r="F14" s="3159">
        <v>47118</v>
      </c>
    </row>
    <row r="15" spans="1:6" ht="20.25" customHeight="1">
      <c r="A15" s="3156" t="s">
        <v>2575</v>
      </c>
      <c r="B15" s="3156">
        <f ca="1">IF(C15&lt;B2,"已过期",1120070085)</f>
        <v>1120070085</v>
      </c>
      <c r="C15" s="3160">
        <v>43814</v>
      </c>
      <c r="D15" s="3156" t="s">
        <v>2985</v>
      </c>
      <c r="E15" s="3156">
        <f ca="1">IF(F15&lt;B2,"已过期",2004110128)</f>
        <v>2004110128</v>
      </c>
      <c r="F15" s="3162">
        <v>47118</v>
      </c>
    </row>
    <row r="16" spans="1:6" ht="20.25" customHeight="1">
      <c r="A16" s="3156" t="s">
        <v>1924</v>
      </c>
      <c r="B16" s="3156">
        <f ca="1">IF(C16&lt;B2,"已过期",1120140022)</f>
        <v>1120140022</v>
      </c>
      <c r="C16" s="3158">
        <v>44029</v>
      </c>
      <c r="D16" s="3156" t="s">
        <v>2986</v>
      </c>
      <c r="E16" s="3156">
        <f ca="1">IF(F16&lt;B2,"已过期",2008110059)</f>
        <v>2008110059</v>
      </c>
      <c r="F16" s="3159">
        <v>47177</v>
      </c>
    </row>
    <row r="17" spans="1:7" ht="20.25" customHeight="1">
      <c r="A17" s="3156"/>
      <c r="B17" s="3156"/>
      <c r="C17" s="3158"/>
      <c r="D17" s="3161" t="s">
        <v>2987</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1925</v>
      </c>
      <c r="E21" s="3156">
        <f ca="1">IF(F21&lt;B2,"已过期",2011110090)</f>
        <v>2011110090</v>
      </c>
      <c r="F21" s="3159">
        <v>48302</v>
      </c>
    </row>
    <row r="22" spans="1:7" ht="20.25" customHeight="1">
      <c r="A22" s="3156" t="s">
        <v>1926</v>
      </c>
      <c r="B22" s="3156">
        <f ca="1">IF(C22&lt;B2,"已过期",1120020033)</f>
        <v>1120020033</v>
      </c>
      <c r="C22" s="3158">
        <v>44339</v>
      </c>
      <c r="D22" s="3156" t="s">
        <v>1926</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2054</v>
      </c>
      <c r="B24" s="3155" t="s">
        <v>2054</v>
      </c>
      <c r="C24" s="3158"/>
      <c r="D24" s="3163" t="s">
        <v>2054</v>
      </c>
      <c r="E24" s="3155" t="s">
        <v>2054</v>
      </c>
      <c r="F24" s="3162"/>
    </row>
    <row r="25" spans="1:7" ht="20.25" customHeight="1">
      <c r="A25" s="3205" t="s">
        <v>1927</v>
      </c>
      <c r="B25" s="3205"/>
      <c r="C25" s="3205"/>
      <c r="D25" s="3205"/>
      <c r="E25" s="3205"/>
      <c r="F25" s="3205"/>
      <c r="G25" s="3205"/>
    </row>
    <row r="26" spans="1:7" ht="20.25" customHeight="1">
      <c r="A26" s="3206" t="s">
        <v>1928</v>
      </c>
      <c r="B26" s="3206"/>
      <c r="C26" s="3206"/>
      <c r="D26" s="3206" t="s">
        <v>1929</v>
      </c>
      <c r="E26" s="3206"/>
      <c r="F26" s="3206"/>
    </row>
    <row r="27" spans="1:7" s="3151" customFormat="1" ht="20.25" customHeight="1">
      <c r="A27" s="3165" t="s">
        <v>1930</v>
      </c>
      <c r="B27" s="3166" t="s">
        <v>1931</v>
      </c>
      <c r="C27" s="3166" t="s">
        <v>1932</v>
      </c>
      <c r="D27" s="3156" t="s">
        <v>1930</v>
      </c>
      <c r="E27" s="3166" t="s">
        <v>1931</v>
      </c>
      <c r="F27" s="3166" t="s">
        <v>1932</v>
      </c>
    </row>
    <row r="28" spans="1:7" s="3151" customFormat="1" ht="20.25" customHeight="1">
      <c r="A28" s="3167" t="s">
        <v>1933</v>
      </c>
      <c r="B28" s="3167" t="s">
        <v>1934</v>
      </c>
      <c r="C28" s="3159">
        <v>43725</v>
      </c>
      <c r="D28" s="3167" t="s">
        <v>1935</v>
      </c>
      <c r="E28" s="3167" t="s">
        <v>1936</v>
      </c>
      <c r="F28" s="3168">
        <v>44377</v>
      </c>
    </row>
    <row r="29" spans="1:7" s="3151" customFormat="1" ht="20.25" customHeight="1">
      <c r="A29" s="3167"/>
      <c r="B29" s="3167"/>
      <c r="C29" s="3169"/>
      <c r="D29" s="3167" t="s">
        <v>1937</v>
      </c>
      <c r="E29" s="3170" t="s">
        <v>2945</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2957</v>
      </c>
      <c r="C18" s="1555"/>
    </row>
    <row r="19" spans="1:3">
      <c r="A19" s="8" t="s">
        <v>120</v>
      </c>
      <c r="B19" s="3089" t="s">
        <v>2965</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通州支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通州开关有限公司拟使用北京市通州区靛庄村一区16号院3号楼1至3层101出让国有建设用地使用权作为抵押担保物，向工商银行通州支行办理贷款手续。工商银行通州支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07"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20日，在规划利用条件下、设定土地开发程度为红线外“七通”、宗地内场地，设定用途为工业用地，剩余土地使用年限为工业29.80年的出让国有建设用地使用权价格。</v>
      </c>
      <c r="D53" s="1768"/>
      <c r="E53" s="1768"/>
    </row>
    <row r="54" spans="1:5">
      <c r="A54" s="3207"/>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7"/>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7"/>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7"/>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131</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2019-04-08T05:50:53Z</dcterms:modified>
</cp:coreProperties>
</file>