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收储\"/>
    </mc:Choice>
  </mc:AlternateContent>
  <bookViews>
    <workbookView xWindow="0" yWindow="0" windowWidth="17400" windowHeight="11592" tabRatio="875" firstSheet="13"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Sheet1" sheetId="72"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Sheet2" sheetId="79" r:id="rId18"/>
    <sheet name="基准地价-住宅" sheetId="46" r:id="rId19"/>
    <sheet name="比较法-工业" sheetId="40" state="hidden" r:id="rId20"/>
    <sheet name="基准地价-公服绿地" sheetId="73" r:id="rId21"/>
    <sheet name="剩余法-现房" sheetId="43"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r:id="rId34"/>
    <sheet name="朝阳区2020-2023成本案例" sheetId="74" r:id="rId35"/>
    <sheet name="比较法-土地成本" sheetId="39" r:id="rId36"/>
    <sheet name="结果表汇总表" sheetId="77" r:id="rId37"/>
    <sheet name="增值收益扣减" sheetId="76" r:id="rId38"/>
    <sheet name="新房售价" sheetId="78" r:id="rId39"/>
    <sheet name="剩余法-待开发" sheetId="12" r:id="rId40"/>
    <sheet name="Sheet4" sheetId="75" r:id="rId41"/>
    <sheet name="不动产比较法-住宅" sheetId="21"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系统读取表" sheetId="66" r:id="rId50"/>
  </sheets>
  <externalReferences>
    <externalReference r:id="rId51"/>
    <externalReference r:id="rId52"/>
  </externalReferences>
  <definedNames>
    <definedName name="_xlnm._FilterDatabase" localSheetId="19" hidden="1">'比较法-工业'!$A$1:$L$45</definedName>
    <definedName name="_xlnm._FilterDatabase" localSheetId="35" hidden="1">'比较法-土地成本'!$A$1:$L$50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19">'比较法-工业'!$A$1:$K$62,'比较法-工业'!$A$65:$N$122</definedName>
    <definedName name="_xlnm.Print_Area" localSheetId="35">'比较法-土地成本'!$A$1:$K$66,'比较法-土地成本'!$A$70:$N$133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9">'基准地价（汇总）'!$A$1:$F$14</definedName>
    <definedName name="_xlnm.Print_Area" localSheetId="20">'基准地价-公服绿地'!$A$1:$J$44,'基准地价-公服绿地'!$A$47:$N$103,'基准地价-公服绿地'!$R$1:$V$16</definedName>
    <definedName name="_xlnm.Print_Area" localSheetId="18">'基准地价-住宅'!$A$1:$J$44,'基准地价-住宅'!$A$47:$N$103,'基准地价-住宅'!$R$1:$V$16</definedName>
    <definedName name="_xlnm.Print_Area" localSheetId="16">结果表!$A$1:$I$46,结果表!$K$25:$O$44,结果表!$A$62:$I$115,结果表!$K$64:$P$81</definedName>
    <definedName name="_xlnm.Print_Area" localSheetId="39">'剩余法-待开发'!$A$1:$K$36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49">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'基准地价-公服绿地'!$N$19:$AB$19</definedName>
    <definedName name="季度">'基准地价-住宅'!$N$19:$AB$19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'比较法-土地成本'!$A$74:$M$74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'比较法-土地成本'!$B$107:$M$107</definedName>
    <definedName name="套综工程地质条件">'比较法-土地成本'!$B$126:$M$126</definedName>
    <definedName name="套综交易情况">'比较法-土地成本'!$A$74:$M$74</definedName>
    <definedName name="套综临街宽度及深度">'比较法-土地成本'!$B$122:$M$122</definedName>
    <definedName name="套综土地级别">'比较法-土地成本'!$B$109:$M$109</definedName>
    <definedName name="套综用途">'比较法-土地成本'!$B$76:$M$76</definedName>
    <definedName name="套综宗地内开发程度">'比较法-土地成本'!$B$124:$M$124</definedName>
    <definedName name="套综宗地形状">'比较法-土地成本'!$B$120:$M$120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concurrentCalc="0"/>
</workbook>
</file>

<file path=xl/calcChain.xml><?xml version="1.0" encoding="utf-8"?>
<calcChain xmlns="http://schemas.openxmlformats.org/spreadsheetml/2006/main">
  <c r="C11" i="77" l="1"/>
  <c r="I5" i="65"/>
  <c r="E2" i="65"/>
  <c r="B40" i="1"/>
  <c r="F17" i="11"/>
  <c r="C17" i="11"/>
  <c r="C19" i="11"/>
  <c r="C20" i="11"/>
  <c r="C21" i="11"/>
  <c r="C22" i="11"/>
  <c r="C23" i="11"/>
  <c r="B2" i="11"/>
  <c r="B3" i="11"/>
  <c r="S22" i="76"/>
  <c r="C13" i="12"/>
  <c r="C14" i="12"/>
  <c r="C15" i="12"/>
  <c r="D16" i="12"/>
  <c r="C16" i="12"/>
  <c r="C17" i="12"/>
  <c r="C18" i="12"/>
  <c r="D19" i="12"/>
  <c r="C19" i="12"/>
  <c r="D21" i="12"/>
  <c r="C21" i="12"/>
  <c r="D22" i="12"/>
  <c r="C22" i="12"/>
  <c r="C20" i="12"/>
  <c r="C23" i="12"/>
  <c r="F26" i="12"/>
  <c r="C10" i="12"/>
  <c r="C6" i="12"/>
  <c r="C24" i="12"/>
  <c r="C28" i="12"/>
  <c r="C26" i="12"/>
  <c r="C29" i="12"/>
  <c r="C31" i="12"/>
  <c r="C30" i="12"/>
  <c r="F33" i="12"/>
  <c r="C35" i="12"/>
  <c r="C33" i="12"/>
  <c r="C27" i="12"/>
  <c r="D26" i="12"/>
  <c r="C32" i="12"/>
  <c r="D30" i="12"/>
  <c r="C34" i="12"/>
  <c r="D33" i="12"/>
  <c r="C36" i="12"/>
  <c r="B2" i="12"/>
  <c r="B3" i="12"/>
  <c r="B2" i="77"/>
  <c r="B4" i="77"/>
  <c r="I22" i="76"/>
  <c r="R22" i="76"/>
  <c r="C6" i="77"/>
  <c r="C5" i="77"/>
  <c r="B3" i="77"/>
  <c r="D3" i="77"/>
  <c r="D6" i="77"/>
  <c r="B7" i="77"/>
  <c r="B8" i="77"/>
  <c r="F7" i="77"/>
  <c r="F5" i="77"/>
  <c r="F4" i="77"/>
  <c r="F2" i="77"/>
  <c r="V22" i="76"/>
  <c r="U22" i="76"/>
  <c r="W21" i="76"/>
  <c r="V5" i="76"/>
  <c r="V8" i="76"/>
  <c r="V9" i="76"/>
  <c r="V10" i="76"/>
  <c r="V13" i="76"/>
  <c r="V14" i="76"/>
  <c r="V15" i="76"/>
  <c r="V16" i="76"/>
  <c r="V17" i="76"/>
  <c r="V18" i="76"/>
  <c r="Y17" i="76"/>
  <c r="X17" i="76"/>
  <c r="Y16" i="76"/>
  <c r="X16" i="76"/>
  <c r="Y15" i="76"/>
  <c r="X15" i="76"/>
  <c r="Y14" i="76"/>
  <c r="X14" i="76"/>
  <c r="Y13" i="76"/>
  <c r="X13" i="76"/>
  <c r="Y12" i="76"/>
  <c r="X12" i="76"/>
  <c r="V12" i="76"/>
  <c r="S12" i="76"/>
  <c r="G12" i="76"/>
  <c r="Y11" i="76"/>
  <c r="X11" i="76"/>
  <c r="V11" i="76"/>
  <c r="S11" i="76"/>
  <c r="G11" i="76"/>
  <c r="Y10" i="76"/>
  <c r="X10" i="76"/>
  <c r="S10" i="76"/>
  <c r="G10" i="76"/>
  <c r="Y9" i="76"/>
  <c r="X9" i="76"/>
  <c r="Y8" i="76"/>
  <c r="X8" i="76"/>
  <c r="S7" i="76"/>
  <c r="G7" i="76"/>
  <c r="Y6" i="76"/>
  <c r="X6" i="76"/>
  <c r="V6" i="76"/>
  <c r="S6" i="76"/>
  <c r="G6" i="76"/>
  <c r="Y5" i="76"/>
  <c r="X5" i="76"/>
  <c r="S5" i="76"/>
  <c r="Y4" i="76"/>
  <c r="X4" i="76"/>
  <c r="V4" i="76"/>
  <c r="S4" i="76"/>
  <c r="G4" i="76"/>
  <c r="Y3" i="76"/>
  <c r="X3" i="76"/>
  <c r="V3" i="76"/>
  <c r="S3" i="76"/>
  <c r="G3" i="76"/>
  <c r="Y2" i="76"/>
  <c r="X2" i="76"/>
  <c r="V2" i="76"/>
  <c r="S2" i="76"/>
  <c r="G2" i="76"/>
  <c r="U3" i="74"/>
  <c r="U4" i="74"/>
  <c r="U5" i="74"/>
  <c r="U6" i="74"/>
  <c r="U7" i="74"/>
  <c r="U8" i="74"/>
  <c r="U9" i="74"/>
  <c r="U10" i="74"/>
  <c r="E8" i="11"/>
  <c r="D8" i="11"/>
  <c r="T6" i="74"/>
  <c r="T7" i="74"/>
  <c r="T11" i="74"/>
  <c r="U11" i="74"/>
  <c r="U12" i="74"/>
  <c r="T4" i="74"/>
  <c r="T5" i="74"/>
  <c r="T8" i="74"/>
  <c r="T9" i="74"/>
  <c r="T10" i="74"/>
  <c r="T12" i="74"/>
  <c r="T3" i="74"/>
  <c r="N5" i="74"/>
  <c r="C95" i="73"/>
  <c r="C94" i="73"/>
  <c r="G94" i="73"/>
  <c r="G95" i="73"/>
  <c r="G96" i="73"/>
  <c r="G97" i="73"/>
  <c r="G98" i="73"/>
  <c r="G99" i="73"/>
  <c r="G100" i="73"/>
  <c r="G101" i="73"/>
  <c r="G93" i="73"/>
  <c r="G3" i="73"/>
  <c r="B117" i="73"/>
  <c r="I123" i="73"/>
  <c r="J123" i="73"/>
  <c r="K123" i="73"/>
  <c r="L123" i="73"/>
  <c r="M123" i="73"/>
  <c r="D123" i="73"/>
  <c r="E123" i="73"/>
  <c r="F123" i="73"/>
  <c r="G123" i="73"/>
  <c r="H123" i="73"/>
  <c r="B123" i="73"/>
  <c r="C123" i="73"/>
  <c r="I122" i="73"/>
  <c r="J122" i="73"/>
  <c r="K122" i="73"/>
  <c r="L122" i="73"/>
  <c r="M122" i="73"/>
  <c r="G122" i="73"/>
  <c r="H122" i="73"/>
  <c r="D122" i="73"/>
  <c r="E122" i="73"/>
  <c r="F122" i="73"/>
  <c r="B122" i="73"/>
  <c r="C122" i="73"/>
  <c r="I121" i="73"/>
  <c r="J121" i="73"/>
  <c r="K121" i="73"/>
  <c r="L121" i="73"/>
  <c r="M121" i="73"/>
  <c r="D121" i="73"/>
  <c r="E121" i="73"/>
  <c r="F121" i="73"/>
  <c r="G121" i="73"/>
  <c r="H121" i="73"/>
  <c r="B121" i="73"/>
  <c r="C121" i="73"/>
  <c r="I120" i="73"/>
  <c r="J120" i="73"/>
  <c r="K120" i="73"/>
  <c r="L120" i="73"/>
  <c r="M120" i="73"/>
  <c r="D120" i="73"/>
  <c r="E120" i="73"/>
  <c r="F120" i="73"/>
  <c r="G120" i="73"/>
  <c r="H120" i="73"/>
  <c r="B120" i="73"/>
  <c r="C120" i="73"/>
  <c r="I119" i="73"/>
  <c r="J119" i="73"/>
  <c r="K119" i="73"/>
  <c r="L119" i="73"/>
  <c r="M119" i="73"/>
  <c r="D119" i="73"/>
  <c r="E119" i="73"/>
  <c r="F119" i="73"/>
  <c r="G119" i="73"/>
  <c r="H119" i="73"/>
  <c r="B119" i="73"/>
  <c r="C119" i="73"/>
  <c r="G2" i="73"/>
  <c r="H117" i="73"/>
  <c r="F117" i="73"/>
  <c r="D117" i="73"/>
  <c r="N112" i="73"/>
  <c r="N113" i="73"/>
  <c r="M112" i="73"/>
  <c r="M113" i="73"/>
  <c r="L112" i="73"/>
  <c r="L113" i="73"/>
  <c r="K112" i="73"/>
  <c r="K113" i="73"/>
  <c r="J112" i="73"/>
  <c r="J113" i="73"/>
  <c r="I112" i="73"/>
  <c r="I113" i="73"/>
  <c r="H112" i="73"/>
  <c r="H113" i="73"/>
  <c r="G112" i="73"/>
  <c r="G113" i="73"/>
  <c r="F112" i="73"/>
  <c r="F113" i="73"/>
  <c r="E112" i="73"/>
  <c r="E113" i="73"/>
  <c r="D112" i="73"/>
  <c r="D113" i="73"/>
  <c r="C112" i="73"/>
  <c r="C113" i="73"/>
  <c r="M101" i="73"/>
  <c r="N101" i="73"/>
  <c r="K101" i="73"/>
  <c r="J101" i="73"/>
  <c r="I2" i="73"/>
  <c r="N3" i="73"/>
  <c r="F93" i="73"/>
  <c r="H101" i="73"/>
  <c r="D101" i="73"/>
  <c r="B101" i="73"/>
  <c r="M100" i="73"/>
  <c r="N100" i="73"/>
  <c r="K100" i="73"/>
  <c r="J100" i="73"/>
  <c r="H100" i="73"/>
  <c r="D100" i="73"/>
  <c r="B100" i="73"/>
  <c r="M99" i="73"/>
  <c r="N99" i="73"/>
  <c r="K99" i="73"/>
  <c r="J99" i="73"/>
  <c r="H99" i="73"/>
  <c r="D99" i="73"/>
  <c r="B99" i="73"/>
  <c r="M98" i="73"/>
  <c r="N98" i="73"/>
  <c r="K98" i="73"/>
  <c r="J98" i="73"/>
  <c r="H98" i="73"/>
  <c r="D98" i="73"/>
  <c r="M97" i="73"/>
  <c r="N97" i="73"/>
  <c r="K97" i="73"/>
  <c r="J97" i="73"/>
  <c r="H97" i="73"/>
  <c r="D97" i="73"/>
  <c r="B97" i="73"/>
  <c r="M96" i="73"/>
  <c r="N96" i="73"/>
  <c r="K96" i="73"/>
  <c r="J96" i="73"/>
  <c r="H96" i="73"/>
  <c r="D96" i="73"/>
  <c r="M95" i="73"/>
  <c r="N95" i="73"/>
  <c r="K95" i="73"/>
  <c r="J95" i="73"/>
  <c r="H95" i="73"/>
  <c r="D95" i="73"/>
  <c r="B95" i="73"/>
  <c r="M94" i="73"/>
  <c r="N94" i="73"/>
  <c r="K94" i="73"/>
  <c r="J94" i="73"/>
  <c r="H94" i="73"/>
  <c r="D94" i="73"/>
  <c r="B94" i="73"/>
  <c r="M93" i="73"/>
  <c r="N93" i="73"/>
  <c r="K93" i="73"/>
  <c r="J93" i="73"/>
  <c r="H93" i="73"/>
  <c r="D93" i="73"/>
  <c r="E93" i="73"/>
  <c r="B91" i="73"/>
  <c r="M90" i="73"/>
  <c r="N90" i="73"/>
  <c r="K90" i="73"/>
  <c r="J90" i="73"/>
  <c r="F83" i="73"/>
  <c r="H90" i="73"/>
  <c r="D90" i="73"/>
  <c r="B90" i="73"/>
  <c r="M89" i="73"/>
  <c r="N89" i="73"/>
  <c r="K89" i="73"/>
  <c r="J89" i="73"/>
  <c r="H89" i="73"/>
  <c r="D89" i="73"/>
  <c r="M88" i="73"/>
  <c r="N88" i="73"/>
  <c r="K88" i="73"/>
  <c r="J88" i="73"/>
  <c r="H88" i="73"/>
  <c r="D88" i="73"/>
  <c r="B88" i="73"/>
  <c r="M87" i="73"/>
  <c r="N87" i="73"/>
  <c r="K87" i="73"/>
  <c r="J87" i="73"/>
  <c r="H87" i="73"/>
  <c r="D87" i="73"/>
  <c r="B87" i="73"/>
  <c r="M86" i="73"/>
  <c r="N86" i="73"/>
  <c r="K86" i="73"/>
  <c r="J86" i="73"/>
  <c r="H86" i="73"/>
  <c r="D86" i="73"/>
  <c r="B86" i="73"/>
  <c r="M85" i="73"/>
  <c r="N85" i="73"/>
  <c r="K85" i="73"/>
  <c r="J85" i="73"/>
  <c r="H85" i="73"/>
  <c r="D85" i="73"/>
  <c r="B85" i="73"/>
  <c r="M84" i="73"/>
  <c r="N84" i="73"/>
  <c r="K84" i="73"/>
  <c r="J84" i="73"/>
  <c r="H84" i="73"/>
  <c r="D84" i="73"/>
  <c r="B84" i="73"/>
  <c r="M83" i="73"/>
  <c r="N83" i="73"/>
  <c r="K83" i="73"/>
  <c r="J83" i="73"/>
  <c r="H83" i="73"/>
  <c r="D83" i="73"/>
  <c r="E83" i="73"/>
  <c r="B83" i="73"/>
  <c r="B81" i="73"/>
  <c r="F72" i="73"/>
  <c r="H80" i="73"/>
  <c r="G80" i="73"/>
  <c r="M80" i="73"/>
  <c r="N80" i="73"/>
  <c r="K80" i="73"/>
  <c r="J80" i="73"/>
  <c r="D80" i="73"/>
  <c r="H79" i="73"/>
  <c r="G79" i="73"/>
  <c r="M79" i="73"/>
  <c r="N79" i="73"/>
  <c r="K79" i="73"/>
  <c r="J79" i="73"/>
  <c r="D79" i="73"/>
  <c r="B79" i="73"/>
  <c r="H78" i="73"/>
  <c r="G78" i="73"/>
  <c r="M78" i="73"/>
  <c r="N78" i="73"/>
  <c r="K78" i="73"/>
  <c r="J78" i="73"/>
  <c r="D78" i="73"/>
  <c r="H77" i="73"/>
  <c r="G77" i="73"/>
  <c r="M77" i="73"/>
  <c r="N77" i="73"/>
  <c r="K77" i="73"/>
  <c r="J77" i="73"/>
  <c r="D77" i="73"/>
  <c r="B77" i="73"/>
  <c r="H76" i="73"/>
  <c r="G76" i="73"/>
  <c r="M76" i="73"/>
  <c r="N76" i="73"/>
  <c r="K76" i="73"/>
  <c r="J76" i="73"/>
  <c r="D76" i="73"/>
  <c r="B76" i="73"/>
  <c r="H75" i="73"/>
  <c r="G75" i="73"/>
  <c r="M75" i="73"/>
  <c r="N75" i="73"/>
  <c r="K75" i="73"/>
  <c r="J75" i="73"/>
  <c r="D75" i="73"/>
  <c r="B75" i="73"/>
  <c r="H74" i="73"/>
  <c r="G74" i="73"/>
  <c r="M74" i="73"/>
  <c r="N74" i="73"/>
  <c r="K74" i="73"/>
  <c r="J74" i="73"/>
  <c r="D74" i="73"/>
  <c r="B74" i="73"/>
  <c r="H73" i="73"/>
  <c r="G73" i="73"/>
  <c r="M73" i="73"/>
  <c r="N73" i="73"/>
  <c r="K73" i="73"/>
  <c r="J73" i="73"/>
  <c r="D73" i="73"/>
  <c r="B73" i="73"/>
  <c r="H72" i="73"/>
  <c r="G72" i="73"/>
  <c r="M72" i="73"/>
  <c r="N72" i="73"/>
  <c r="K72" i="73"/>
  <c r="J72" i="73"/>
  <c r="D72" i="73"/>
  <c r="E72" i="73"/>
  <c r="B72" i="73"/>
  <c r="B70" i="73"/>
  <c r="M69" i="73"/>
  <c r="N69" i="73"/>
  <c r="K69" i="73"/>
  <c r="J69" i="73"/>
  <c r="F61" i="73"/>
  <c r="H69" i="73"/>
  <c r="D69" i="73"/>
  <c r="B69" i="73"/>
  <c r="M68" i="73"/>
  <c r="N68" i="73"/>
  <c r="K68" i="73"/>
  <c r="J68" i="73"/>
  <c r="H68" i="73"/>
  <c r="D68" i="73"/>
  <c r="B68" i="73"/>
  <c r="M67" i="73"/>
  <c r="N67" i="73"/>
  <c r="K67" i="73"/>
  <c r="J67" i="73"/>
  <c r="H67" i="73"/>
  <c r="D67" i="73"/>
  <c r="B67" i="73"/>
  <c r="M66" i="73"/>
  <c r="N66" i="73"/>
  <c r="K66" i="73"/>
  <c r="J66" i="73"/>
  <c r="H66" i="73"/>
  <c r="D66" i="73"/>
  <c r="M65" i="73"/>
  <c r="N65" i="73"/>
  <c r="K65" i="73"/>
  <c r="J65" i="73"/>
  <c r="H65" i="73"/>
  <c r="D65" i="73"/>
  <c r="B65" i="73"/>
  <c r="M64" i="73"/>
  <c r="N64" i="73"/>
  <c r="K64" i="73"/>
  <c r="J64" i="73"/>
  <c r="H64" i="73"/>
  <c r="D64" i="73"/>
  <c r="M63" i="73"/>
  <c r="N63" i="73"/>
  <c r="K63" i="73"/>
  <c r="J63" i="73"/>
  <c r="H63" i="73"/>
  <c r="D63" i="73"/>
  <c r="B63" i="73"/>
  <c r="M62" i="73"/>
  <c r="N62" i="73"/>
  <c r="K62" i="73"/>
  <c r="J62" i="73"/>
  <c r="H62" i="73"/>
  <c r="D62" i="73"/>
  <c r="B62" i="73"/>
  <c r="M61" i="73"/>
  <c r="N61" i="73"/>
  <c r="K61" i="73"/>
  <c r="J61" i="73"/>
  <c r="H61" i="73"/>
  <c r="D61" i="73"/>
  <c r="E61" i="73"/>
  <c r="B61" i="73"/>
  <c r="B59" i="73"/>
  <c r="M58" i="73"/>
  <c r="N58" i="73"/>
  <c r="K58" i="73"/>
  <c r="J58" i="73"/>
  <c r="F50" i="73"/>
  <c r="H58" i="73"/>
  <c r="D58" i="73"/>
  <c r="B58" i="73"/>
  <c r="M57" i="73"/>
  <c r="N57" i="73"/>
  <c r="K57" i="73"/>
  <c r="J57" i="73"/>
  <c r="H57" i="73"/>
  <c r="D57" i="73"/>
  <c r="B57" i="73"/>
  <c r="M56" i="73"/>
  <c r="N56" i="73"/>
  <c r="K56" i="73"/>
  <c r="J56" i="73"/>
  <c r="H56" i="73"/>
  <c r="D56" i="73"/>
  <c r="B56" i="73"/>
  <c r="M55" i="73"/>
  <c r="N55" i="73"/>
  <c r="K55" i="73"/>
  <c r="J55" i="73"/>
  <c r="H55" i="73"/>
  <c r="D55" i="73"/>
  <c r="M54" i="73"/>
  <c r="N54" i="73"/>
  <c r="K54" i="73"/>
  <c r="J54" i="73"/>
  <c r="H54" i="73"/>
  <c r="D54" i="73"/>
  <c r="B54" i="73"/>
  <c r="M53" i="73"/>
  <c r="N53" i="73"/>
  <c r="K53" i="73"/>
  <c r="J53" i="73"/>
  <c r="H53" i="73"/>
  <c r="D53" i="73"/>
  <c r="M52" i="73"/>
  <c r="N52" i="73"/>
  <c r="K52" i="73"/>
  <c r="J52" i="73"/>
  <c r="H52" i="73"/>
  <c r="D52" i="73"/>
  <c r="B52" i="73"/>
  <c r="M51" i="73"/>
  <c r="N51" i="73"/>
  <c r="K51" i="73"/>
  <c r="J51" i="73"/>
  <c r="H51" i="73"/>
  <c r="D51" i="73"/>
  <c r="B51" i="73"/>
  <c r="M50" i="73"/>
  <c r="N50" i="73"/>
  <c r="K50" i="73"/>
  <c r="J50" i="73"/>
  <c r="H50" i="73"/>
  <c r="D50" i="73"/>
  <c r="E50" i="73"/>
  <c r="B50" i="73"/>
  <c r="B48" i="73"/>
  <c r="G24" i="73"/>
  <c r="E44" i="73"/>
  <c r="C44" i="73"/>
  <c r="M3" i="73"/>
  <c r="C6" i="73"/>
  <c r="C17" i="73"/>
  <c r="H21" i="73"/>
  <c r="I21" i="73"/>
  <c r="J21" i="73"/>
  <c r="K21" i="73"/>
  <c r="L21" i="73"/>
  <c r="M21" i="73"/>
  <c r="N21" i="73"/>
  <c r="O21" i="73"/>
  <c r="G21" i="73"/>
  <c r="E21" i="73"/>
  <c r="C21" i="73"/>
  <c r="C20" i="73"/>
  <c r="D5" i="73"/>
  <c r="C22" i="73"/>
  <c r="G23" i="73"/>
  <c r="C23" i="73"/>
  <c r="C28" i="73"/>
  <c r="F42" i="73"/>
  <c r="C42" i="73"/>
  <c r="G42" i="73"/>
  <c r="H42" i="73"/>
  <c r="I42" i="73"/>
  <c r="E42" i="73"/>
  <c r="F41" i="73"/>
  <c r="C41" i="73"/>
  <c r="G41" i="73"/>
  <c r="H41" i="73"/>
  <c r="I41" i="73"/>
  <c r="E41" i="73"/>
  <c r="J24" i="73"/>
  <c r="I19" i="4"/>
  <c r="F7" i="1"/>
  <c r="I24" i="73"/>
  <c r="C24" i="73"/>
  <c r="F40" i="73"/>
  <c r="C40" i="73"/>
  <c r="G40" i="73"/>
  <c r="H40" i="73"/>
  <c r="I40" i="73"/>
  <c r="E40" i="73"/>
  <c r="F39" i="73"/>
  <c r="C39" i="73"/>
  <c r="G39" i="73"/>
  <c r="H39" i="73"/>
  <c r="I39" i="73"/>
  <c r="E39" i="73"/>
  <c r="F38" i="73"/>
  <c r="C38" i="73"/>
  <c r="G38" i="73"/>
  <c r="H38" i="73"/>
  <c r="I38" i="73"/>
  <c r="E38" i="73"/>
  <c r="L36" i="73"/>
  <c r="L37" i="73"/>
  <c r="Q37" i="73"/>
  <c r="P37" i="73"/>
  <c r="O37" i="73"/>
  <c r="N37" i="73"/>
  <c r="M37" i="73"/>
  <c r="F37" i="73"/>
  <c r="C37" i="73"/>
  <c r="G37" i="73"/>
  <c r="H37" i="73"/>
  <c r="I37" i="73"/>
  <c r="E37" i="73"/>
  <c r="Q36" i="73"/>
  <c r="P36" i="73"/>
  <c r="O36" i="73"/>
  <c r="N36" i="73"/>
  <c r="M36" i="73"/>
  <c r="C13" i="73"/>
  <c r="C5" i="73"/>
  <c r="E26" i="73"/>
  <c r="G26" i="73"/>
  <c r="F26" i="73"/>
  <c r="D26" i="73"/>
  <c r="C25" i="73"/>
  <c r="C33" i="73"/>
  <c r="C34" i="73"/>
  <c r="E34" i="73"/>
  <c r="F1" i="73"/>
  <c r="D33" i="73"/>
  <c r="E33" i="73"/>
  <c r="E24" i="73"/>
  <c r="Q32" i="73"/>
  <c r="P32" i="73"/>
  <c r="O32" i="73"/>
  <c r="N32" i="73"/>
  <c r="M32" i="73"/>
  <c r="C31" i="73"/>
  <c r="C30" i="73"/>
  <c r="P29" i="73"/>
  <c r="P28" i="73"/>
  <c r="P27" i="73"/>
  <c r="C27" i="73"/>
  <c r="P26" i="73"/>
  <c r="J26" i="73"/>
  <c r="H26" i="73"/>
  <c r="P25" i="73"/>
  <c r="M24" i="73"/>
  <c r="O23" i="73"/>
  <c r="M23" i="73"/>
  <c r="I23" i="73"/>
  <c r="D21" i="73"/>
  <c r="I18" i="73"/>
  <c r="G18" i="73"/>
  <c r="G17" i="73"/>
  <c r="E17" i="73"/>
  <c r="T16" i="73"/>
  <c r="V16" i="73"/>
  <c r="T15" i="73"/>
  <c r="V15" i="73"/>
  <c r="T14" i="73"/>
  <c r="V14" i="73"/>
  <c r="T13" i="73"/>
  <c r="V13" i="73"/>
  <c r="T12" i="73"/>
  <c r="V12" i="73"/>
  <c r="N12" i="73"/>
  <c r="M12" i="73"/>
  <c r="T11" i="73"/>
  <c r="V11" i="73"/>
  <c r="N11" i="73"/>
  <c r="M11" i="73"/>
  <c r="C10" i="73"/>
  <c r="C11" i="73"/>
  <c r="E11" i="73"/>
  <c r="AJ9" i="73"/>
  <c r="AJ10" i="73"/>
  <c r="AI9" i="73"/>
  <c r="AI10" i="73"/>
  <c r="AH9" i="73"/>
  <c r="AH10" i="73"/>
  <c r="AG9" i="73"/>
  <c r="AG10" i="73"/>
  <c r="AF9" i="73"/>
  <c r="AF10" i="73"/>
  <c r="AE9" i="73"/>
  <c r="AE10" i="73"/>
  <c r="AD9" i="73"/>
  <c r="AD10" i="73"/>
  <c r="AC9" i="73"/>
  <c r="AC10" i="73"/>
  <c r="AB9" i="73"/>
  <c r="AB10" i="73"/>
  <c r="AA9" i="73"/>
  <c r="AA10" i="73"/>
  <c r="Z9" i="73"/>
  <c r="Z10" i="73"/>
  <c r="Y10" i="73"/>
  <c r="T10" i="73"/>
  <c r="V10" i="73"/>
  <c r="N10" i="73"/>
  <c r="M10" i="73"/>
  <c r="E10" i="73"/>
  <c r="T9" i="73"/>
  <c r="V9" i="73"/>
  <c r="N9" i="73"/>
  <c r="M9" i="73"/>
  <c r="E9" i="73"/>
  <c r="C9" i="73"/>
  <c r="T8" i="73"/>
  <c r="V8" i="73"/>
  <c r="N8" i="73"/>
  <c r="M8" i="73"/>
  <c r="E8" i="73"/>
  <c r="Z7" i="73"/>
  <c r="X7" i="73"/>
  <c r="T7" i="73"/>
  <c r="V7" i="73"/>
  <c r="N7" i="73"/>
  <c r="M7" i="73"/>
  <c r="C7" i="73"/>
  <c r="S6" i="73"/>
  <c r="T6" i="73"/>
  <c r="V6" i="73"/>
  <c r="N6" i="73"/>
  <c r="M6" i="73"/>
  <c r="S5" i="73"/>
  <c r="T5" i="73"/>
  <c r="V5" i="73"/>
  <c r="N5" i="73"/>
  <c r="M5" i="73"/>
  <c r="S4" i="73"/>
  <c r="T4" i="73"/>
  <c r="V4" i="73"/>
  <c r="N4" i="73"/>
  <c r="M4" i="73"/>
  <c r="B2" i="73"/>
  <c r="D4" i="73"/>
  <c r="B4" i="73"/>
  <c r="S3" i="73"/>
  <c r="T3" i="73"/>
  <c r="V3" i="73"/>
  <c r="D1" i="73"/>
  <c r="B3" i="73"/>
  <c r="S2" i="73"/>
  <c r="T2" i="73"/>
  <c r="V2" i="73"/>
  <c r="N2" i="73"/>
  <c r="M2" i="73"/>
  <c r="N1" i="73"/>
  <c r="M1" i="73"/>
  <c r="G73" i="46"/>
  <c r="G74" i="46"/>
  <c r="G75" i="46"/>
  <c r="G76" i="46"/>
  <c r="G77" i="46"/>
  <c r="G78" i="46"/>
  <c r="G79" i="46"/>
  <c r="G80" i="46"/>
  <c r="G72" i="46"/>
  <c r="D33" i="46"/>
  <c r="F1" i="46"/>
  <c r="F64" i="72"/>
  <c r="B56" i="1"/>
  <c r="F19" i="6"/>
  <c r="I13" i="3"/>
  <c r="D3" i="4"/>
  <c r="G14" i="65"/>
  <c r="F14" i="65"/>
  <c r="E14" i="65"/>
  <c r="AO34" i="70"/>
  <c r="AO35" i="70"/>
  <c r="AO36" i="70"/>
  <c r="AO37" i="70"/>
  <c r="AO38" i="70"/>
  <c r="AO39" i="70"/>
  <c r="AO40" i="70"/>
  <c r="AO41" i="70"/>
  <c r="AO42" i="70"/>
  <c r="AO43" i="70"/>
  <c r="AO44" i="70"/>
  <c r="AO45" i="70"/>
  <c r="AO46" i="70"/>
  <c r="AO47" i="70"/>
  <c r="AO48" i="70"/>
  <c r="AO49" i="70"/>
  <c r="AO50" i="70"/>
  <c r="AO51" i="70"/>
  <c r="AO52" i="70"/>
  <c r="I33" i="70"/>
  <c r="AR34" i="70"/>
  <c r="I34" i="70"/>
  <c r="AR35" i="70"/>
  <c r="I35" i="70"/>
  <c r="AR36" i="70"/>
  <c r="AP34" i="70"/>
  <c r="AP35" i="70"/>
  <c r="AP36" i="70"/>
  <c r="AP37" i="70"/>
  <c r="AP38" i="70"/>
  <c r="AP39" i="70"/>
  <c r="AP40" i="70"/>
  <c r="AP41" i="70"/>
  <c r="AP42" i="70"/>
  <c r="AP43" i="70"/>
  <c r="AP44" i="70"/>
  <c r="AP45" i="70"/>
  <c r="AP46" i="70"/>
  <c r="AP47" i="70"/>
  <c r="AP48" i="70"/>
  <c r="AP49" i="70"/>
  <c r="AP50" i="70"/>
  <c r="AP51" i="70"/>
  <c r="AP52" i="70"/>
  <c r="AN34" i="70"/>
  <c r="AN35" i="70"/>
  <c r="AN36" i="70"/>
  <c r="AN37" i="70"/>
  <c r="AN38" i="70"/>
  <c r="AN39" i="70"/>
  <c r="AN40" i="70"/>
  <c r="AN41" i="70"/>
  <c r="AN42" i="70"/>
  <c r="AN43" i="70"/>
  <c r="AN44" i="70"/>
  <c r="AN45" i="70"/>
  <c r="AN46" i="70"/>
  <c r="AN47" i="70"/>
  <c r="AN48" i="70"/>
  <c r="AN49" i="70"/>
  <c r="AN50" i="70"/>
  <c r="AN51" i="70"/>
  <c r="AN52" i="70"/>
  <c r="I5" i="70"/>
  <c r="AR6" i="70"/>
  <c r="AQ6" i="70"/>
  <c r="AP6" i="70"/>
  <c r="AP7" i="70"/>
  <c r="AP8" i="70"/>
  <c r="AP9" i="70"/>
  <c r="AP10" i="70"/>
  <c r="AP11" i="70"/>
  <c r="AP12" i="70"/>
  <c r="AP13" i="70"/>
  <c r="AP14" i="70"/>
  <c r="AP15" i="70"/>
  <c r="AP16" i="70"/>
  <c r="AP17" i="70"/>
  <c r="AP18" i="70"/>
  <c r="AP19" i="70"/>
  <c r="AP20" i="70"/>
  <c r="AP21" i="70"/>
  <c r="AP22" i="70"/>
  <c r="AP23" i="70"/>
  <c r="AP24" i="70"/>
  <c r="AO6" i="70"/>
  <c r="AO7" i="70"/>
  <c r="AO8" i="70"/>
  <c r="AO9" i="70"/>
  <c r="AO10" i="70"/>
  <c r="AO11" i="70"/>
  <c r="AO12" i="70"/>
  <c r="AO13" i="70"/>
  <c r="AO14" i="70"/>
  <c r="AO15" i="70"/>
  <c r="AO16" i="70"/>
  <c r="AO17" i="70"/>
  <c r="AO18" i="70"/>
  <c r="AO19" i="70"/>
  <c r="AO20" i="70"/>
  <c r="AO21" i="70"/>
  <c r="AO22" i="70"/>
  <c r="AO23" i="70"/>
  <c r="AO24" i="70"/>
  <c r="AN6" i="70"/>
  <c r="I6" i="70"/>
  <c r="AR7" i="70"/>
  <c r="I7" i="70"/>
  <c r="AR8" i="70"/>
  <c r="AQ7" i="70"/>
  <c r="AQ8" i="70"/>
  <c r="AQ9" i="70"/>
  <c r="AQ10" i="70"/>
  <c r="AQ11" i="70"/>
  <c r="AQ12" i="70"/>
  <c r="AQ13" i="70"/>
  <c r="AQ14" i="70"/>
  <c r="AQ15" i="70"/>
  <c r="AQ16" i="70"/>
  <c r="AQ17" i="70"/>
  <c r="AQ18" i="70"/>
  <c r="AQ19" i="70"/>
  <c r="AQ20" i="70"/>
  <c r="AQ21" i="70"/>
  <c r="AQ22" i="70"/>
  <c r="AQ23" i="70"/>
  <c r="AQ24" i="70"/>
  <c r="AN7" i="70"/>
  <c r="AN8" i="70"/>
  <c r="AN9" i="70"/>
  <c r="AN10" i="70"/>
  <c r="AN11" i="70"/>
  <c r="AN12" i="70"/>
  <c r="AN13" i="70"/>
  <c r="AN14" i="70"/>
  <c r="AN15" i="70"/>
  <c r="AN16" i="70"/>
  <c r="AN17" i="70"/>
  <c r="AN18" i="70"/>
  <c r="AN19" i="70"/>
  <c r="AN20" i="70"/>
  <c r="AN21" i="70"/>
  <c r="AN22" i="70"/>
  <c r="AN23" i="70"/>
  <c r="AN24" i="70"/>
  <c r="AM6" i="70"/>
  <c r="AM7" i="70"/>
  <c r="AM8" i="70"/>
  <c r="AM9" i="70"/>
  <c r="AM10" i="70"/>
  <c r="AM11" i="70"/>
  <c r="AM12" i="70"/>
  <c r="AM13" i="70"/>
  <c r="AM14" i="70"/>
  <c r="AM15" i="70"/>
  <c r="AM16" i="70"/>
  <c r="AM17" i="70"/>
  <c r="AM18" i="70"/>
  <c r="AM19" i="70"/>
  <c r="AM20" i="70"/>
  <c r="AM21" i="70"/>
  <c r="AM22" i="70"/>
  <c r="AM23" i="70"/>
  <c r="AM24" i="70"/>
  <c r="AB33" i="70"/>
  <c r="AA33" i="70"/>
  <c r="Z33" i="70"/>
  <c r="N33" i="70"/>
  <c r="M33" i="70"/>
  <c r="P33" i="70"/>
  <c r="L33" i="70"/>
  <c r="AD33" i="70"/>
  <c r="AB34" i="70"/>
  <c r="AA34" i="70"/>
  <c r="Z34" i="70"/>
  <c r="N34" i="70"/>
  <c r="M34" i="70"/>
  <c r="P34" i="70"/>
  <c r="L34" i="70"/>
  <c r="AD34" i="70"/>
  <c r="AB35" i="70"/>
  <c r="AA35" i="70"/>
  <c r="Z35" i="70"/>
  <c r="N35" i="70"/>
  <c r="M35" i="70"/>
  <c r="P35" i="70"/>
  <c r="L35" i="70"/>
  <c r="AD35" i="70"/>
  <c r="AC5" i="70"/>
  <c r="AB5" i="70"/>
  <c r="AA5" i="70"/>
  <c r="AD5" i="70"/>
  <c r="Z5" i="70"/>
  <c r="Y5" i="70"/>
  <c r="O5" i="70"/>
  <c r="N5" i="70"/>
  <c r="M5" i="70"/>
  <c r="P5" i="70"/>
  <c r="L5" i="70"/>
  <c r="K5" i="70"/>
  <c r="AC6" i="70"/>
  <c r="AB6" i="70"/>
  <c r="AA6" i="70"/>
  <c r="AD6" i="70"/>
  <c r="Z6" i="70"/>
  <c r="Y6" i="70"/>
  <c r="O6" i="70"/>
  <c r="N6" i="70"/>
  <c r="M6" i="70"/>
  <c r="P6" i="70"/>
  <c r="L6" i="70"/>
  <c r="K6" i="70"/>
  <c r="AC7" i="70"/>
  <c r="AB7" i="70"/>
  <c r="AA7" i="70"/>
  <c r="AD7" i="70"/>
  <c r="Z7" i="70"/>
  <c r="Y7" i="70"/>
  <c r="O7" i="70"/>
  <c r="N7" i="70"/>
  <c r="M7" i="70"/>
  <c r="P7" i="70"/>
  <c r="L7" i="70"/>
  <c r="K7" i="70"/>
  <c r="K47" i="69"/>
  <c r="K46" i="69"/>
  <c r="K45" i="69"/>
  <c r="K41" i="69"/>
  <c r="K40" i="69"/>
  <c r="K39" i="69"/>
  <c r="K38" i="69"/>
  <c r="K37" i="69"/>
  <c r="K36" i="69"/>
  <c r="K35" i="69"/>
  <c r="K30" i="69"/>
  <c r="K29" i="69"/>
  <c r="K28" i="69"/>
  <c r="K27" i="69"/>
  <c r="K26" i="69"/>
  <c r="K25" i="69"/>
  <c r="K24" i="69"/>
  <c r="K23" i="69"/>
  <c r="K22" i="69"/>
  <c r="C60" i="69"/>
  <c r="D60" i="69"/>
  <c r="D53" i="69"/>
  <c r="D52" i="69"/>
  <c r="B51" i="69"/>
  <c r="B54" i="69"/>
  <c r="D54" i="69"/>
  <c r="B62" i="69"/>
  <c r="B55" i="69"/>
  <c r="D55" i="69"/>
  <c r="B56" i="69"/>
  <c r="D51" i="69"/>
  <c r="C51" i="69"/>
  <c r="C56" i="69"/>
  <c r="C58" i="69"/>
  <c r="D56" i="69"/>
  <c r="D58" i="69"/>
  <c r="D62" i="69"/>
  <c r="C62" i="69"/>
  <c r="G15" i="65"/>
  <c r="F15" i="65"/>
  <c r="E15" i="65"/>
  <c r="AB36" i="70"/>
  <c r="AA36" i="70"/>
  <c r="Z36" i="70"/>
  <c r="N36" i="70"/>
  <c r="M36" i="70"/>
  <c r="P36" i="70"/>
  <c r="L36" i="70"/>
  <c r="I36" i="70"/>
  <c r="AB37" i="70"/>
  <c r="AA37" i="70"/>
  <c r="Z37" i="70"/>
  <c r="N37" i="70"/>
  <c r="M37" i="70"/>
  <c r="L37" i="70"/>
  <c r="I37" i="70"/>
  <c r="I38" i="70"/>
  <c r="I39" i="70"/>
  <c r="I40" i="70"/>
  <c r="I41" i="70"/>
  <c r="I42" i="70"/>
  <c r="I43" i="70"/>
  <c r="I44" i="70"/>
  <c r="I45" i="70"/>
  <c r="I46" i="70"/>
  <c r="I47" i="70"/>
  <c r="I48" i="70"/>
  <c r="I49" i="70"/>
  <c r="I50" i="70"/>
  <c r="AD37" i="70"/>
  <c r="AC8" i="70"/>
  <c r="AB8" i="70"/>
  <c r="AA8" i="70"/>
  <c r="AD8" i="70"/>
  <c r="Z8" i="70"/>
  <c r="Y8" i="70"/>
  <c r="O8" i="70"/>
  <c r="N8" i="70"/>
  <c r="M8" i="70"/>
  <c r="P8" i="70"/>
  <c r="L8" i="70"/>
  <c r="K8" i="70"/>
  <c r="I8" i="70"/>
  <c r="AR9" i="70"/>
  <c r="I9" i="70"/>
  <c r="AR10" i="70"/>
  <c r="I10" i="70"/>
  <c r="AR11" i="70"/>
  <c r="I11" i="70"/>
  <c r="AR12" i="70"/>
  <c r="I12" i="70"/>
  <c r="AR13" i="70"/>
  <c r="I13" i="70"/>
  <c r="AR14" i="70"/>
  <c r="I14" i="70"/>
  <c r="AR15" i="70"/>
  <c r="I15" i="70"/>
  <c r="AR16" i="70"/>
  <c r="I16" i="70"/>
  <c r="AR17" i="70"/>
  <c r="I17" i="70"/>
  <c r="AR18" i="70"/>
  <c r="I18" i="70"/>
  <c r="AR19" i="70"/>
  <c r="I19" i="70"/>
  <c r="AR20" i="70"/>
  <c r="I20" i="70"/>
  <c r="AR21" i="70"/>
  <c r="I21" i="70"/>
  <c r="AR22" i="70"/>
  <c r="I22" i="70"/>
  <c r="AR23" i="70"/>
  <c r="I23" i="70"/>
  <c r="AR24" i="70"/>
  <c r="AC9" i="70"/>
  <c r="AB9" i="70"/>
  <c r="AA9" i="70"/>
  <c r="AD9" i="70"/>
  <c r="Z9" i="70"/>
  <c r="Y9" i="70"/>
  <c r="O9" i="70"/>
  <c r="N9" i="70"/>
  <c r="M9" i="70"/>
  <c r="P9" i="70"/>
  <c r="L9" i="70"/>
  <c r="K9" i="70"/>
  <c r="AD36" i="70"/>
  <c r="AR37" i="70"/>
  <c r="AR38" i="70"/>
  <c r="AR39" i="70"/>
  <c r="AR40" i="70"/>
  <c r="AR41" i="70"/>
  <c r="AR42" i="70"/>
  <c r="AR43" i="70"/>
  <c r="AR44" i="70"/>
  <c r="AR45" i="70"/>
  <c r="AR46" i="70"/>
  <c r="AR47" i="70"/>
  <c r="AR48" i="70"/>
  <c r="AR49" i="70"/>
  <c r="AR50" i="70"/>
  <c r="AR51" i="70"/>
  <c r="I51" i="70"/>
  <c r="AR52" i="70"/>
  <c r="P37" i="70"/>
  <c r="M38" i="70"/>
  <c r="M39" i="70"/>
  <c r="M40" i="70"/>
  <c r="M41" i="70"/>
  <c r="M42" i="70"/>
  <c r="M43" i="70"/>
  <c r="M44" i="70"/>
  <c r="M45" i="70"/>
  <c r="M46" i="70"/>
  <c r="M47" i="70"/>
  <c r="M48" i="70"/>
  <c r="M49" i="70"/>
  <c r="M50" i="70"/>
  <c r="M51" i="70"/>
  <c r="T34" i="70"/>
  <c r="T33" i="70"/>
  <c r="T35" i="70"/>
  <c r="N38" i="70"/>
  <c r="N39" i="70"/>
  <c r="N40" i="70"/>
  <c r="N41" i="70"/>
  <c r="N42" i="70"/>
  <c r="N43" i="70"/>
  <c r="N44" i="70"/>
  <c r="N45" i="70"/>
  <c r="N46" i="70"/>
  <c r="N47" i="70"/>
  <c r="N48" i="70"/>
  <c r="N49" i="70"/>
  <c r="N50" i="70"/>
  <c r="N51" i="70"/>
  <c r="U35" i="70"/>
  <c r="AI35" i="70"/>
  <c r="U33" i="70"/>
  <c r="AI33" i="70"/>
  <c r="U34" i="70"/>
  <c r="AI34" i="70"/>
  <c r="L38" i="70"/>
  <c r="L39" i="70"/>
  <c r="L40" i="70"/>
  <c r="L41" i="70"/>
  <c r="L42" i="70"/>
  <c r="L43" i="70"/>
  <c r="L44" i="70"/>
  <c r="L45" i="70"/>
  <c r="L46" i="70"/>
  <c r="L47" i="70"/>
  <c r="L48" i="70"/>
  <c r="L49" i="70"/>
  <c r="L50" i="70"/>
  <c r="L51" i="70"/>
  <c r="S35" i="70"/>
  <c r="AG35" i="70"/>
  <c r="S33" i="70"/>
  <c r="AG33" i="70"/>
  <c r="S34" i="70"/>
  <c r="AG34" i="70"/>
  <c r="G16" i="65"/>
  <c r="F16" i="65"/>
  <c r="E16" i="65"/>
  <c r="G13" i="65"/>
  <c r="F13" i="65"/>
  <c r="E13" i="65"/>
  <c r="G17" i="65"/>
  <c r="F17" i="65"/>
  <c r="E17" i="65"/>
  <c r="W34" i="70"/>
  <c r="AK34" i="70"/>
  <c r="AH34" i="70"/>
  <c r="W35" i="70"/>
  <c r="AK35" i="70"/>
  <c r="AH35" i="70"/>
  <c r="W33" i="70"/>
  <c r="AK33" i="70"/>
  <c r="AH33" i="70"/>
  <c r="AB38" i="70"/>
  <c r="AA38" i="70"/>
  <c r="Z38" i="70"/>
  <c r="P38" i="70"/>
  <c r="AD38" i="70"/>
  <c r="AC10" i="70"/>
  <c r="AB10" i="70"/>
  <c r="AA10" i="70"/>
  <c r="AD10" i="70"/>
  <c r="Z10" i="70"/>
  <c r="Y10" i="70"/>
  <c r="O10" i="70"/>
  <c r="N10" i="70"/>
  <c r="M10" i="70"/>
  <c r="P10" i="70"/>
  <c r="L10" i="70"/>
  <c r="K10" i="70"/>
  <c r="AB40" i="70"/>
  <c r="AA40" i="70"/>
  <c r="Z40" i="70"/>
  <c r="AB41" i="70"/>
  <c r="AA41" i="70"/>
  <c r="Z41" i="70"/>
  <c r="AC12" i="70"/>
  <c r="AB12" i="70"/>
  <c r="AA12" i="70"/>
  <c r="AD12" i="70"/>
  <c r="Z12" i="70"/>
  <c r="Y12" i="70"/>
  <c r="O12" i="70"/>
  <c r="N12" i="70"/>
  <c r="M12" i="70"/>
  <c r="P12" i="70"/>
  <c r="L12" i="70"/>
  <c r="K12" i="70"/>
  <c r="AC13" i="70"/>
  <c r="AB13" i="70"/>
  <c r="AA13" i="70"/>
  <c r="AD13" i="70"/>
  <c r="Z13" i="70"/>
  <c r="Y13" i="70"/>
  <c r="O13" i="70"/>
  <c r="N13" i="70"/>
  <c r="M13" i="70"/>
  <c r="P13" i="70"/>
  <c r="L13" i="70"/>
  <c r="K13" i="70"/>
  <c r="P40" i="70"/>
  <c r="P41" i="70"/>
  <c r="G18" i="65"/>
  <c r="F18" i="65"/>
  <c r="E18" i="65"/>
  <c r="Z42" i="70"/>
  <c r="AA42" i="70"/>
  <c r="AB42" i="70"/>
  <c r="Z43" i="70"/>
  <c r="AA43" i="70"/>
  <c r="AB43" i="70"/>
  <c r="Z44" i="70"/>
  <c r="AA44" i="70"/>
  <c r="AB44" i="70"/>
  <c r="Y14" i="70"/>
  <c r="Z14" i="70"/>
  <c r="AA14" i="70"/>
  <c r="AD14" i="70"/>
  <c r="AB14" i="70"/>
  <c r="AC14" i="70"/>
  <c r="Y15" i="70"/>
  <c r="Z15" i="70"/>
  <c r="AA15" i="70"/>
  <c r="AD15" i="70"/>
  <c r="AB15" i="70"/>
  <c r="AC15" i="70"/>
  <c r="Y16" i="70"/>
  <c r="Z16" i="70"/>
  <c r="AA16" i="70"/>
  <c r="AD16" i="70"/>
  <c r="AB16" i="70"/>
  <c r="AC16" i="70"/>
  <c r="P42" i="70"/>
  <c r="P43" i="70"/>
  <c r="K14" i="70"/>
  <c r="L14" i="70"/>
  <c r="M14" i="70"/>
  <c r="P14" i="70"/>
  <c r="N14" i="70"/>
  <c r="O14" i="70"/>
  <c r="K15" i="70"/>
  <c r="L15" i="70"/>
  <c r="M15" i="70"/>
  <c r="P15" i="70"/>
  <c r="N15" i="70"/>
  <c r="O15" i="70"/>
  <c r="K16" i="70"/>
  <c r="L16" i="70"/>
  <c r="M16" i="70"/>
  <c r="P16" i="70"/>
  <c r="N16" i="70"/>
  <c r="O16" i="70"/>
  <c r="P44"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Z3" i="70"/>
  <c r="Y11" i="70"/>
  <c r="W52" i="70"/>
  <c r="W24" i="70"/>
  <c r="N52" i="70"/>
  <c r="M52" i="70"/>
  <c r="P52" i="70"/>
  <c r="L52" i="70"/>
  <c r="I52" i="70"/>
  <c r="AD52" i="70"/>
  <c r="U51" i="70"/>
  <c r="AI51" i="70"/>
  <c r="P51" i="70"/>
  <c r="S51" i="70"/>
  <c r="AG51" i="70"/>
  <c r="AD51" i="70"/>
  <c r="U50" i="70"/>
  <c r="AI50" i="70"/>
  <c r="P50" i="70"/>
  <c r="S50" i="70"/>
  <c r="AG50" i="70"/>
  <c r="AD50" i="70"/>
  <c r="U49" i="70"/>
  <c r="AI49" i="70"/>
  <c r="P49" i="70"/>
  <c r="S49" i="70"/>
  <c r="AG49" i="70"/>
  <c r="AD49" i="70"/>
  <c r="U48" i="70"/>
  <c r="AI48" i="70"/>
  <c r="P48" i="70"/>
  <c r="S48" i="70"/>
  <c r="AG48" i="70"/>
  <c r="AD48" i="70"/>
  <c r="U47" i="70"/>
  <c r="AI47" i="70"/>
  <c r="P47" i="70"/>
  <c r="S47" i="70"/>
  <c r="AG47" i="70"/>
  <c r="AD47" i="70"/>
  <c r="P46" i="70"/>
  <c r="S46" i="70"/>
  <c r="AG46" i="70"/>
  <c r="AD46" i="70"/>
  <c r="AD40" i="70"/>
  <c r="AD39" i="70"/>
  <c r="N31" i="70"/>
  <c r="M31" i="70"/>
  <c r="P31" i="70"/>
  <c r="L31" i="70"/>
  <c r="G31" i="70"/>
  <c r="F31" i="70"/>
  <c r="I31" i="70"/>
  <c r="E31" i="70"/>
  <c r="O24" i="70"/>
  <c r="N24" i="70"/>
  <c r="M24" i="70"/>
  <c r="P24" i="70"/>
  <c r="L24" i="70"/>
  <c r="K24" i="70"/>
  <c r="I24" i="70"/>
  <c r="O23" i="70"/>
  <c r="V23" i="70"/>
  <c r="AJ23" i="70"/>
  <c r="N23" i="70"/>
  <c r="U23" i="70"/>
  <c r="AI23" i="70"/>
  <c r="M23" i="70"/>
  <c r="T23" i="70"/>
  <c r="L23" i="70"/>
  <c r="S23" i="70"/>
  <c r="AG23" i="70"/>
  <c r="K23" i="70"/>
  <c r="R23" i="70"/>
  <c r="AF23" i="70"/>
  <c r="O22" i="70"/>
  <c r="N22" i="70"/>
  <c r="M22" i="70"/>
  <c r="P22" i="70"/>
  <c r="L22" i="70"/>
  <c r="K22" i="70"/>
  <c r="O21" i="70"/>
  <c r="N21" i="70"/>
  <c r="M21" i="70"/>
  <c r="L21" i="70"/>
  <c r="K21" i="70"/>
  <c r="R21" i="70"/>
  <c r="AF21" i="70"/>
  <c r="O20" i="70"/>
  <c r="N20" i="70"/>
  <c r="M20" i="70"/>
  <c r="P20" i="70"/>
  <c r="L20" i="70"/>
  <c r="K20" i="70"/>
  <c r="O19" i="70"/>
  <c r="N19" i="70"/>
  <c r="M19" i="70"/>
  <c r="P19" i="70"/>
  <c r="L19" i="70"/>
  <c r="K19" i="70"/>
  <c r="O18" i="70"/>
  <c r="N18" i="70"/>
  <c r="M18" i="70"/>
  <c r="P18" i="70"/>
  <c r="L18" i="70"/>
  <c r="K18" i="70"/>
  <c r="O17" i="70"/>
  <c r="N17" i="70"/>
  <c r="M17" i="70"/>
  <c r="L17" i="70"/>
  <c r="K17" i="70"/>
  <c r="O11" i="70"/>
  <c r="N11" i="70"/>
  <c r="M11" i="70"/>
  <c r="L11" i="70"/>
  <c r="K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F6" i="1"/>
  <c r="D19" i="4"/>
  <c r="R5" i="70"/>
  <c r="AF5" i="70"/>
  <c r="R6" i="70"/>
  <c r="AF6" i="70"/>
  <c r="R7" i="70"/>
  <c r="AF7" i="70"/>
  <c r="V7" i="70"/>
  <c r="AJ7" i="70"/>
  <c r="V6" i="70"/>
  <c r="AJ6" i="70"/>
  <c r="V5" i="70"/>
  <c r="AJ5" i="70"/>
  <c r="S7" i="70"/>
  <c r="AG7" i="70"/>
  <c r="S5" i="70"/>
  <c r="AG5" i="70"/>
  <c r="S6" i="70"/>
  <c r="AG6" i="70"/>
  <c r="V21" i="70"/>
  <c r="AJ21" i="70"/>
  <c r="U6" i="70"/>
  <c r="AI6" i="70"/>
  <c r="U7" i="70"/>
  <c r="AI7" i="70"/>
  <c r="U5" i="70"/>
  <c r="AI5" i="70"/>
  <c r="T5" i="70"/>
  <c r="T6" i="70"/>
  <c r="T7" i="70"/>
  <c r="W23" i="70"/>
  <c r="AK23" i="70"/>
  <c r="AH23" i="70"/>
  <c r="T36" i="70"/>
  <c r="T37" i="70"/>
  <c r="U38" i="70"/>
  <c r="AI38" i="70"/>
  <c r="U36" i="70"/>
  <c r="AI36" i="70"/>
  <c r="U37" i="70"/>
  <c r="AI37" i="70"/>
  <c r="S38" i="70"/>
  <c r="AG38" i="70"/>
  <c r="S37" i="70"/>
  <c r="AG37" i="70"/>
  <c r="S36" i="70"/>
  <c r="AG36" i="70"/>
  <c r="S8" i="70"/>
  <c r="S9" i="70"/>
  <c r="AG9" i="70"/>
  <c r="T8" i="70"/>
  <c r="T9" i="70"/>
  <c r="U10" i="70"/>
  <c r="AI10" i="70"/>
  <c r="U9" i="70"/>
  <c r="AI9" i="70"/>
  <c r="U8" i="70"/>
  <c r="AI8" i="70"/>
  <c r="U20" i="70"/>
  <c r="AI20" i="70"/>
  <c r="S21" i="70"/>
  <c r="AG21" i="70"/>
  <c r="U22" i="70"/>
  <c r="AI22" i="70"/>
  <c r="R9" i="70"/>
  <c r="AF9" i="70"/>
  <c r="R8" i="70"/>
  <c r="AF8" i="70"/>
  <c r="V8" i="70"/>
  <c r="AJ8" i="70"/>
  <c r="V9" i="70"/>
  <c r="AJ9" i="70"/>
  <c r="R10" i="70"/>
  <c r="AF10" i="70"/>
  <c r="V20" i="70"/>
  <c r="AJ20" i="70"/>
  <c r="V22" i="70"/>
  <c r="AJ22" i="70"/>
  <c r="S22" i="70"/>
  <c r="AG22" i="70"/>
  <c r="P39" i="70"/>
  <c r="T38" i="70"/>
  <c r="P11" i="70"/>
  <c r="T10" i="70"/>
  <c r="V10" i="70"/>
  <c r="AJ10" i="70"/>
  <c r="S10" i="70"/>
  <c r="AG10" i="70"/>
  <c r="O3" i="70"/>
  <c r="R22" i="70"/>
  <c r="AF22" i="70"/>
  <c r="R20" i="70"/>
  <c r="AF20" i="70"/>
  <c r="T21" i="70"/>
  <c r="K3" i="70"/>
  <c r="S20" i="70"/>
  <c r="AG20" i="70"/>
  <c r="U21" i="70"/>
  <c r="AI21" i="70"/>
  <c r="S41" i="70"/>
  <c r="AG41" i="70"/>
  <c r="S40" i="70"/>
  <c r="AG40" i="70"/>
  <c r="U41" i="70"/>
  <c r="AI41" i="70"/>
  <c r="U40" i="70"/>
  <c r="AI40" i="70"/>
  <c r="T41" i="70"/>
  <c r="T40" i="70"/>
  <c r="P23" i="70"/>
  <c r="AD45" i="70"/>
  <c r="AD42" i="70"/>
  <c r="AD43" i="70"/>
  <c r="AD44" i="70"/>
  <c r="AD41" i="70"/>
  <c r="S13" i="70"/>
  <c r="AG13" i="70"/>
  <c r="S12" i="70"/>
  <c r="AG12" i="70"/>
  <c r="U13" i="70"/>
  <c r="AI13" i="70"/>
  <c r="U12" i="70"/>
  <c r="AI12" i="70"/>
  <c r="R13" i="70"/>
  <c r="AF13" i="70"/>
  <c r="R12" i="70"/>
  <c r="AF12" i="70"/>
  <c r="T13" i="70"/>
  <c r="T12" i="70"/>
  <c r="V13" i="70"/>
  <c r="AJ13" i="70"/>
  <c r="V12" i="70"/>
  <c r="AJ12" i="70"/>
  <c r="S42" i="70"/>
  <c r="AG42" i="70"/>
  <c r="S43" i="70"/>
  <c r="AG43" i="70"/>
  <c r="S44" i="70"/>
  <c r="AG44" i="70"/>
  <c r="U44" i="70"/>
  <c r="AI44" i="70"/>
  <c r="U42" i="70"/>
  <c r="AI42" i="70"/>
  <c r="U43" i="70"/>
  <c r="AI43" i="70"/>
  <c r="P45" i="70"/>
  <c r="T43" i="70"/>
  <c r="T44" i="70"/>
  <c r="T42" i="70"/>
  <c r="R15" i="70"/>
  <c r="AF15" i="70"/>
  <c r="R14" i="70"/>
  <c r="AF14" i="70"/>
  <c r="R16" i="70"/>
  <c r="AF16" i="70"/>
  <c r="R11" i="70"/>
  <c r="AF11" i="70"/>
  <c r="V15" i="70"/>
  <c r="AJ15" i="70"/>
  <c r="V16" i="70"/>
  <c r="AJ16" i="70"/>
  <c r="V14" i="70"/>
  <c r="AJ14" i="70"/>
  <c r="V11" i="70"/>
  <c r="AJ11" i="70"/>
  <c r="S16" i="70"/>
  <c r="AG16" i="70"/>
  <c r="S15" i="70"/>
  <c r="AG15" i="70"/>
  <c r="S14" i="70"/>
  <c r="AG14" i="70"/>
  <c r="S11" i="70"/>
  <c r="AG11" i="70"/>
  <c r="U15" i="70"/>
  <c r="AI15" i="70"/>
  <c r="U14" i="70"/>
  <c r="AI14" i="70"/>
  <c r="U16" i="70"/>
  <c r="AI16" i="70"/>
  <c r="U11" i="70"/>
  <c r="AI11" i="70"/>
  <c r="P17" i="70"/>
  <c r="T11" i="70"/>
  <c r="T14" i="70"/>
  <c r="T15" i="70"/>
  <c r="T16" i="70"/>
  <c r="AB31" i="70"/>
  <c r="T31" i="70"/>
  <c r="W31" i="70"/>
  <c r="Z31" i="70"/>
  <c r="AC3" i="70"/>
  <c r="N3" i="70"/>
  <c r="U18" i="70"/>
  <c r="AI18" i="70"/>
  <c r="U19" i="70"/>
  <c r="AI19" i="70"/>
  <c r="T47" i="70"/>
  <c r="T48" i="70"/>
  <c r="T50" i="70"/>
  <c r="U39" i="70"/>
  <c r="AI39" i="70"/>
  <c r="T49" i="70"/>
  <c r="T51" i="70"/>
  <c r="R18" i="70"/>
  <c r="AF18" i="70"/>
  <c r="V18" i="70"/>
  <c r="AJ18" i="70"/>
  <c r="R19" i="70"/>
  <c r="AF19" i="70"/>
  <c r="T19" i="70"/>
  <c r="V19" i="70"/>
  <c r="AJ19" i="70"/>
  <c r="P21" i="70"/>
  <c r="T20" i="70"/>
  <c r="T22" i="70"/>
  <c r="AA31" i="70"/>
  <c r="AD31" i="70"/>
  <c r="L3" i="70"/>
  <c r="Y3" i="70"/>
  <c r="U31" i="70"/>
  <c r="S45" i="70"/>
  <c r="AG45" i="70"/>
  <c r="T46" i="70"/>
  <c r="S39" i="70"/>
  <c r="AG39" i="70"/>
  <c r="T45" i="70"/>
  <c r="U46" i="70"/>
  <c r="AI46" i="70"/>
  <c r="S31" i="70"/>
  <c r="T39" i="70"/>
  <c r="U45" i="70"/>
  <c r="AI45" i="70"/>
  <c r="S17" i="70"/>
  <c r="AG17" i="70"/>
  <c r="AA3" i="70"/>
  <c r="AD3" i="70"/>
  <c r="S19" i="70"/>
  <c r="AG19" i="70"/>
  <c r="S3" i="70"/>
  <c r="T17" i="70"/>
  <c r="S18" i="70"/>
  <c r="AG18" i="70"/>
  <c r="T3" i="70"/>
  <c r="W3" i="70"/>
  <c r="U17" i="70"/>
  <c r="AI17" i="70"/>
  <c r="T18" i="70"/>
  <c r="U3" i="70"/>
  <c r="R17" i="70"/>
  <c r="AF17" i="70"/>
  <c r="V17" i="70"/>
  <c r="AJ17" i="70"/>
  <c r="R3" i="70"/>
  <c r="V3" i="70"/>
  <c r="M3" i="70"/>
  <c r="P3" i="70"/>
  <c r="W36" i="70"/>
  <c r="AK36" i="70"/>
  <c r="AH36" i="70"/>
  <c r="W7" i="70"/>
  <c r="AK7" i="70"/>
  <c r="AH7" i="70"/>
  <c r="W6" i="70"/>
  <c r="AK6" i="70"/>
  <c r="AH6" i="70"/>
  <c r="W5" i="70"/>
  <c r="AK5" i="70"/>
  <c r="AH5" i="70"/>
  <c r="W18" i="70"/>
  <c r="AK18" i="70"/>
  <c r="AH18" i="70"/>
  <c r="W17" i="70"/>
  <c r="AK17" i="70"/>
  <c r="AH17" i="70"/>
  <c r="W50" i="70"/>
  <c r="AK50" i="70"/>
  <c r="AH50" i="70"/>
  <c r="W14" i="70"/>
  <c r="AK14" i="70"/>
  <c r="AH14" i="70"/>
  <c r="W44" i="70"/>
  <c r="AK44" i="70"/>
  <c r="AH44" i="70"/>
  <c r="W13" i="70"/>
  <c r="AK13" i="70"/>
  <c r="AH13" i="70"/>
  <c r="W10" i="70"/>
  <c r="AK10" i="70"/>
  <c r="AH10" i="70"/>
  <c r="W37" i="70"/>
  <c r="AK37" i="70"/>
  <c r="AH37" i="70"/>
  <c r="W45" i="70"/>
  <c r="AK45" i="70"/>
  <c r="AH45" i="70"/>
  <c r="W22" i="70"/>
  <c r="AK22" i="70"/>
  <c r="AH22" i="70"/>
  <c r="W19" i="70"/>
  <c r="AK19" i="70"/>
  <c r="AH19" i="70"/>
  <c r="W51" i="70"/>
  <c r="AK51" i="70"/>
  <c r="AH51" i="70"/>
  <c r="W48" i="70"/>
  <c r="AK48" i="70"/>
  <c r="AH48" i="70"/>
  <c r="W11" i="70"/>
  <c r="AK11" i="70"/>
  <c r="AH11" i="70"/>
  <c r="W43" i="70"/>
  <c r="AK43" i="70"/>
  <c r="AH43" i="70"/>
  <c r="W40" i="70"/>
  <c r="AK40" i="70"/>
  <c r="AH40" i="70"/>
  <c r="AG8" i="70"/>
  <c r="B2" i="1"/>
  <c r="G23" i="46"/>
  <c r="W8" i="70"/>
  <c r="W9" i="70"/>
  <c r="W12" i="70"/>
  <c r="W15" i="70"/>
  <c r="W16" i="70"/>
  <c r="W20" i="70"/>
  <c r="W21" i="70"/>
  <c r="C23" i="46"/>
  <c r="W39" i="70"/>
  <c r="AK39" i="70"/>
  <c r="AH39" i="70"/>
  <c r="AK20" i="70"/>
  <c r="AH20" i="70"/>
  <c r="W49" i="70"/>
  <c r="AK49" i="70"/>
  <c r="AH49" i="70"/>
  <c r="W47" i="70"/>
  <c r="AK47" i="70"/>
  <c r="AH47" i="70"/>
  <c r="AK16" i="70"/>
  <c r="AH16" i="70"/>
  <c r="W41" i="70"/>
  <c r="AK41" i="70"/>
  <c r="AH41" i="70"/>
  <c r="AK21" i="70"/>
  <c r="AH21" i="70"/>
  <c r="W38" i="70"/>
  <c r="AK38" i="70"/>
  <c r="AH38" i="70"/>
  <c r="AK9" i="70"/>
  <c r="AH9" i="70"/>
  <c r="W46" i="70"/>
  <c r="AK46" i="70"/>
  <c r="AH46" i="70"/>
  <c r="AK15" i="70"/>
  <c r="AH15" i="70"/>
  <c r="W42" i="70"/>
  <c r="AK42" i="70"/>
  <c r="AH42" i="70"/>
  <c r="AK12" i="70"/>
  <c r="AH12" i="70"/>
  <c r="AK8" i="70"/>
  <c r="AH8" i="70"/>
  <c r="E25" i="69"/>
  <c r="E24" i="69"/>
  <c r="F23" i="69"/>
  <c r="F24" i="69"/>
  <c r="F25" i="69"/>
  <c r="E23" i="69"/>
  <c r="G23" i="69"/>
  <c r="E22" i="69"/>
  <c r="G22" i="69"/>
  <c r="F12" i="69"/>
  <c r="F11" i="69"/>
  <c r="C15" i="69"/>
  <c r="C18" i="69"/>
  <c r="D7" i="69"/>
  <c r="D6" i="69"/>
  <c r="D5"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c r="B23"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c r="C55" i="10"/>
  <c r="C54" i="10"/>
  <c r="B49" i="63"/>
  <c r="B44" i="63"/>
  <c r="B40" i="63"/>
  <c r="B30" i="63"/>
  <c r="B27" i="63"/>
  <c r="B25" i="63"/>
  <c r="A11" i="51"/>
  <c r="B10" i="63"/>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E29" i="59"/>
  <c r="O29" i="59"/>
  <c r="C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B52" i="59"/>
  <c r="D50" i="59"/>
  <c r="T49" i="59"/>
  <c r="Q49" i="59"/>
  <c r="P49" i="59"/>
  <c r="O49" i="59"/>
  <c r="N49" i="59"/>
  <c r="D49" i="59"/>
  <c r="Q48" i="59"/>
  <c r="P48" i="59"/>
  <c r="O48" i="59"/>
  <c r="N48" i="59"/>
  <c r="Q47" i="59"/>
  <c r="P47" i="59"/>
  <c r="O47" i="59"/>
  <c r="N47" i="59"/>
  <c r="Q46" i="59"/>
  <c r="F47"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N39" i="59"/>
  <c r="X39" i="59"/>
  <c r="Q38" i="59"/>
  <c r="AB38" i="59"/>
  <c r="F39" i="59"/>
  <c r="P38" i="59"/>
  <c r="E39" i="59"/>
  <c r="E40" i="59"/>
  <c r="E41" i="59"/>
  <c r="U41" i="59"/>
  <c r="O38" i="59"/>
  <c r="Y38" i="59"/>
  <c r="Z38" i="59"/>
  <c r="N38" i="59"/>
  <c r="D38" i="59"/>
  <c r="Q37" i="59"/>
  <c r="AB37" i="59"/>
  <c r="P37" i="59"/>
  <c r="O37" i="59"/>
  <c r="Y37" i="59"/>
  <c r="Z37" i="59"/>
  <c r="N37" i="59"/>
  <c r="Q36" i="59"/>
  <c r="AB36" i="59"/>
  <c r="P36" i="59"/>
  <c r="O36" i="59"/>
  <c r="Y36" i="59"/>
  <c r="Z36" i="59"/>
  <c r="N36" i="59"/>
  <c r="X36" i="59"/>
  <c r="Q35" i="59"/>
  <c r="AB35" i="59"/>
  <c r="P35" i="59"/>
  <c r="O35" i="59"/>
  <c r="Y35" i="59"/>
  <c r="Z35" i="59"/>
  <c r="N35" i="59"/>
  <c r="X35" i="59"/>
  <c r="Q34" i="59"/>
  <c r="AB34" i="59"/>
  <c r="P34" i="59"/>
  <c r="O34" i="59"/>
  <c r="Y34" i="59"/>
  <c r="Z34" i="59"/>
  <c r="C35" i="59"/>
  <c r="N34" i="59"/>
  <c r="X34" i="59"/>
  <c r="B35" i="59"/>
  <c r="B36" i="59"/>
  <c r="B37" i="59"/>
  <c r="S37" i="59"/>
  <c r="D34" i="59"/>
  <c r="Q33" i="59"/>
  <c r="AB33" i="59"/>
  <c r="P33" i="59"/>
  <c r="AA33" i="59"/>
  <c r="O33" i="59"/>
  <c r="Y33" i="59"/>
  <c r="Z33" i="59"/>
  <c r="N33" i="59"/>
  <c r="X33" i="59"/>
  <c r="Q32" i="59"/>
  <c r="AB32" i="59"/>
  <c r="P32" i="59"/>
  <c r="AA32" i="59"/>
  <c r="O32" i="59"/>
  <c r="Y32" i="59"/>
  <c r="Z32" i="59"/>
  <c r="N32" i="59"/>
  <c r="X32" i="59"/>
  <c r="Q31" i="59"/>
  <c r="AB31" i="59"/>
  <c r="P31" i="59"/>
  <c r="AA31" i="59"/>
  <c r="O31" i="59"/>
  <c r="Y31" i="59"/>
  <c r="Z31" i="59"/>
  <c r="N31" i="59"/>
  <c r="Q30" i="59"/>
  <c r="AB30" i="59"/>
  <c r="F31" i="59"/>
  <c r="P30" i="59"/>
  <c r="AA30" i="59"/>
  <c r="O30" i="59"/>
  <c r="N30" i="59"/>
  <c r="D30" i="59"/>
  <c r="AA3" i="59"/>
  <c r="AA27" i="59"/>
  <c r="AA29" i="59"/>
  <c r="AB3" i="59"/>
  <c r="AB27" i="59"/>
  <c r="E31" i="59"/>
  <c r="E32" i="59"/>
  <c r="E33" i="59"/>
  <c r="U33" i="59"/>
  <c r="B53" i="59"/>
  <c r="S53" i="59"/>
  <c r="E52" i="59"/>
  <c r="E53" i="59"/>
  <c r="U53" i="59"/>
  <c r="S69" i="59"/>
  <c r="AA40" i="59"/>
  <c r="F32" i="59"/>
  <c r="F33" i="59"/>
  <c r="V33" i="59"/>
  <c r="F40" i="59"/>
  <c r="F41" i="59"/>
  <c r="V41" i="59"/>
  <c r="F48" i="59"/>
  <c r="F49" i="59"/>
  <c r="V49" i="59"/>
  <c r="F57" i="59"/>
  <c r="V57" i="59"/>
  <c r="F60" i="59"/>
  <c r="F61" i="59"/>
  <c r="V61" i="59"/>
  <c r="F64" i="59"/>
  <c r="F65" i="59"/>
  <c r="V65" i="59"/>
  <c r="C44" i="59"/>
  <c r="C45" i="59"/>
  <c r="D43" i="59"/>
  <c r="D47" i="59"/>
  <c r="C52" i="59"/>
  <c r="C53" i="59"/>
  <c r="D51" i="59"/>
  <c r="C56" i="59"/>
  <c r="D55" i="59"/>
  <c r="C60" i="59"/>
  <c r="D60" i="59"/>
  <c r="D59" i="59"/>
  <c r="C64" i="59"/>
  <c r="D63" i="59"/>
  <c r="C36" i="59"/>
  <c r="C37" i="59"/>
  <c r="D35" i="59"/>
  <c r="Q68" i="59"/>
  <c r="T69" i="59"/>
  <c r="O69" i="59"/>
  <c r="D69" i="59"/>
  <c r="C68" i="59"/>
  <c r="D68" i="59"/>
  <c r="P69" i="59"/>
  <c r="U69" i="59"/>
  <c r="Q69" i="59"/>
  <c r="C72" i="59"/>
  <c r="C71" i="59"/>
  <c r="D71" i="59"/>
  <c r="E72" i="59"/>
  <c r="E71" i="59"/>
  <c r="D73" i="59"/>
  <c r="C76" i="59"/>
  <c r="D76" i="59"/>
  <c r="D77" i="59"/>
  <c r="C80" i="59"/>
  <c r="D80" i="59"/>
  <c r="E80" i="59"/>
  <c r="E79" i="59"/>
  <c r="D81" i="59"/>
  <c r="C84" i="59"/>
  <c r="C88" i="59"/>
  <c r="U16" i="4"/>
  <c r="S16" i="4"/>
  <c r="Q16" i="4"/>
  <c r="O16" i="4"/>
  <c r="M16" i="4"/>
  <c r="K16" i="4"/>
  <c r="D88" i="59"/>
  <c r="C87" i="59"/>
  <c r="D87" i="59"/>
  <c r="C79" i="59"/>
  <c r="D79" i="59"/>
  <c r="D72" i="59"/>
  <c r="C67" i="59"/>
  <c r="O66" i="59"/>
  <c r="O68" i="59"/>
  <c r="D84" i="59"/>
  <c r="C83" i="59"/>
  <c r="D83" i="59"/>
  <c r="C75" i="59"/>
  <c r="D75" i="59"/>
  <c r="D36" i="59"/>
  <c r="C65" i="59"/>
  <c r="D64" i="59"/>
  <c r="C61" i="59"/>
  <c r="T61" i="59"/>
  <c r="C57" i="59"/>
  <c r="D57" i="59"/>
  <c r="D56" i="59"/>
  <c r="D52" i="59"/>
  <c r="D61" i="59"/>
  <c r="T57" i="59"/>
  <c r="T65" i="59"/>
  <c r="D65" i="59"/>
  <c r="D6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S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C27" i="40"/>
  <c r="C22" i="20"/>
  <c r="B100" i="46"/>
  <c r="B68" i="46"/>
  <c r="S18" i="36"/>
  <c r="S18" i="35"/>
  <c r="S21" i="21"/>
  <c r="S31" i="39"/>
  <c r="C31" i="39"/>
  <c r="B57" i="46"/>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B96" i="3"/>
  <c r="BC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M66" i="3"/>
  <c r="BN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M62" i="3"/>
  <c r="BN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B174" i="3"/>
  <c r="BC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M163" i="3"/>
  <c r="BN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B143" i="3"/>
  <c r="BC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B135" i="3"/>
  <c r="BC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B127" i="3"/>
  <c r="BC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B119" i="3"/>
  <c r="BC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M286" i="3"/>
  <c r="BN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B284" i="3"/>
  <c r="BC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M278" i="3"/>
  <c r="BN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B276" i="3"/>
  <c r="BC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M274" i="3"/>
  <c r="BN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M270" i="3"/>
  <c r="BN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B268" i="3"/>
  <c r="BC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B264" i="3"/>
  <c r="BC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M262" i="3"/>
  <c r="BN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B260" i="3"/>
  <c r="BC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M258" i="3"/>
  <c r="BN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B256" i="3"/>
  <c r="BC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M254" i="3"/>
  <c r="BN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M250" i="3"/>
  <c r="BN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B248" i="3"/>
  <c r="BC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M246" i="3"/>
  <c r="BN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B244" i="3"/>
  <c r="BC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M242" i="3"/>
  <c r="BN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B240" i="3"/>
  <c r="BC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M238" i="3"/>
  <c r="BN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B236" i="3"/>
  <c r="BC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B232" i="3"/>
  <c r="BC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M230" i="3"/>
  <c r="BN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M222" i="3"/>
  <c r="BN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M218" i="3"/>
  <c r="BN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M214" i="3"/>
  <c r="BN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M210" i="3"/>
  <c r="BN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M206" i="3"/>
  <c r="BN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M386" i="3"/>
  <c r="BN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B473" i="3"/>
  <c r="BC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B457" i="3"/>
  <c r="BC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M455" i="3"/>
  <c r="BN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B437" i="3"/>
  <c r="BC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M435" i="3"/>
  <c r="BN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M431" i="3"/>
  <c r="BN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M423" i="3"/>
  <c r="BN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M419" i="3"/>
  <c r="BN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B417" i="3"/>
  <c r="BC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B413" i="3"/>
  <c r="BC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B405" i="3"/>
  <c r="BC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B397" i="3"/>
  <c r="BC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M391" i="3"/>
  <c r="BN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H19" i="4"/>
  <c r="F9" i="1"/>
  <c r="AP9"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W24" i="35"/>
  <c r="S31" i="35"/>
  <c r="W31" i="35"/>
  <c r="F36" i="34"/>
  <c r="S36" i="34"/>
  <c r="W9" i="34"/>
  <c r="S34" i="34"/>
  <c r="W39" i="34"/>
  <c r="H39" i="33"/>
  <c r="AB39" i="33"/>
  <c r="F26" i="33"/>
  <c r="AA26" i="33"/>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113" i="33"/>
  <c r="G113" i="33"/>
  <c r="H113" i="33"/>
  <c r="I113" i="33"/>
  <c r="J113" i="33"/>
  <c r="K113" i="33"/>
  <c r="L113" i="33"/>
  <c r="M113" i="33"/>
  <c r="F36" i="33"/>
  <c r="S36" i="33"/>
  <c r="F19" i="33"/>
  <c r="S19" i="33"/>
  <c r="J19" i="33"/>
  <c r="S10" i="21"/>
  <c r="W40" i="33"/>
  <c r="F125" i="21"/>
  <c r="G125" i="2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W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13" i="35"/>
  <c r="U30" i="33"/>
  <c r="J36" i="37"/>
  <c r="AC36" i="37"/>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BA551" i="3"/>
  <c r="AZ551" i="3"/>
  <c r="BA545" i="3"/>
  <c r="AZ545" i="3"/>
  <c r="BA543" i="3"/>
  <c r="BA541" i="3"/>
  <c r="AZ541" i="3"/>
  <c r="BA531" i="3"/>
  <c r="BA521" i="3"/>
  <c r="BA509" i="3"/>
  <c r="BA505" i="3"/>
  <c r="BA501" i="3"/>
  <c r="AZ501" i="3"/>
  <c r="BA493" i="3"/>
  <c r="BL493" i="3"/>
  <c r="AZ493" i="3"/>
  <c r="BA487" i="3"/>
  <c r="BA19" i="3"/>
  <c r="BA566" i="3"/>
  <c r="BA562" i="3"/>
  <c r="BA560" i="3"/>
  <c r="BA558" i="3"/>
  <c r="BQ558" i="3"/>
  <c r="BL558" i="3"/>
  <c r="AZ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c r="BQ562" i="3"/>
  <c r="BL562" i="3"/>
  <c r="AZ562" i="3"/>
  <c r="BQ560" i="3"/>
  <c r="BL560"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G492" i="3"/>
  <c r="G488" i="3"/>
  <c r="G484" i="3"/>
  <c r="G20" i="3"/>
  <c r="BQ492" i="3"/>
  <c r="BL492" i="3"/>
  <c r="AZ492" i="3"/>
  <c r="BQ490" i="3"/>
  <c r="BQ488" i="3"/>
  <c r="BL488" i="3"/>
  <c r="AZ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U31" i="37"/>
  <c r="AB31" i="37"/>
  <c r="J15" i="37"/>
  <c r="W15" i="37"/>
  <c r="U12" i="37"/>
  <c r="J11" i="37"/>
  <c r="W11" i="37"/>
  <c r="E89" i="40"/>
  <c r="F89" i="40"/>
  <c r="G89" i="40"/>
  <c r="F21" i="40"/>
  <c r="S21" i="40"/>
  <c r="J21" i="40"/>
  <c r="AC21" i="40"/>
  <c r="S27" i="31"/>
  <c r="AZ560" i="3"/>
  <c r="G483" i="3"/>
  <c r="G515"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BL303" i="3"/>
  <c r="AZ303" i="3"/>
  <c r="G304" i="3"/>
  <c r="BA305" i="3"/>
  <c r="G321" i="3"/>
  <c r="BL322" i="3"/>
  <c r="BA322" i="3"/>
  <c r="AZ322" i="3"/>
  <c r="G323" i="3"/>
  <c r="BL324" i="3"/>
  <c r="BA326" i="3"/>
  <c r="AZ326" i="3"/>
  <c r="BA327" i="3"/>
  <c r="BL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AZ377" i="3"/>
  <c r="G378" i="3"/>
  <c r="BA379" i="3"/>
  <c r="BA114" i="3"/>
  <c r="AZ114" i="3"/>
  <c r="BL115" i="3"/>
  <c r="AZ115" i="3"/>
  <c r="G116" i="3"/>
  <c r="BA118" i="3"/>
  <c r="BL119" i="3"/>
  <c r="AZ119" i="3"/>
  <c r="G120" i="3"/>
  <c r="BA122" i="3"/>
  <c r="BL123" i="3"/>
  <c r="AZ123" i="3"/>
  <c r="G124" i="3"/>
  <c r="BA126" i="3"/>
  <c r="BL127" i="3"/>
  <c r="G128" i="3"/>
  <c r="BA130" i="3"/>
  <c r="AZ130" i="3"/>
  <c r="BL131" i="3"/>
  <c r="AZ131" i="3"/>
  <c r="G132" i="3"/>
  <c r="BA134" i="3"/>
  <c r="BL135" i="3"/>
  <c r="AZ135" i="3"/>
  <c r="G136" i="3"/>
  <c r="BA138" i="3"/>
  <c r="BL139" i="3"/>
  <c r="AZ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AZ169" i="3"/>
  <c r="BL170" i="3"/>
  <c r="G171" i="3"/>
  <c r="BA173" i="3"/>
  <c r="BL174" i="3"/>
  <c r="AZ174" i="3"/>
  <c r="G175" i="3"/>
  <c r="BA178" i="3"/>
  <c r="AZ178" i="3"/>
  <c r="BL179" i="3"/>
  <c r="G180" i="3"/>
  <c r="AZ31" i="3"/>
  <c r="AZ35" i="3"/>
  <c r="AZ47" i="3"/>
  <c r="AZ51" i="3"/>
  <c r="G537" i="3"/>
  <c r="BL181" i="3"/>
  <c r="G182" i="3"/>
  <c r="BA184" i="3"/>
  <c r="AZ184" i="3"/>
  <c r="BL185" i="3"/>
  <c r="G186" i="3"/>
  <c r="BA188" i="3"/>
  <c r="AZ188" i="3"/>
  <c r="BL189" i="3"/>
  <c r="G190" i="3"/>
  <c r="BA192" i="3"/>
  <c r="AZ192" i="3"/>
  <c r="BL193" i="3"/>
  <c r="G194" i="3"/>
  <c r="BA196" i="3"/>
  <c r="AZ196" i="3"/>
  <c r="BL197" i="3"/>
  <c r="G198" i="3"/>
  <c r="BA200" i="3"/>
  <c r="AZ200" i="3"/>
  <c r="BL201" i="3"/>
  <c r="AZ78" i="3"/>
  <c r="AZ82" i="3"/>
  <c r="G491" i="3"/>
  <c r="BA298" i="3"/>
  <c r="AZ298" i="3"/>
  <c r="BA299" i="3"/>
  <c r="BL299" i="3"/>
  <c r="AZ299" i="3"/>
  <c r="G300" i="3"/>
  <c r="G303" i="3"/>
  <c r="BL304" i="3"/>
  <c r="BA306" i="3"/>
  <c r="AZ306" i="3"/>
  <c r="BA307" i="3"/>
  <c r="BL307" i="3"/>
  <c r="G308" i="3"/>
  <c r="G319" i="3"/>
  <c r="BL320" i="3"/>
  <c r="BA323" i="3"/>
  <c r="BL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AZ143" i="3"/>
  <c r="BA358" i="3"/>
  <c r="AZ358" i="3"/>
  <c r="BA359" i="3"/>
  <c r="BL359" i="3"/>
  <c r="G360" i="3"/>
  <c r="G361" i="3"/>
  <c r="BL362" i="3"/>
  <c r="BA364" i="3"/>
  <c r="BA365" i="3"/>
  <c r="BL365" i="3"/>
  <c r="AZ365" i="3"/>
  <c r="G366" i="3"/>
  <c r="G369" i="3"/>
  <c r="BL370" i="3"/>
  <c r="BA372" i="3"/>
  <c r="BA373" i="3"/>
  <c r="BL373" i="3"/>
  <c r="AZ373" i="3"/>
  <c r="G374" i="3"/>
  <c r="G377" i="3"/>
  <c r="BL378" i="3"/>
  <c r="BA380" i="3"/>
  <c r="AZ380" i="3"/>
  <c r="BA381" i="3"/>
  <c r="BL381" i="3"/>
  <c r="AZ381" i="3"/>
  <c r="G382" i="3"/>
  <c r="G385" i="3"/>
  <c r="AZ162" i="3"/>
  <c r="AZ166" i="3"/>
  <c r="AZ170" i="3"/>
  <c r="AZ203" i="3"/>
  <c r="G523" i="3"/>
  <c r="BL297" i="3"/>
  <c r="AZ297" i="3"/>
  <c r="G298" i="3"/>
  <c r="BA300" i="3"/>
  <c r="BL301" i="3"/>
  <c r="AZ301" i="3"/>
  <c r="G302" i="3"/>
  <c r="BA304" i="3"/>
  <c r="BL305" i="3"/>
  <c r="AZ305" i="3"/>
  <c r="G306" i="3"/>
  <c r="BA308" i="3"/>
  <c r="AZ308" i="3"/>
  <c r="BL309" i="3"/>
  <c r="G310" i="3"/>
  <c r="BA310" i="3"/>
  <c r="BL311" i="3"/>
  <c r="G312" i="3"/>
  <c r="BA312" i="3"/>
  <c r="AZ312" i="3"/>
  <c r="BL313" i="3"/>
  <c r="G314" i="3"/>
  <c r="BA314" i="3"/>
  <c r="BL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BL341" i="3"/>
  <c r="AZ341" i="3"/>
  <c r="G342" i="3"/>
  <c r="BA344" i="3"/>
  <c r="BL345" i="3"/>
  <c r="AZ345" i="3"/>
  <c r="G346" i="3"/>
  <c r="BA348" i="3"/>
  <c r="AZ348" i="3"/>
  <c r="BL349" i="3"/>
  <c r="G350" i="3"/>
  <c r="BA352" i="3"/>
  <c r="AZ352" i="3"/>
  <c r="BL353" i="3"/>
  <c r="G354" i="3"/>
  <c r="BA356" i="3"/>
  <c r="AZ356" i="3"/>
  <c r="BL357" i="3"/>
  <c r="G358" i="3"/>
  <c r="BA362" i="3"/>
  <c r="BL363" i="3"/>
  <c r="G364" i="3"/>
  <c r="BA366" i="3"/>
  <c r="BL367" i="3"/>
  <c r="AZ367" i="3"/>
  <c r="AZ321" i="3"/>
  <c r="AZ353" i="3"/>
  <c r="AZ363" i="3"/>
  <c r="G368" i="3"/>
  <c r="BA370" i="3"/>
  <c r="BL371" i="3"/>
  <c r="G372" i="3"/>
  <c r="BA374" i="3"/>
  <c r="AZ374" i="3"/>
  <c r="BL375" i="3"/>
  <c r="G376" i="3"/>
  <c r="BA378" i="3"/>
  <c r="AZ378" i="3"/>
  <c r="BL379" i="3"/>
  <c r="AZ379" i="3"/>
  <c r="G380" i="3"/>
  <c r="BA382" i="3"/>
  <c r="BL383" i="3"/>
  <c r="AZ383" i="3"/>
  <c r="G384" i="3"/>
  <c r="AZ311" i="3"/>
  <c r="AZ315" i="3"/>
  <c r="AZ347" i="3"/>
  <c r="AZ361" i="3"/>
  <c r="F37" i="46"/>
  <c r="AB16" i="35"/>
  <c r="AB15" i="37"/>
  <c r="AA43" i="21"/>
  <c r="U43" i="21"/>
  <c r="AA13" i="40"/>
  <c r="F77" i="40"/>
  <c r="G77" i="40"/>
  <c r="H77" i="40"/>
  <c r="I77" i="40"/>
  <c r="J77" i="40"/>
  <c r="K77" i="40"/>
  <c r="L77" i="40"/>
  <c r="M77" i="40"/>
  <c r="BH5" i="3"/>
  <c r="R16" i="4"/>
  <c r="D3" i="35"/>
  <c r="G4" i="4"/>
  <c r="S37" i="34"/>
  <c r="J16" i="35"/>
  <c r="W16" i="35"/>
  <c r="U42" i="21"/>
  <c r="AC26" i="36"/>
  <c r="W25" i="35"/>
  <c r="AZ300" i="3"/>
  <c r="AZ354" i="3"/>
  <c r="H13" i="39"/>
  <c r="AB13" i="39"/>
  <c r="F13" i="39"/>
  <c r="J13" i="39"/>
  <c r="AC13" i="39"/>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AZ548" i="3"/>
  <c r="BL547" i="3"/>
  <c r="BA547" i="3"/>
  <c r="BL539" i="3"/>
  <c r="BA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BL513" i="3"/>
  <c r="BA513" i="3"/>
  <c r="BL512" i="3"/>
  <c r="AZ512" i="3"/>
  <c r="BA511" i="3"/>
  <c r="AZ511" i="3"/>
  <c r="BA510" i="3"/>
  <c r="AZ510" i="3"/>
  <c r="BL509" i="3"/>
  <c r="AZ509" i="3"/>
  <c r="BL507" i="3"/>
  <c r="BA507" i="3"/>
  <c r="AZ507" i="3"/>
  <c r="BL506" i="3"/>
  <c r="BA506" i="3"/>
  <c r="BL505" i="3"/>
  <c r="AZ505" i="3"/>
  <c r="BL504" i="3"/>
  <c r="BA504" i="3"/>
  <c r="AZ504" i="3"/>
  <c r="BA503" i="3"/>
  <c r="AZ503" i="3"/>
  <c r="BA500" i="3"/>
  <c r="AZ500" i="3"/>
  <c r="BL499" i="3"/>
  <c r="BA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F91"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W40" i="40"/>
  <c r="AC40" i="40"/>
  <c r="J34" i="40"/>
  <c r="AC34" i="40"/>
  <c r="H16" i="40"/>
  <c r="AB16" i="40"/>
  <c r="H14" i="40"/>
  <c r="U14" i="40"/>
  <c r="F32" i="40"/>
  <c r="AA32" i="40"/>
  <c r="F61" i="46"/>
  <c r="H61" i="46"/>
  <c r="AZ231" i="3"/>
  <c r="AZ236" i="3"/>
  <c r="AZ239" i="3"/>
  <c r="AZ244" i="3"/>
  <c r="AZ247" i="3"/>
  <c r="AZ252" i="3"/>
  <c r="AZ255" i="3"/>
  <c r="AZ260" i="3"/>
  <c r="AZ263" i="3"/>
  <c r="AZ268" i="3"/>
  <c r="AZ276" i="3"/>
  <c r="AZ284" i="3"/>
  <c r="AZ292" i="3"/>
  <c r="F72" i="46"/>
  <c r="H74" i="46"/>
  <c r="AZ164" i="3"/>
  <c r="AZ180" i="3"/>
  <c r="AZ63" i="3"/>
  <c r="AZ112" i="3"/>
  <c r="J13" i="40"/>
  <c r="W13" i="40"/>
  <c r="AB14" i="40"/>
  <c r="F72" i="9"/>
  <c r="AC14" i="40"/>
  <c r="S47" i="39"/>
  <c r="AB25" i="39"/>
  <c r="U37" i="34"/>
  <c r="AB37" i="34"/>
  <c r="W41" i="40"/>
  <c r="U41" i="40"/>
  <c r="J23" i="40"/>
  <c r="AC23" i="40"/>
  <c r="G91" i="40"/>
  <c r="F23" i="40"/>
  <c r="S23" i="40"/>
  <c r="AC15" i="40"/>
  <c r="W27" i="39"/>
  <c r="S23" i="39"/>
  <c r="AB16" i="39"/>
  <c r="U23" i="35"/>
  <c r="AB23" i="35"/>
  <c r="H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AC36" i="33"/>
  <c r="F25" i="40"/>
  <c r="AA25" i="40"/>
  <c r="J11" i="33"/>
  <c r="W11" i="33"/>
  <c r="H33" i="37"/>
  <c r="AB33" i="37"/>
  <c r="W15" i="34"/>
  <c r="U20" i="35"/>
  <c r="AB20" i="35"/>
  <c r="W23" i="40"/>
  <c r="B11" i="1"/>
  <c r="E11" i="1"/>
  <c r="K11" i="1"/>
  <c r="M11" i="1"/>
  <c r="B9" i="1"/>
  <c r="E9" i="1"/>
  <c r="K9" i="1"/>
  <c r="M9" i="1"/>
  <c r="B7" i="1"/>
  <c r="E7" i="1"/>
  <c r="K7" i="1"/>
  <c r="M7" i="1"/>
  <c r="AP6" i="1"/>
  <c r="M20" i="44"/>
  <c r="AC25" i="36"/>
  <c r="S23" i="36"/>
  <c r="S8" i="36"/>
  <c r="AA26" i="36"/>
  <c r="AA28" i="36"/>
  <c r="U25" i="36"/>
  <c r="H20" i="36"/>
  <c r="U20" i="36"/>
  <c r="F68" i="36"/>
  <c r="G68" i="36"/>
  <c r="J20" i="36"/>
  <c r="AC20" i="36"/>
  <c r="F20" i="36"/>
  <c r="S20" i="36"/>
  <c r="F62" i="36"/>
  <c r="G62" i="36"/>
  <c r="J14" i="36"/>
  <c r="H14" i="36"/>
  <c r="F14" i="36"/>
  <c r="AA14" i="36"/>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AB23" i="33"/>
  <c r="U19" i="33"/>
  <c r="F79" i="33"/>
  <c r="G79" i="33"/>
  <c r="F17" i="33"/>
  <c r="S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U39" i="40"/>
  <c r="J39" i="40"/>
  <c r="W38" i="40"/>
  <c r="F29" i="40"/>
  <c r="H29" i="40"/>
  <c r="U29" i="40"/>
  <c r="J29" i="40"/>
  <c r="F97" i="40"/>
  <c r="G97" i="40"/>
  <c r="H97" i="40"/>
  <c r="I97" i="40"/>
  <c r="J97" i="40"/>
  <c r="K97" i="40"/>
  <c r="L97" i="40"/>
  <c r="M97" i="40"/>
  <c r="S30" i="40"/>
  <c r="S25" i="40"/>
  <c r="AA23" i="40"/>
  <c r="F87" i="40"/>
  <c r="G87" i="40"/>
  <c r="F19" i="40"/>
  <c r="AA19" i="40"/>
  <c r="H19" i="40"/>
  <c r="U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c r="C53" i="10"/>
  <c r="A25" i="64"/>
  <c r="A18" i="51"/>
  <c r="B14" i="63"/>
  <c r="BA16" i="3"/>
  <c r="BA17" i="3"/>
  <c r="AZ17" i="3"/>
  <c r="F3" i="35"/>
  <c r="K1" i="43"/>
  <c r="K1" i="12"/>
  <c r="G1" i="44"/>
  <c r="I4" i="6"/>
  <c r="G3" i="46"/>
  <c r="Z7" i="46"/>
  <c r="AZ15" i="3"/>
  <c r="BK5" i="3"/>
  <c r="BO5" i="3"/>
  <c r="BP5" i="3"/>
  <c r="BN5" i="3"/>
  <c r="G29" i="6"/>
  <c r="BL18" i="3"/>
  <c r="AZ18" i="3"/>
  <c r="BC5" i="3"/>
  <c r="BD5" i="3"/>
  <c r="BR5" i="3"/>
  <c r="BS5" i="3"/>
  <c r="BQ5" i="3"/>
  <c r="BL16" i="3"/>
  <c r="BM5" i="3"/>
  <c r="F29" i="6"/>
  <c r="G28" i="12"/>
  <c r="D24" i="44"/>
  <c r="D26" i="44"/>
  <c r="F50" i="46"/>
  <c r="H52" i="46"/>
  <c r="C6" i="46"/>
  <c r="I5" i="48"/>
  <c r="K21" i="46"/>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G66" i="36"/>
  <c r="H18" i="36"/>
  <c r="U18" i="36"/>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c r="AT6" i="3"/>
  <c r="AZ16" i="3"/>
  <c r="E4" i="4"/>
  <c r="B21" i="55"/>
  <c r="B72" i="63"/>
  <c r="C4" i="4"/>
  <c r="J18" i="36"/>
  <c r="W18" i="36"/>
  <c r="AC18" i="36"/>
  <c r="L20" i="6"/>
  <c r="B20" i="55"/>
  <c r="B70" i="63"/>
  <c r="C45" i="9"/>
  <c r="B7" i="66"/>
  <c r="C44" i="9"/>
  <c r="B6" i="66"/>
  <c r="K29" i="9"/>
  <c r="K30" i="9"/>
  <c r="N76" i="9"/>
  <c r="C46" i="9"/>
  <c r="K33" i="9"/>
  <c r="O41" i="9"/>
  <c r="K34" i="9"/>
  <c r="R8" i="54"/>
  <c r="B54" i="63"/>
  <c r="B8" i="66"/>
  <c r="J21" i="46"/>
  <c r="F38" i="46"/>
  <c r="F41" i="46"/>
  <c r="F40" i="46"/>
  <c r="H117" i="46"/>
  <c r="D24" i="59"/>
  <c r="C23" i="59"/>
  <c r="D23"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B22" i="59"/>
  <c r="B21" i="59"/>
  <c r="B20" i="59"/>
  <c r="B19" i="59"/>
  <c r="B18" i="59"/>
  <c r="F36" i="15"/>
  <c r="F9" i="44"/>
  <c r="L47" i="15"/>
  <c r="F40" i="44"/>
  <c r="M31" i="44"/>
  <c r="F11" i="67"/>
  <c r="F38" i="15"/>
  <c r="M25" i="44"/>
  <c r="M26" i="44"/>
  <c r="M28" i="44"/>
  <c r="E9" i="67"/>
  <c r="F26" i="15"/>
  <c r="F9" i="67"/>
  <c r="C21" i="9"/>
  <c r="J6" i="65"/>
  <c r="D21" i="9"/>
  <c r="F6" i="15"/>
  <c r="E8" i="67"/>
  <c r="M11" i="44"/>
  <c r="B14" i="67"/>
  <c r="M8" i="44"/>
  <c r="F40" i="15"/>
  <c r="B9" i="67"/>
  <c r="J7" i="65"/>
  <c r="L48" i="15"/>
  <c r="F37" i="15"/>
  <c r="F7" i="15"/>
  <c r="F11" i="44"/>
  <c r="E14" i="67"/>
  <c r="N7" i="65"/>
  <c r="N6" i="65"/>
  <c r="M30" i="44"/>
  <c r="F45" i="44"/>
  <c r="B10" i="67"/>
  <c r="E10" i="67"/>
  <c r="F10" i="44"/>
  <c r="F38" i="44"/>
  <c r="F8" i="44"/>
  <c r="I7" i="65"/>
  <c r="D19" i="9"/>
  <c r="F16" i="15"/>
  <c r="F43" i="44"/>
  <c r="F8" i="67"/>
  <c r="B12" i="67"/>
  <c r="M26" i="15"/>
  <c r="C20" i="9"/>
  <c r="L49" i="44"/>
  <c r="F10" i="67"/>
  <c r="J4" i="65"/>
  <c r="M6" i="15"/>
  <c r="F42" i="15"/>
  <c r="F12" i="67"/>
  <c r="I6" i="65"/>
  <c r="J17" i="44"/>
  <c r="E12" i="67"/>
  <c r="F9" i="15"/>
  <c r="M10" i="44"/>
  <c r="B8" i="67"/>
  <c r="M23" i="15"/>
  <c r="M24" i="44"/>
  <c r="I3" i="65"/>
  <c r="D20" i="9"/>
  <c r="F14" i="67"/>
  <c r="B11" i="67"/>
  <c r="J3" i="65"/>
  <c r="M9" i="15"/>
  <c r="L48" i="44"/>
  <c r="F39" i="44"/>
  <c r="N4" i="65"/>
  <c r="J36" i="15"/>
  <c r="F15" i="44"/>
  <c r="M8" i="15"/>
  <c r="B13" i="67"/>
  <c r="J5" i="65"/>
  <c r="C19" i="9"/>
  <c r="I4" i="65"/>
  <c r="M28" i="15"/>
  <c r="M22" i="15"/>
  <c r="N3" i="65"/>
  <c r="E13" i="67"/>
  <c r="M29" i="15"/>
  <c r="F18" i="44"/>
  <c r="E11" i="67"/>
  <c r="F43" i="15"/>
  <c r="F13" i="67"/>
  <c r="F8" i="15"/>
  <c r="F13" i="15"/>
  <c r="N5" i="65"/>
  <c r="M24" i="15"/>
  <c r="F28" i="44"/>
  <c r="J15" i="15"/>
  <c r="F10" i="1"/>
  <c r="I24" i="46"/>
  <c r="C24" i="46"/>
  <c r="H72" i="46"/>
  <c r="P16" i="4"/>
  <c r="G12" i="1"/>
  <c r="F20" i="59"/>
  <c r="F19" i="59"/>
  <c r="F18" i="59"/>
  <c r="F17" i="59"/>
  <c r="V21" i="59"/>
  <c r="C20" i="59"/>
  <c r="T21" i="59"/>
  <c r="D21" i="59"/>
  <c r="AC27" i="40"/>
  <c r="D22" i="59"/>
  <c r="AB18" i="36"/>
  <c r="W20" i="36"/>
  <c r="S17" i="34"/>
  <c r="AC16" i="40"/>
  <c r="U16" i="40"/>
  <c r="W14" i="39"/>
  <c r="S21" i="59"/>
  <c r="AB11" i="33"/>
  <c r="S33" i="40"/>
  <c r="AZ499" i="3"/>
  <c r="AZ513" i="3"/>
  <c r="AZ518" i="3"/>
  <c r="AZ539" i="3"/>
  <c r="O40" i="9"/>
  <c r="K31" i="9"/>
  <c r="K32" i="9"/>
  <c r="AZ526" i="3"/>
  <c r="AZ534" i="3"/>
  <c r="H5" i="3"/>
  <c r="BA570" i="3"/>
  <c r="AZ570" i="3"/>
  <c r="BE5" i="3"/>
  <c r="B94" i="46"/>
  <c r="B84" i="46"/>
  <c r="AZ340" i="3"/>
  <c r="AZ329" i="3"/>
  <c r="AZ355" i="3"/>
  <c r="AC28" i="34"/>
  <c r="AZ514" i="3"/>
  <c r="AZ546" i="3"/>
  <c r="AZ502" i="3"/>
  <c r="AZ550" i="3"/>
  <c r="AZ555" i="3"/>
  <c r="AA27" i="33"/>
  <c r="AB40" i="37"/>
  <c r="W35" i="35"/>
  <c r="AC31" i="34"/>
  <c r="E5" i="6"/>
  <c r="D12" i="11"/>
  <c r="C12" i="1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c r="B101" i="46"/>
  <c r="B79" i="46"/>
  <c r="F9" i="36"/>
  <c r="G567" i="3"/>
  <c r="G563" i="3"/>
  <c r="AZ396" i="3"/>
  <c r="AZ400" i="3"/>
  <c r="AZ404" i="3"/>
  <c r="AZ412" i="3"/>
  <c r="AZ416" i="3"/>
  <c r="BL432" i="3"/>
  <c r="AZ432" i="3"/>
  <c r="AZ433" i="3"/>
  <c r="AZ436" i="3"/>
  <c r="AZ440" i="3"/>
  <c r="AZ448" i="3"/>
  <c r="AZ456" i="3"/>
  <c r="AZ460" i="3"/>
  <c r="AZ464" i="3"/>
  <c r="AZ468" i="3"/>
  <c r="AZ472" i="3"/>
  <c r="AZ476" i="3"/>
  <c r="AZ480" i="3"/>
  <c r="BL318" i="3"/>
  <c r="AZ318" i="3"/>
  <c r="AZ319" i="3"/>
  <c r="BL334" i="3"/>
  <c r="AZ334" i="3"/>
  <c r="AZ335" i="3"/>
  <c r="BA351" i="3"/>
  <c r="AZ351" i="3"/>
  <c r="BL360" i="3"/>
  <c r="AZ360" i="3"/>
  <c r="BL366" i="3"/>
  <c r="AZ366" i="3"/>
  <c r="BL376" i="3"/>
  <c r="AZ376" i="3"/>
  <c r="BL382" i="3"/>
  <c r="AZ382" i="3"/>
  <c r="BL387" i="3"/>
  <c r="AZ387" i="3"/>
  <c r="BL388" i="3"/>
  <c r="AZ388" i="3"/>
  <c r="BA207" i="3"/>
  <c r="AZ207" i="3"/>
  <c r="BL208" i="3"/>
  <c r="BL212" i="3"/>
  <c r="AZ212" i="3"/>
  <c r="BA215" i="3"/>
  <c r="AZ215" i="3"/>
  <c r="BL216" i="3"/>
  <c r="BL220" i="3"/>
  <c r="AZ220" i="3"/>
  <c r="BA223" i="3"/>
  <c r="AZ223" i="3"/>
  <c r="BL224" i="3"/>
  <c r="BL228" i="3"/>
  <c r="AZ228" i="3"/>
  <c r="BL229" i="3"/>
  <c r="G231" i="3"/>
  <c r="BA389" i="3"/>
  <c r="AZ389" i="3"/>
  <c r="BA393" i="3"/>
  <c r="AZ393" i="3"/>
  <c r="BL398" i="3"/>
  <c r="AZ398" i="3"/>
  <c r="BA401" i="3"/>
  <c r="AZ401" i="3"/>
  <c r="BL402" i="3"/>
  <c r="AZ402" i="3"/>
  <c r="BA409" i="3"/>
  <c r="AZ409" i="3"/>
  <c r="BL414" i="3"/>
  <c r="AZ414" i="3"/>
  <c r="BL418" i="3"/>
  <c r="AZ418" i="3"/>
  <c r="BA421" i="3"/>
  <c r="AZ421"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AZ216" i="3"/>
  <c r="BL217" i="3"/>
  <c r="AZ217" i="3"/>
  <c r="BL221" i="3"/>
  <c r="AZ221" i="3"/>
  <c r="AZ224" i="3"/>
  <c r="BL225" i="3"/>
  <c r="AZ225" i="3"/>
  <c r="BA390" i="3"/>
  <c r="AZ390" i="3"/>
  <c r="BA394" i="3"/>
  <c r="AZ394" i="3"/>
  <c r="BL395" i="3"/>
  <c r="BL399" i="3"/>
  <c r="AZ399"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AZ368" i="3"/>
  <c r="AZ371" i="3"/>
  <c r="BA384" i="3"/>
  <c r="AZ384" i="3"/>
  <c r="BA229" i="3"/>
  <c r="BL145" i="3"/>
  <c r="AZ145" i="3"/>
  <c r="A30" i="51"/>
  <c r="B22" i="63"/>
  <c r="A30" i="64"/>
  <c r="BA391" i="3"/>
  <c r="AZ391" i="3"/>
  <c r="BL392" i="3"/>
  <c r="AZ392" i="3"/>
  <c r="BA407" i="3"/>
  <c r="AZ407" i="3"/>
  <c r="BL408" i="3"/>
  <c r="AZ408" i="3"/>
  <c r="BA419" i="3"/>
  <c r="AZ419" i="3"/>
  <c r="BL420" i="3"/>
  <c r="AZ420" i="3"/>
  <c r="BA423" i="3"/>
  <c r="AZ423" i="3"/>
  <c r="BL424" i="3"/>
  <c r="AZ424" i="3"/>
  <c r="BL428" i="3"/>
  <c r="AZ428" i="3"/>
  <c r="BA431" i="3"/>
  <c r="AZ431" i="3"/>
  <c r="BA435" i="3"/>
  <c r="AZ435" i="3"/>
  <c r="BL444" i="3"/>
  <c r="AZ444" i="3"/>
  <c r="BL452" i="3"/>
  <c r="AZ452" i="3"/>
  <c r="BA455" i="3"/>
  <c r="AZ455" i="3"/>
  <c r="BL350" i="3"/>
  <c r="AZ350" i="3"/>
  <c r="BA375" i="3"/>
  <c r="AZ375" i="3"/>
  <c r="BA386" i="3"/>
  <c r="AZ386" i="3"/>
  <c r="BA206" i="3"/>
  <c r="BA210" i="3"/>
  <c r="AZ210" i="3"/>
  <c r="BL211" i="3"/>
  <c r="BA214" i="3"/>
  <c r="AZ214" i="3"/>
  <c r="BA218" i="3"/>
  <c r="AZ218" i="3"/>
  <c r="BL219" i="3"/>
  <c r="BA222" i="3"/>
  <c r="AZ222" i="3"/>
  <c r="BA226" i="3"/>
  <c r="AZ226" i="3"/>
  <c r="BL227" i="3"/>
  <c r="BL113" i="3"/>
  <c r="AZ113" i="3"/>
  <c r="BL267" i="3"/>
  <c r="AZ267" i="3"/>
  <c r="BL275" i="3"/>
  <c r="AZ275" i="3"/>
  <c r="BL291" i="3"/>
  <c r="AZ291" i="3"/>
  <c r="AZ117" i="3"/>
  <c r="AZ125" i="3"/>
  <c r="AZ133" i="3"/>
  <c r="AZ141" i="3"/>
  <c r="BA149" i="3"/>
  <c r="AZ149" i="3"/>
  <c r="BL58" i="3"/>
  <c r="AZ58"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A120" i="3"/>
  <c r="AZ120" i="3"/>
  <c r="BL122" i="3"/>
  <c r="AZ122" i="3"/>
  <c r="BA128" i="3"/>
  <c r="AZ128" i="3"/>
  <c r="BL129" i="3"/>
  <c r="AZ129" i="3"/>
  <c r="BA136" i="3"/>
  <c r="AZ136" i="3"/>
  <c r="BL138" i="3"/>
  <c r="AZ138" i="3"/>
  <c r="BA144" i="3"/>
  <c r="AZ144" i="3"/>
  <c r="BL153" i="3"/>
  <c r="AZ153" i="3"/>
  <c r="BA269" i="3"/>
  <c r="AZ269" i="3"/>
  <c r="BA273" i="3"/>
  <c r="AZ273" i="3"/>
  <c r="BA277" i="3"/>
  <c r="AZ277" i="3"/>
  <c r="BA281" i="3"/>
  <c r="AZ281" i="3"/>
  <c r="BA285" i="3"/>
  <c r="AZ285" i="3"/>
  <c r="BA289" i="3"/>
  <c r="AZ289" i="3"/>
  <c r="BA293" i="3"/>
  <c r="AZ293" i="3"/>
  <c r="BL294" i="3"/>
  <c r="AZ294" i="3"/>
  <c r="BL116" i="3"/>
  <c r="BA121" i="3"/>
  <c r="AZ121" i="3"/>
  <c r="BL124" i="3"/>
  <c r="AZ124" i="3"/>
  <c r="BL132" i="3"/>
  <c r="AZ132" i="3"/>
  <c r="BA137" i="3"/>
  <c r="AZ137" i="3"/>
  <c r="BL140" i="3"/>
  <c r="AZ140" i="3"/>
  <c r="BL148" i="3"/>
  <c r="AZ148" i="3"/>
  <c r="BA152" i="3"/>
  <c r="AZ152" i="3"/>
  <c r="BL22" i="3"/>
  <c r="AZ22" i="3"/>
  <c r="BL61" i="3"/>
  <c r="AZ61"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A270" i="3"/>
  <c r="AZ270" i="3"/>
  <c r="BL271" i="3"/>
  <c r="BA274" i="3"/>
  <c r="AZ274" i="3"/>
  <c r="BA278" i="3"/>
  <c r="AZ278" i="3"/>
  <c r="BL279" i="3"/>
  <c r="AZ279" i="3"/>
  <c r="BA282" i="3"/>
  <c r="AZ282" i="3"/>
  <c r="BL283" i="3"/>
  <c r="AZ283" i="3"/>
  <c r="BA286" i="3"/>
  <c r="AZ286" i="3"/>
  <c r="BL287" i="3"/>
  <c r="BA290" i="3"/>
  <c r="AZ290" i="3"/>
  <c r="BL295" i="3"/>
  <c r="AZ295" i="3"/>
  <c r="BL118" i="3"/>
  <c r="AZ118" i="3"/>
  <c r="BL126" i="3"/>
  <c r="AZ126" i="3"/>
  <c r="BL134" i="3"/>
  <c r="AZ134" i="3"/>
  <c r="BL142" i="3"/>
  <c r="AZ142" i="3"/>
  <c r="BL150" i="3"/>
  <c r="AZ150" i="3"/>
  <c r="BA154" i="3"/>
  <c r="AZ154" i="3"/>
  <c r="BL204" i="3"/>
  <c r="AZ204" i="3"/>
  <c r="BL73" i="3"/>
  <c r="AZ73" i="3"/>
  <c r="BA155" i="3"/>
  <c r="AZ155" i="3"/>
  <c r="BL156" i="3"/>
  <c r="AZ156" i="3"/>
  <c r="BA163" i="3"/>
  <c r="AZ163" i="3"/>
  <c r="BL165" i="3"/>
  <c r="AZ165" i="3"/>
  <c r="BL173" i="3"/>
  <c r="AZ173" i="3"/>
  <c r="BL182" i="3"/>
  <c r="BA185" i="3"/>
  <c r="AZ185" i="3"/>
  <c r="BL190" i="3"/>
  <c r="BA193" i="3"/>
  <c r="AZ193" i="3"/>
  <c r="BL198" i="3"/>
  <c r="BA201" i="3"/>
  <c r="AZ201" i="3"/>
  <c r="BA202" i="3"/>
  <c r="AZ202" i="3"/>
  <c r="BL23" i="3"/>
  <c r="AZ23" i="3"/>
  <c r="BL27" i="3"/>
  <c r="AZ27" i="3"/>
  <c r="BA30" i="3"/>
  <c r="AZ30" i="3"/>
  <c r="BA34" i="3"/>
  <c r="AZ34" i="3"/>
  <c r="BL39" i="3"/>
  <c r="AZ39" i="3"/>
  <c r="BL43" i="3"/>
  <c r="AZ43" i="3"/>
  <c r="BA46" i="3"/>
  <c r="AZ46" i="3"/>
  <c r="BA50" i="3"/>
  <c r="AZ50" i="3"/>
  <c r="BL55" i="3"/>
  <c r="AZ55" i="3"/>
  <c r="BA57" i="3"/>
  <c r="AZ57" i="3"/>
  <c r="BA60" i="3"/>
  <c r="AZ60" i="3"/>
  <c r="BA68" i="3"/>
  <c r="AZ68" i="3"/>
  <c r="BL69" i="3"/>
  <c r="BA75" i="3"/>
  <c r="AZ75" i="3"/>
  <c r="BL76" i="3"/>
  <c r="BA79" i="3"/>
  <c r="AZ79" i="3"/>
  <c r="BL80" i="3"/>
  <c r="BA89" i="3"/>
  <c r="AZ89" i="3"/>
  <c r="BL93" i="3"/>
  <c r="BL99" i="3"/>
  <c r="AZ108" i="3"/>
  <c r="BA109" i="3"/>
  <c r="AZ109" i="3"/>
  <c r="G112" i="3"/>
  <c r="AZ172" i="3"/>
  <c r="BL183" i="3"/>
  <c r="AZ183" i="3"/>
  <c r="BL191" i="3"/>
  <c r="AZ191" i="3"/>
  <c r="BL199" i="3"/>
  <c r="AZ199" i="3"/>
  <c r="BL24" i="3"/>
  <c r="AZ24" i="3"/>
  <c r="BL36" i="3"/>
  <c r="AZ36" i="3"/>
  <c r="BL40" i="3"/>
  <c r="AZ40" i="3"/>
  <c r="BL52" i="3"/>
  <c r="AZ52" i="3"/>
  <c r="BL56" i="3"/>
  <c r="AZ56" i="3"/>
  <c r="BL59" i="3"/>
  <c r="AZ59" i="3"/>
  <c r="BA65" i="3"/>
  <c r="AZ65" i="3"/>
  <c r="BL70" i="3"/>
  <c r="AZ70" i="3"/>
  <c r="BA72" i="3"/>
  <c r="AZ72" i="3"/>
  <c r="BA85" i="3"/>
  <c r="AZ85" i="3"/>
  <c r="AZ95" i="3"/>
  <c r="T45" i="59"/>
  <c r="D45" i="59"/>
  <c r="BL161" i="3"/>
  <c r="AZ161" i="3"/>
  <c r="BA167" i="3"/>
  <c r="AZ167" i="3"/>
  <c r="BL168" i="3"/>
  <c r="BA175" i="3"/>
  <c r="AZ175" i="3"/>
  <c r="BL176" i="3"/>
  <c r="BA179" i="3"/>
  <c r="AZ179" i="3"/>
  <c r="BA181" i="3"/>
  <c r="AZ181" i="3"/>
  <c r="BL186" i="3"/>
  <c r="BA189" i="3"/>
  <c r="AZ189" i="3"/>
  <c r="BL194" i="3"/>
  <c r="BA197" i="3"/>
  <c r="AZ197" i="3"/>
  <c r="BA28" i="3"/>
  <c r="AZ28" i="3"/>
  <c r="BL29" i="3"/>
  <c r="BA32" i="3"/>
  <c r="AZ32" i="3"/>
  <c r="BL33" i="3"/>
  <c r="BA44" i="3"/>
  <c r="AZ44" i="3"/>
  <c r="BL45" i="3"/>
  <c r="BA48" i="3"/>
  <c r="AZ48" i="3"/>
  <c r="BL49" i="3"/>
  <c r="AZ49" i="3"/>
  <c r="BA62" i="3"/>
  <c r="AZ62" i="3"/>
  <c r="BA66" i="3"/>
  <c r="AZ66" i="3"/>
  <c r="BL67" i="3"/>
  <c r="BL71" i="3"/>
  <c r="AZ71" i="3"/>
  <c r="BL74" i="3"/>
  <c r="AZ74" i="3"/>
  <c r="BA77" i="3"/>
  <c r="AZ77" i="3"/>
  <c r="BA81" i="3"/>
  <c r="AZ81" i="3"/>
  <c r="G88" i="3"/>
  <c r="BA92" i="3"/>
  <c r="AZ92" i="3"/>
  <c r="BA94" i="3"/>
  <c r="G104" i="3"/>
  <c r="T37" i="59"/>
  <c r="D37" i="59"/>
  <c r="T53" i="59"/>
  <c r="D53" i="59"/>
  <c r="BA158" i="3"/>
  <c r="AZ158" i="3"/>
  <c r="BA160" i="3"/>
  <c r="AZ160" i="3"/>
  <c r="BL171" i="3"/>
  <c r="AZ171" i="3"/>
  <c r="BL177" i="3"/>
  <c r="AZ177" i="3"/>
  <c r="BL187" i="3"/>
  <c r="AZ187" i="3"/>
  <c r="BL195" i="3"/>
  <c r="AZ195" i="3"/>
  <c r="BA21" i="3"/>
  <c r="AZ21" i="3"/>
  <c r="BA25" i="3"/>
  <c r="AZ25" i="3"/>
  <c r="BL26" i="3"/>
  <c r="AZ26" i="3"/>
  <c r="BA37" i="3"/>
  <c r="AZ37" i="3"/>
  <c r="BL38" i="3"/>
  <c r="AZ38" i="3"/>
  <c r="BA41" i="3"/>
  <c r="AZ41" i="3"/>
  <c r="BL42" i="3"/>
  <c r="AZ42" i="3"/>
  <c r="BA53" i="3"/>
  <c r="AZ53" i="3"/>
  <c r="BL54" i="3"/>
  <c r="AZ67" i="3"/>
  <c r="BL84" i="3"/>
  <c r="AZ84" i="3"/>
  <c r="AZ88" i="3"/>
  <c r="AZ93" i="3"/>
  <c r="AZ104" i="3"/>
  <c r="BA105" i="3"/>
  <c r="AZ105" i="3"/>
  <c r="G108" i="3"/>
  <c r="BA99" i="3"/>
  <c r="AZ99" i="3"/>
  <c r="BL100" i="3"/>
  <c r="BA111" i="3"/>
  <c r="AZ111" i="3"/>
  <c r="B88" i="46"/>
  <c r="AA21" i="34"/>
  <c r="C31" i="59"/>
  <c r="Y27" i="59"/>
  <c r="Z27" i="59"/>
  <c r="Y29" i="59"/>
  <c r="Z29" i="59"/>
  <c r="Y30" i="59"/>
  <c r="Z30" i="59"/>
  <c r="Y26" i="59"/>
  <c r="Z26" i="59"/>
  <c r="Y28" i="59"/>
  <c r="Z28" i="59"/>
  <c r="X31" i="59"/>
  <c r="X26" i="59"/>
  <c r="U29" i="59"/>
  <c r="E28" i="59"/>
  <c r="E27" i="59"/>
  <c r="X19" i="59"/>
  <c r="AA19" i="59"/>
  <c r="X15" i="59"/>
  <c r="O67" i="59"/>
  <c r="X28" i="59"/>
  <c r="AB26" i="59"/>
  <c r="F29" i="59"/>
  <c r="AB29" i="59"/>
  <c r="AB28" i="59"/>
  <c r="Y25" i="59"/>
  <c r="Z25" i="59"/>
  <c r="X22" i="59"/>
  <c r="AB24" i="59"/>
  <c r="X18" i="59"/>
  <c r="AA18" i="59"/>
  <c r="Y12" i="59"/>
  <c r="Z12" i="59"/>
  <c r="BL90" i="3"/>
  <c r="AZ90" i="3"/>
  <c r="BL94" i="3"/>
  <c r="BA97" i="3"/>
  <c r="AZ97" i="3"/>
  <c r="BA101" i="3"/>
  <c r="AZ101" i="3"/>
  <c r="BL106" i="3"/>
  <c r="AZ106" i="3"/>
  <c r="BL110" i="3"/>
  <c r="AZ110" i="3"/>
  <c r="D44" i="59"/>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D50" i="46"/>
  <c r="F36" i="44"/>
  <c r="M22" i="44"/>
  <c r="M20" i="15"/>
  <c r="E29" i="6"/>
  <c r="BL13" i="3"/>
  <c r="L19" i="6"/>
  <c r="L27" i="6"/>
  <c r="F30" i="6"/>
  <c r="C7" i="21"/>
  <c r="C58" i="21"/>
  <c r="D58" i="21"/>
  <c r="E58" i="21"/>
  <c r="C7" i="33"/>
  <c r="C58" i="33"/>
  <c r="D58" i="33"/>
  <c r="E58" i="33"/>
  <c r="F58" i="33"/>
  <c r="G58" i="33"/>
  <c r="H58" i="33"/>
  <c r="I58" i="33"/>
  <c r="J58" i="33"/>
  <c r="K58" i="33"/>
  <c r="L58" i="33"/>
  <c r="M58" i="33"/>
  <c r="N58" i="33"/>
  <c r="O58" i="33"/>
  <c r="C7" i="34"/>
  <c r="C59" i="34"/>
  <c r="C9" i="39"/>
  <c r="C69" i="39"/>
  <c r="C9" i="40"/>
  <c r="C64" i="40"/>
  <c r="D64" i="40"/>
  <c r="N67" i="9"/>
  <c r="D38" i="4"/>
  <c r="C39" i="4"/>
  <c r="AP10" i="1"/>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H16" i="1"/>
  <c r="G28" i="6"/>
  <c r="G30" i="6"/>
  <c r="G31" i="6"/>
  <c r="G27" i="12"/>
  <c r="G13" i="3"/>
  <c r="Q16" i="1"/>
  <c r="F34" i="44"/>
  <c r="F24" i="43"/>
  <c r="C24" i="43"/>
  <c r="C25" i="43"/>
  <c r="C2" i="65"/>
  <c r="I1" i="65"/>
  <c r="G20" i="43"/>
  <c r="G26" i="12"/>
  <c r="F70" i="9"/>
  <c r="F66" i="9"/>
  <c r="P72" i="9"/>
  <c r="F28" i="15"/>
  <c r="F30" i="44"/>
  <c r="C30" i="44"/>
  <c r="D86" i="9"/>
  <c r="F29" i="12"/>
  <c r="F32" i="15"/>
  <c r="F59" i="15"/>
  <c r="F71" i="9"/>
  <c r="K15" i="1"/>
  <c r="O11" i="1"/>
  <c r="P11" i="1"/>
  <c r="O6" i="1"/>
  <c r="P6" i="1"/>
  <c r="O7" i="1"/>
  <c r="P7" i="1"/>
  <c r="O12" i="1"/>
  <c r="P12" i="1"/>
  <c r="O10" i="1"/>
  <c r="P10" i="1"/>
  <c r="O9" i="1"/>
  <c r="P9" i="1"/>
  <c r="O13" i="1"/>
  <c r="P13" i="1"/>
  <c r="G6" i="1"/>
  <c r="A25" i="51"/>
  <c r="B18" i="63"/>
  <c r="G10" i="1"/>
  <c r="G13" i="1"/>
  <c r="C95" i="9"/>
  <c r="C92" i="9"/>
  <c r="C25" i="12"/>
  <c r="C15" i="43"/>
  <c r="C28" i="15"/>
  <c r="D23" i="15"/>
  <c r="L52" i="37"/>
  <c r="M52" i="37"/>
  <c r="N52" i="37"/>
  <c r="O52" i="37"/>
  <c r="F58" i="21"/>
  <c r="G58" i="21"/>
  <c r="H58" i="21"/>
  <c r="I58" i="21"/>
  <c r="J58" i="21"/>
  <c r="K58" i="21"/>
  <c r="L58" i="21"/>
  <c r="M58" i="21"/>
  <c r="N58" i="21"/>
  <c r="O58" i="21"/>
  <c r="D59" i="34"/>
  <c r="E59" i="34"/>
  <c r="F59" i="34"/>
  <c r="G59" i="34"/>
  <c r="H59" i="34"/>
  <c r="I59" i="34"/>
  <c r="J59" i="34"/>
  <c r="K59" i="34"/>
  <c r="L59" i="34"/>
  <c r="M59" i="34"/>
  <c r="N59" i="34"/>
  <c r="O59" i="34"/>
  <c r="D69" i="39"/>
  <c r="C71" i="39"/>
  <c r="C66" i="40"/>
  <c r="C18" i="11"/>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8" i="46"/>
  <c r="B67" i="40"/>
  <c r="P27" i="46"/>
  <c r="P29" i="46"/>
  <c r="B72" i="39"/>
  <c r="P25" i="46"/>
  <c r="L44" i="9"/>
  <c r="G20" i="9"/>
  <c r="G21" i="9"/>
  <c r="L43" i="9"/>
  <c r="G19" i="9"/>
  <c r="D22" i="9"/>
  <c r="Q73" i="44"/>
  <c r="C6" i="15"/>
  <c r="C32" i="15"/>
  <c r="F65" i="15"/>
  <c r="C29" i="44"/>
  <c r="C8" i="44"/>
  <c r="C34" i="44"/>
  <c r="J1" i="65"/>
  <c r="F67" i="15"/>
  <c r="F50" i="15"/>
  <c r="C27" i="15"/>
  <c r="F64" i="15"/>
  <c r="F70" i="15"/>
  <c r="M9" i="44"/>
  <c r="J8" i="44"/>
  <c r="L59" i="15"/>
  <c r="L58" i="15"/>
  <c r="L60" i="44"/>
  <c r="L59" i="44"/>
  <c r="J53" i="15"/>
  <c r="J57" i="15"/>
  <c r="J55" i="15"/>
  <c r="J58" i="15"/>
  <c r="Q51" i="15"/>
  <c r="I54" i="15"/>
  <c r="L56" i="15"/>
  <c r="F49" i="15"/>
  <c r="M7" i="15"/>
  <c r="M17" i="15"/>
  <c r="I55" i="44"/>
  <c r="J54" i="44"/>
  <c r="L57" i="44"/>
  <c r="J58" i="44"/>
  <c r="J56" i="44"/>
  <c r="J59" i="44"/>
  <c r="Q52" i="44"/>
  <c r="Q72" i="15"/>
  <c r="F63" i="15"/>
  <c r="C4" i="65"/>
  <c r="B39" i="1"/>
  <c r="C16" i="15"/>
  <c r="C18" i="44"/>
  <c r="E3" i="65"/>
  <c r="K17" i="4"/>
  <c r="A22" i="51"/>
  <c r="B16" i="63"/>
  <c r="AP16" i="1"/>
  <c r="F22" i="11"/>
  <c r="B16" i="59"/>
  <c r="B15" i="59"/>
  <c r="B14" i="59"/>
  <c r="B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J7" i="33"/>
  <c r="J60" i="44"/>
  <c r="J61" i="44"/>
  <c r="Q50" i="44"/>
  <c r="E83" i="46"/>
  <c r="B81" i="46"/>
  <c r="D26" i="46"/>
  <c r="C25" i="46"/>
  <c r="BA5" i="3"/>
  <c r="E12" i="6"/>
  <c r="J7" i="21"/>
  <c r="AC7" i="21"/>
  <c r="V48" i="21"/>
  <c r="I48"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c r="F27" i="6"/>
  <c r="F31" i="6"/>
  <c r="E58" i="39"/>
  <c r="E10" i="6"/>
  <c r="E14" i="6"/>
  <c r="E65" i="39"/>
  <c r="E13" i="6"/>
  <c r="E59" i="40"/>
  <c r="E11" i="6"/>
  <c r="E62" i="39"/>
  <c r="E28" i="6"/>
  <c r="M86" i="9"/>
  <c r="N86" i="9"/>
  <c r="M84" i="9"/>
  <c r="N84" i="9"/>
  <c r="M88" i="9"/>
  <c r="N88" i="9"/>
  <c r="M87" i="9"/>
  <c r="N87" i="9"/>
  <c r="M85" i="9"/>
  <c r="N85" i="9"/>
  <c r="M83" i="9"/>
  <c r="N83" i="9"/>
  <c r="N89" i="9"/>
  <c r="O89" i="9"/>
  <c r="G5" i="3"/>
  <c r="B3" i="3"/>
  <c r="F21" i="43"/>
  <c r="E63" i="39"/>
  <c r="E58" i="40"/>
  <c r="E66" i="39"/>
  <c r="E61" i="40"/>
  <c r="K14" i="1"/>
  <c r="H7" i="34"/>
  <c r="U7" i="34"/>
  <c r="F7" i="34"/>
  <c r="AA7" i="34"/>
  <c r="R49" i="34"/>
  <c r="J7" i="34"/>
  <c r="W7" i="34"/>
  <c r="G16" i="1"/>
  <c r="J12" i="40"/>
  <c r="F7" i="21"/>
  <c r="AA7" i="21"/>
  <c r="R48" i="21"/>
  <c r="H7" i="21"/>
  <c r="AB7" i="21"/>
  <c r="T48" i="21"/>
  <c r="G48" i="21"/>
  <c r="B12" i="59"/>
  <c r="S13" i="59"/>
  <c r="F58" i="15"/>
  <c r="H7" i="35"/>
  <c r="U7" i="35"/>
  <c r="L36" i="46"/>
  <c r="E64" i="40"/>
  <c r="D66" i="40"/>
  <c r="AC7" i="33"/>
  <c r="V48" i="33"/>
  <c r="I48" i="33"/>
  <c r="W7" i="33"/>
  <c r="J7" i="37"/>
  <c r="W7" i="21"/>
  <c r="D71" i="39"/>
  <c r="E69" i="39"/>
  <c r="H7" i="33"/>
  <c r="F7" i="33"/>
  <c r="J46" i="36"/>
  <c r="J7" i="35"/>
  <c r="F7" i="35"/>
  <c r="H7" i="37"/>
  <c r="F7" i="37"/>
  <c r="M19" i="44"/>
  <c r="Q62" i="15"/>
  <c r="Q75" i="15"/>
  <c r="C32" i="9"/>
  <c r="N43" i="9"/>
  <c r="M13" i="44"/>
  <c r="J12" i="44"/>
  <c r="J7" i="44"/>
  <c r="F11" i="15"/>
  <c r="M11" i="15"/>
  <c r="F13" i="44"/>
  <c r="C12" i="44"/>
  <c r="C7" i="44"/>
  <c r="C40" i="44"/>
  <c r="Q75" i="44"/>
  <c r="Q62" i="44"/>
  <c r="C48" i="15"/>
  <c r="M32" i="46"/>
  <c r="P32" i="46"/>
  <c r="O32" i="46"/>
  <c r="N32" i="46"/>
  <c r="F1" i="44"/>
  <c r="Q54" i="44"/>
  <c r="J20" i="44"/>
  <c r="Q63" i="44"/>
  <c r="Q76" i="44"/>
  <c r="F1" i="15"/>
  <c r="Q53" i="15"/>
  <c r="Q61" i="15"/>
  <c r="Q74" i="15"/>
  <c r="J6" i="15"/>
  <c r="J18" i="15"/>
  <c r="AE6" i="1"/>
  <c r="AE12" i="1"/>
  <c r="AE7" i="1"/>
  <c r="AE8" i="1"/>
  <c r="AE9" i="1"/>
  <c r="AE10" i="1"/>
  <c r="AE11" i="1"/>
  <c r="F41" i="15"/>
  <c r="F46" i="44"/>
  <c r="S7" i="34"/>
  <c r="N66" i="59"/>
  <c r="N67" i="59"/>
  <c r="F12" i="59"/>
  <c r="F11" i="59"/>
  <c r="V13" i="59"/>
  <c r="C33" i="59"/>
  <c r="D32" i="59"/>
  <c r="E20" i="59"/>
  <c r="E19" i="59"/>
  <c r="E18" i="59"/>
  <c r="E17" i="59"/>
  <c r="U21" i="59"/>
  <c r="C41" i="59"/>
  <c r="D40" i="59"/>
  <c r="C18" i="59"/>
  <c r="D19" i="59"/>
  <c r="AB7" i="34"/>
  <c r="T49" i="34"/>
  <c r="G49" i="34"/>
  <c r="Q36" i="46"/>
  <c r="O36" i="46"/>
  <c r="M36" i="46"/>
  <c r="L37" i="46"/>
  <c r="P36" i="46"/>
  <c r="N36" i="46"/>
  <c r="D46" i="9"/>
  <c r="C21" i="4"/>
  <c r="O5" i="54"/>
  <c r="B45" i="63"/>
  <c r="E6" i="6"/>
  <c r="D13" i="11"/>
  <c r="C13" i="11"/>
  <c r="D44" i="9"/>
  <c r="AC7" i="34"/>
  <c r="V49" i="34"/>
  <c r="I49" i="34"/>
  <c r="J10" i="15"/>
  <c r="J5" i="15"/>
  <c r="J24" i="15"/>
  <c r="AG8" i="1"/>
  <c r="AG9" i="1"/>
  <c r="AG11" i="1"/>
  <c r="AG12" i="1"/>
  <c r="AG10" i="1"/>
  <c r="AG7" i="1"/>
  <c r="AG6" i="1"/>
  <c r="F68" i="15"/>
  <c r="D5" i="46"/>
  <c r="C5" i="46"/>
  <c r="C33" i="46"/>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J26" i="44"/>
  <c r="O43" i="9"/>
  <c r="C42" i="9"/>
  <c r="O38" i="9"/>
  <c r="C33" i="9"/>
  <c r="C52" i="15"/>
  <c r="C47" i="15"/>
  <c r="C10" i="15"/>
  <c r="C5" i="15"/>
  <c r="C38" i="15"/>
  <c r="M29" i="44"/>
  <c r="M27" i="15"/>
  <c r="G54" i="34"/>
  <c r="H54" i="34"/>
  <c r="C17" i="59"/>
  <c r="D18" i="59"/>
  <c r="E16" i="59"/>
  <c r="E15" i="59"/>
  <c r="E14" i="59"/>
  <c r="E13" i="59"/>
  <c r="U17" i="59"/>
  <c r="T41" i="59"/>
  <c r="D41" i="59"/>
  <c r="T33" i="59"/>
  <c r="D33" i="59"/>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B10" i="59"/>
  <c r="E40" i="46"/>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N38" i="9"/>
  <c r="K28" i="9"/>
  <c r="D42" i="9"/>
  <c r="Q5" i="54"/>
  <c r="B47" i="63"/>
  <c r="R5" i="54"/>
  <c r="B48" i="63"/>
  <c r="D63" i="9"/>
  <c r="N68" i="9"/>
  <c r="K26" i="9"/>
  <c r="K25" i="9"/>
  <c r="S7" i="1"/>
  <c r="C19" i="44"/>
  <c r="C17" i="15"/>
  <c r="F7" i="67"/>
  <c r="E12" i="59"/>
  <c r="E11" i="59"/>
  <c r="E10" i="59"/>
  <c r="U13" i="59"/>
  <c r="C16" i="59"/>
  <c r="T17" i="59"/>
  <c r="D17" i="59"/>
  <c r="E41" i="46"/>
  <c r="G37" i="46"/>
  <c r="I37" i="46"/>
  <c r="E39" i="46"/>
  <c r="G42" i="46"/>
  <c r="I42" i="46"/>
  <c r="E38" i="46"/>
  <c r="G38" i="46"/>
  <c r="I38" i="46"/>
  <c r="M25" i="6"/>
  <c r="I25" i="6"/>
  <c r="S25" i="6"/>
  <c r="S12" i="1"/>
  <c r="M22" i="6"/>
  <c r="I22" i="6"/>
  <c r="S22" i="6"/>
  <c r="S9" i="1"/>
  <c r="M24" i="6"/>
  <c r="I24" i="6"/>
  <c r="S24" i="6"/>
  <c r="S11" i="1"/>
  <c r="M23" i="6"/>
  <c r="I23" i="6"/>
  <c r="S23" i="6"/>
  <c r="S10" i="1"/>
  <c r="S16" i="1"/>
  <c r="B4" i="1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G22" i="9"/>
  <c r="H25" i="6"/>
  <c r="H23" i="6"/>
  <c r="C22" i="4"/>
  <c r="D24" i="6"/>
  <c r="D19" i="6"/>
  <c r="D9" i="6"/>
  <c r="D6" i="6"/>
  <c r="C34" i="9"/>
  <c r="C35" i="9"/>
  <c r="F42" i="9"/>
  <c r="P14" i="1"/>
  <c r="P16" i="1"/>
  <c r="O16" i="1"/>
  <c r="L16" i="1"/>
  <c r="C13"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D77" i="9"/>
  <c r="N75" i="9"/>
  <c r="D73" i="9"/>
  <c r="N73" i="9"/>
  <c r="C111" i="9"/>
  <c r="C104" i="9"/>
  <c r="C96" i="9"/>
  <c r="C91" i="9"/>
  <c r="C82" i="9"/>
  <c r="C81" i="9"/>
  <c r="C85" i="9"/>
  <c r="C86" i="9"/>
  <c r="D72" i="9"/>
  <c r="C103" i="9"/>
  <c r="D70" i="9"/>
  <c r="C90" i="9"/>
  <c r="D71" i="9"/>
  <c r="D66" i="9"/>
  <c r="N72" i="9"/>
  <c r="B5" i="66"/>
  <c r="E14" i="66"/>
  <c r="B7" i="67"/>
  <c r="E7" i="67"/>
  <c r="D16" i="59"/>
  <c r="C15" i="59"/>
  <c r="C31" i="46"/>
  <c r="C30" i="46"/>
  <c r="B2" i="46"/>
  <c r="D4" i="46"/>
  <c r="F14" i="66"/>
  <c r="T11" i="1"/>
  <c r="T9" i="1"/>
  <c r="T10" i="1"/>
  <c r="T13" i="1"/>
  <c r="T6" i="1"/>
  <c r="T8" i="1"/>
  <c r="T12" i="1"/>
  <c r="T7" i="1"/>
  <c r="I27" i="6"/>
  <c r="S19" i="6"/>
  <c r="S27" i="6"/>
  <c r="H19" i="6"/>
  <c r="R19" i="6"/>
  <c r="R24" i="6"/>
  <c r="R11" i="1"/>
  <c r="R26" i="6"/>
  <c r="F7" i="59"/>
  <c r="B8" i="59"/>
  <c r="E8" i="59"/>
  <c r="R25" i="6"/>
  <c r="R12" i="1"/>
  <c r="R21" i="6"/>
  <c r="R8" i="1"/>
  <c r="E42" i="9"/>
  <c r="P5" i="54"/>
  <c r="B46" i="63"/>
  <c r="M38" i="9"/>
  <c r="K27" i="9"/>
  <c r="D27" i="6"/>
  <c r="D31" i="6"/>
  <c r="A20" i="64"/>
  <c r="A6" i="64"/>
  <c r="A20" i="51"/>
  <c r="B15" i="63"/>
  <c r="N5" i="54"/>
  <c r="B43" i="63"/>
  <c r="A6" i="51"/>
  <c r="B7" i="63"/>
  <c r="D6" i="66"/>
  <c r="D8" i="66"/>
  <c r="D7" i="66"/>
  <c r="D16" i="6"/>
  <c r="R23" i="6"/>
  <c r="R10" i="1"/>
  <c r="R20" i="6"/>
  <c r="R7" i="1"/>
  <c r="R6" i="1"/>
  <c r="C17" i="43"/>
  <c r="C14" i="43"/>
  <c r="I64" i="40"/>
  <c r="H66" i="40"/>
  <c r="H71" i="39"/>
  <c r="I69" i="39"/>
  <c r="N46" i="36"/>
  <c r="E3" i="67"/>
  <c r="C97" i="9"/>
  <c r="C98" i="9"/>
  <c r="E98" i="9"/>
  <c r="E99" i="9"/>
  <c r="B2" i="67"/>
  <c r="C113" i="9"/>
  <c r="C114" i="9"/>
  <c r="E114" i="9"/>
  <c r="E115" i="9"/>
  <c r="D5" i="66"/>
  <c r="C5" i="66"/>
  <c r="C14" i="15"/>
  <c r="F35" i="15"/>
  <c r="F37" i="44"/>
  <c r="M23" i="44"/>
  <c r="M21" i="15"/>
  <c r="C16" i="44"/>
  <c r="D15" i="59"/>
  <c r="C14" i="59"/>
  <c r="B3" i="46"/>
  <c r="B4" i="46"/>
  <c r="C36" i="44"/>
  <c r="J20" i="15"/>
  <c r="C34" i="15"/>
  <c r="R27" i="6"/>
  <c r="H27" i="6"/>
  <c r="C15" i="15"/>
  <c r="C18" i="15"/>
  <c r="C17" i="44"/>
  <c r="C20" i="44"/>
  <c r="T16" i="1"/>
  <c r="E7" i="59"/>
  <c r="B7" i="59"/>
  <c r="F6" i="59"/>
  <c r="I6" i="6"/>
  <c r="I5" i="6"/>
  <c r="J22" i="44"/>
  <c r="F62" i="15"/>
  <c r="C61" i="15"/>
  <c r="R16" i="1"/>
  <c r="C18" i="43"/>
  <c r="O46" i="36"/>
  <c r="J7" i="36"/>
  <c r="F7" i="36"/>
  <c r="H7" i="36"/>
  <c r="J64" i="40"/>
  <c r="I66" i="40"/>
  <c r="J69" i="39"/>
  <c r="I71" i="39"/>
  <c r="C99" i="9"/>
  <c r="C115" i="9"/>
  <c r="D76" i="9"/>
  <c r="D74" i="9"/>
  <c r="N74" i="9"/>
  <c r="O77" i="9"/>
  <c r="O78" i="9"/>
  <c r="B3" i="67"/>
  <c r="B4" i="67"/>
  <c r="C13" i="59"/>
  <c r="D14" i="59"/>
  <c r="C19" i="15"/>
  <c r="C20" i="15"/>
  <c r="C26" i="15"/>
  <c r="C21" i="44"/>
  <c r="C22" i="44"/>
  <c r="C28" i="44"/>
  <c r="F5" i="59"/>
  <c r="V5" i="59"/>
  <c r="B6" i="59"/>
  <c r="E6" i="59"/>
  <c r="C19" i="43"/>
  <c r="K69" i="39"/>
  <c r="J71" i="39"/>
  <c r="U7" i="36"/>
  <c r="AB7" i="36"/>
  <c r="T36" i="36"/>
  <c r="G36" i="36"/>
  <c r="AC7" i="36"/>
  <c r="V36" i="36"/>
  <c r="I36" i="36"/>
  <c r="W7" i="36"/>
  <c r="J66" i="40"/>
  <c r="K64" i="40"/>
  <c r="S7" i="36"/>
  <c r="AA7" i="36"/>
  <c r="R36" i="36"/>
  <c r="Q77" i="9"/>
  <c r="O79" i="9"/>
  <c r="O81" i="9"/>
  <c r="C12" i="59"/>
  <c r="T13" i="59"/>
  <c r="D13" i="59"/>
  <c r="E5" i="59"/>
  <c r="U5" i="59"/>
  <c r="B5" i="59"/>
  <c r="C21" i="43"/>
  <c r="R37" i="36"/>
  <c r="E36" i="36"/>
  <c r="I41" i="36"/>
  <c r="J41" i="36"/>
  <c r="K66" i="40"/>
  <c r="L64" i="40"/>
  <c r="G41" i="36"/>
  <c r="H41" i="36"/>
  <c r="G40" i="36"/>
  <c r="H40" i="36"/>
  <c r="I40" i="36"/>
  <c r="J40" i="36"/>
  <c r="L69" i="39"/>
  <c r="K71" i="39"/>
  <c r="O80" i="9"/>
  <c r="C11" i="59"/>
  <c r="D12" i="59"/>
  <c r="S5" i="59"/>
  <c r="L71" i="39"/>
  <c r="M69" i="39"/>
  <c r="M64" i="40"/>
  <c r="L66" i="40"/>
  <c r="E40" i="36"/>
  <c r="F40" i="36"/>
  <c r="E41" i="36"/>
  <c r="F41" i="36"/>
  <c r="C37" i="36"/>
  <c r="B3" i="36"/>
  <c r="B2" i="36"/>
  <c r="C36" i="36"/>
  <c r="C10" i="59"/>
  <c r="D11" i="59"/>
  <c r="N64" i="40"/>
  <c r="N66" i="40"/>
  <c r="M66" i="40"/>
  <c r="N69" i="39"/>
  <c r="N71" i="39"/>
  <c r="M71" i="39"/>
  <c r="C9" i="59"/>
  <c r="D10" i="59"/>
  <c r="J9" i="40"/>
  <c r="H9" i="40"/>
  <c r="F9" i="40"/>
  <c r="J9" i="39"/>
  <c r="H9" i="39"/>
  <c r="F9" i="39"/>
  <c r="C8" i="59"/>
  <c r="T9" i="59"/>
  <c r="D9" i="59"/>
  <c r="S9" i="39"/>
  <c r="AA9" i="39"/>
  <c r="R49" i="39"/>
  <c r="W9" i="39"/>
  <c r="AC9" i="39"/>
  <c r="V49" i="39"/>
  <c r="I49" i="39"/>
  <c r="U9" i="40"/>
  <c r="AB9" i="40"/>
  <c r="T44" i="40"/>
  <c r="G44" i="40"/>
  <c r="U9" i="39"/>
  <c r="AB9" i="39"/>
  <c r="T49" i="39"/>
  <c r="G49" i="39"/>
  <c r="S9" i="40"/>
  <c r="AA9" i="40"/>
  <c r="R44" i="40"/>
  <c r="AC9" i="40"/>
  <c r="V44" i="40"/>
  <c r="I44" i="40"/>
  <c r="I48" i="40"/>
  <c r="J48" i="40"/>
  <c r="W9" i="40"/>
  <c r="C7" i="59"/>
  <c r="D8" i="59"/>
  <c r="R45" i="40"/>
  <c r="E44" i="40"/>
  <c r="G53" i="39"/>
  <c r="H53" i="39"/>
  <c r="G54" i="39"/>
  <c r="H54" i="39"/>
  <c r="G48" i="40"/>
  <c r="H48" i="40"/>
  <c r="G49" i="40"/>
  <c r="H49" i="40"/>
  <c r="I53" i="39"/>
  <c r="J53" i="39"/>
  <c r="R50" i="39"/>
  <c r="E49" i="39"/>
  <c r="I54" i="39"/>
  <c r="J54" i="39"/>
  <c r="C6" i="59"/>
  <c r="D7" i="59"/>
  <c r="E54" i="39"/>
  <c r="F54" i="39"/>
  <c r="E53" i="39"/>
  <c r="F53" i="39"/>
  <c r="I49" i="40"/>
  <c r="J49" i="40"/>
  <c r="E49" i="40"/>
  <c r="F49" i="40"/>
  <c r="E48" i="40"/>
  <c r="F48" i="40"/>
  <c r="C49" i="39"/>
  <c r="C50" i="39"/>
  <c r="C44" i="40"/>
  <c r="C45" i="40"/>
  <c r="D6" i="59"/>
  <c r="C5"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D5" i="59"/>
  <c r="T5" i="59"/>
  <c r="M24" i="46"/>
  <c r="B5" i="39"/>
  <c r="B4" i="39"/>
  <c r="B3" i="39"/>
  <c r="B5" i="40"/>
  <c r="B4" i="40"/>
  <c r="B3" i="40"/>
  <c r="F20" i="43"/>
  <c r="D20" i="43"/>
  <c r="F26" i="44"/>
  <c r="F24" i="15"/>
  <c r="C20" i="43"/>
  <c r="C24" i="15"/>
  <c r="C23" i="15"/>
  <c r="C26" i="44"/>
  <c r="C25" i="44"/>
  <c r="C23" i="43"/>
  <c r="C31" i="44"/>
  <c r="C38" i="44"/>
  <c r="C29" i="15"/>
  <c r="Q51" i="44"/>
  <c r="C35" i="44"/>
  <c r="C33" i="44"/>
  <c r="C36" i="15"/>
  <c r="J19" i="15"/>
  <c r="J17" i="15"/>
  <c r="C13" i="15"/>
  <c r="C37" i="15"/>
  <c r="C33" i="15"/>
  <c r="C31" i="15"/>
  <c r="C27" i="43"/>
  <c r="B2" i="43"/>
  <c r="B5" i="43"/>
  <c r="C56" i="15"/>
  <c r="C63" i="15"/>
  <c r="J59" i="15"/>
  <c r="J60" i="15"/>
  <c r="Q49" i="15"/>
  <c r="J21" i="44"/>
  <c r="J19" i="44"/>
  <c r="J14" i="15"/>
  <c r="Q50" i="15"/>
  <c r="J16" i="44"/>
  <c r="J24" i="44"/>
  <c r="C15" i="44"/>
  <c r="B4" i="12"/>
  <c r="B5" i="12"/>
  <c r="Q71" i="15"/>
  <c r="Q72" i="44"/>
  <c r="C39" i="44"/>
  <c r="C32" i="44"/>
  <c r="C42" i="44"/>
  <c r="C55" i="15"/>
  <c r="C64" i="15"/>
  <c r="C60" i="15"/>
  <c r="C58" i="15"/>
  <c r="J13" i="15"/>
  <c r="J23" i="15"/>
  <c r="J22" i="15"/>
  <c r="J35" i="15"/>
  <c r="B3" i="43"/>
  <c r="B4" i="43"/>
  <c r="C30" i="15"/>
  <c r="C39" i="15"/>
  <c r="Q70" i="15"/>
  <c r="L46" i="15"/>
  <c r="C43" i="44"/>
  <c r="J15" i="44"/>
  <c r="J25" i="44"/>
  <c r="J18" i="44"/>
  <c r="J27" i="44"/>
  <c r="J28" i="44"/>
  <c r="J31" i="44"/>
  <c r="Q69" i="15"/>
  <c r="Q58" i="44"/>
  <c r="Q49" i="44"/>
  <c r="Q55" i="44"/>
  <c r="Q67" i="44"/>
  <c r="C57" i="15"/>
  <c r="C66" i="15"/>
  <c r="C67" i="15"/>
  <c r="C70" i="15"/>
  <c r="J16" i="15"/>
  <c r="J25" i="15"/>
  <c r="J26" i="15"/>
  <c r="J29" i="15"/>
  <c r="C40" i="15"/>
  <c r="J39" i="15"/>
  <c r="J40" i="15"/>
  <c r="C44" i="44"/>
  <c r="C45" i="44"/>
  <c r="B2" i="44"/>
  <c r="Q71" i="44"/>
  <c r="Q70" i="44"/>
  <c r="L51" i="15"/>
  <c r="Q57" i="15"/>
  <c r="L57" i="15"/>
  <c r="L60" i="15"/>
  <c r="Q67" i="15"/>
  <c r="Q68" i="15"/>
  <c r="C46" i="15"/>
  <c r="Q66" i="15"/>
  <c r="J42" i="15"/>
  <c r="J43" i="15"/>
  <c r="B2" i="15"/>
  <c r="B3" i="15"/>
  <c r="C43" i="15"/>
  <c r="Q48" i="15"/>
  <c r="Q54" i="15"/>
  <c r="L52" i="44"/>
  <c r="L58" i="44"/>
  <c r="L61" i="44"/>
  <c r="L47" i="44"/>
  <c r="B3" i="44"/>
  <c r="B5" i="44"/>
  <c r="B4" i="44"/>
  <c r="Q58" i="15"/>
  <c r="Q63" i="15"/>
  <c r="Q76" i="15"/>
  <c r="Q69" i="44"/>
  <c r="Q59" i="44"/>
  <c r="Q64" i="44"/>
  <c r="Q68" i="44"/>
  <c r="Q77" i="4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<sst xmlns="http://schemas.openxmlformats.org/spreadsheetml/2006/main" count="8776" uniqueCount="3777">
  <si>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</si>
  <si>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</si>
  <si>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</si>
  <si>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</si>
  <si>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</si>
  <si>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</si>
  <si>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</si>
  <si>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</si>
  <si>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</si>
  <si>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</si>
  <si>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</si>
  <si>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</si>
  <si>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</si>
  <si>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</si>
  <si>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</si>
  <si>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</si>
  <si>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</si>
  <si>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</si>
  <si>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</si>
  <si>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</si>
  <si>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</si>
  <si>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</si>
  <si>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</si>
  <si>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</si>
  <si>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</si>
  <si>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</si>
  <si>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</si>
  <si>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</si>
  <si>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</si>
  <si>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</si>
  <si>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</si>
  <si>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</si>
  <si>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</si>
  <si>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</si>
  <si>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</si>
  <si>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</si>
  <si>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</si>
  <si>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</si>
  <si>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</si>
  <si>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</si>
  <si>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</si>
  <si>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</si>
  <si>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</si>
  <si>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</si>
  <si>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</si>
  <si>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</si>
  <si>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</si>
  <si>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</si>
  <si>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</si>
  <si>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</si>
  <si>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</si>
  <si>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</si>
  <si>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</si>
  <si>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</si>
  <si>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</si>
  <si>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</si>
  <si>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</si>
  <si>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</si>
  <si>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</si>
  <si>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</si>
  <si>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</si>
  <si>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</si>
  <si>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</si>
  <si>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</si>
  <si>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</si>
  <si>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</si>
  <si>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</si>
  <si>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</si>
  <si>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</si>
  <si>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</si>
  <si>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</si>
  <si>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</si>
  <si>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</si>
  <si>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</si>
  <si>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</si>
  <si>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</si>
  <si>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</si>
  <si>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</si>
  <si>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</si>
  <si>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</si>
  <si>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</si>
  <si>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</si>
  <si>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</si>
  <si>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</si>
  <si>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</si>
  <si>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</si>
  <si>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</si>
  <si>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</si>
  <si>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</si>
  <si>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</si>
  <si>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</si>
  <si>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</si>
  <si>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</si>
  <si>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</si>
  <si>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</si>
  <si>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</si>
  <si>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</si>
  <si>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</si>
  <si>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</si>
  <si>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</si>
  <si>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</si>
  <si>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</si>
  <si>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</si>
  <si>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</si>
  <si>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</si>
  <si>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</si>
  <si>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</si>
  <si>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</si>
  <si>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</si>
  <si>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</si>
  <si>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</si>
  <si>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</si>
  <si>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</si>
  <si>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</si>
  <si>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</si>
  <si>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</si>
  <si>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</si>
  <si>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</si>
  <si>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</si>
  <si>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</si>
  <si>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</si>
  <si>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</si>
  <si>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</si>
  <si>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</si>
  <si>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</si>
  <si>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</si>
  <si>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</si>
  <si>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</si>
  <si>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</si>
  <si>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</si>
  <si>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</si>
  <si>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</si>
  <si>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</si>
  <si>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</si>
  <si>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</si>
  <si>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</si>
  <si>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</si>
  <si>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</si>
  <si>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</si>
  <si>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</si>
  <si>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</si>
  <si>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</si>
  <si>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</si>
  <si>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</si>
  <si>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</si>
  <si>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</si>
  <si>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</si>
  <si>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</si>
  <si>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</si>
  <si>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</si>
  <si>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</si>
  <si>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</si>
  <si>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</si>
  <si>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</si>
  <si>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</si>
  <si>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</si>
  <si>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</si>
  <si>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</si>
  <si>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</si>
  <si>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</si>
  <si>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</si>
  <si>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</si>
  <si>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</si>
  <si>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</si>
  <si>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</si>
  <si>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</si>
  <si>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</si>
  <si>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</si>
  <si>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</si>
  <si>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</si>
  <si>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</si>
  <si>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</si>
  <si>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</si>
  <si>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</si>
  <si>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</si>
  <si>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</si>
  <si>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</si>
  <si>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</si>
  <si>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</si>
  <si>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</si>
  <si>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</si>
  <si>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</si>
  <si>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</si>
  <si>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</si>
  <si>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</si>
  <si>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</si>
  <si>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</si>
  <si>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</si>
  <si>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</si>
  <si>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</si>
  <si>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</si>
  <si>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</si>
  <si>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</si>
  <si>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</si>
  <si>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</si>
  <si>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</si>
  <si>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</si>
  <si>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</si>
  <si>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</si>
  <si>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</si>
  <si>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</si>
  <si>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</si>
  <si>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</si>
  <si>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</si>
  <si>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</si>
  <si>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</si>
  <si>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</si>
  <si>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</si>
  <si>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</si>
  <si>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</si>
  <si>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</si>
  <si>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</si>
  <si>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</si>
  <si>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</si>
  <si>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</si>
  <si>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</si>
  <si>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</si>
  <si>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</si>
  <si>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</si>
  <si>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</si>
  <si>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</si>
  <si>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</si>
  <si>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</si>
  <si>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</si>
  <si>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</si>
  <si>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</si>
  <si>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</si>
  <si>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</si>
  <si>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</si>
  <si>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</si>
  <si>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</si>
  <si>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</si>
  <si>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</si>
  <si>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</si>
  <si>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</si>
  <si>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</si>
  <si>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</si>
  <si>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</si>
  <si>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</si>
  <si>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</si>
  <si>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</si>
  <si>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</si>
  <si>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</si>
  <si>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</si>
  <si>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</si>
  <si>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</si>
  <si>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</si>
  <si>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</si>
  <si>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</si>
  <si>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</si>
  <si>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</si>
  <si>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</si>
  <si>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</si>
  <si>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</si>
  <si>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</si>
  <si>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</si>
  <si>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</si>
  <si>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</si>
  <si>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</si>
  <si>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</si>
  <si>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</si>
  <si>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</si>
  <si>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</si>
  <si>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</si>
  <si>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</si>
  <si>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</si>
  <si>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</si>
  <si>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</si>
  <si>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</si>
  <si>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</si>
  <si>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</si>
  <si>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</si>
  <si>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</si>
  <si>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</si>
  <si>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</si>
  <si>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</si>
  <si>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</si>
  <si>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</si>
  <si>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</si>
  <si>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</si>
  <si>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</si>
  <si>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</si>
  <si>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</si>
  <si>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</si>
  <si>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</si>
  <si>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</si>
  <si>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</si>
  <si>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</si>
  <si>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</si>
  <si>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</si>
  <si>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</si>
  <si>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</si>
  <si>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</si>
  <si>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</si>
  <si>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</si>
  <si>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</si>
  <si>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</si>
  <si>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</si>
  <si>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</si>
  <si>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</si>
  <si>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</si>
  <si>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</si>
  <si>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</si>
  <si>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</si>
  <si>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</si>
  <si>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</si>
  <si>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</si>
  <si>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</si>
  <si>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</si>
  <si>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</si>
  <si>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</si>
  <si>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</si>
  <si>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</si>
  <si>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</si>
  <si>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</si>
  <si>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</si>
  <si>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</si>
  <si>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</si>
  <si>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</si>
  <si>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</si>
  <si>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</si>
  <si>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</si>
  <si>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</si>
  <si>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</si>
  <si>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</si>
  <si>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</si>
  <si>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</si>
  <si>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</si>
  <si>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</si>
  <si>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</si>
  <si>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</si>
  <si>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</si>
  <si>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</si>
  <si>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</si>
  <si>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</si>
  <si>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</si>
  <si>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</si>
  <si>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</si>
  <si>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</si>
  <si>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</si>
  <si>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</si>
  <si>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</si>
  <si>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</si>
  <si>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</si>
  <si>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</si>
  <si>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</si>
  <si>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</si>
  <si>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</si>
  <si>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</si>
  <si>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</si>
  <si>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</si>
  <si>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</si>
  <si>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</si>
  <si>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</si>
  <si>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</si>
  <si>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</si>
  <si>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</si>
  <si>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</si>
  <si>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</si>
  <si>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</si>
  <si>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</si>
  <si>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</si>
  <si>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</si>
  <si>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</si>
  <si>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</si>
  <si>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</si>
  <si>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</si>
  <si>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</si>
  <si>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</si>
  <si>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</si>
  <si>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</si>
  <si>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</si>
  <si>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</si>
  <si>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</si>
  <si>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</si>
  <si>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</si>
  <si>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</si>
  <si>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</si>
  <si>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</si>
  <si>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</si>
  <si>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</si>
  <si>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</si>
  <si>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</si>
  <si>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</si>
  <si>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</si>
  <si>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</si>
  <si>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</si>
  <si>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</si>
  <si>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</si>
  <si>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</si>
  <si>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</si>
  <si>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</si>
  <si>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</si>
  <si>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</si>
  <si>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</si>
  <si>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</si>
  <si>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</si>
  <si>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</si>
  <si>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</si>
  <si>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</si>
  <si>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</si>
  <si>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</si>
  <si>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</si>
  <si>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</si>
  <si>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</si>
  <si>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</si>
  <si>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</si>
  <si>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</si>
  <si>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</si>
  <si>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</si>
  <si>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</si>
  <si>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</si>
  <si>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</si>
  <si>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</si>
  <si>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</si>
  <si>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</si>
  <si>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</si>
  <si>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</si>
  <si>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</si>
  <si>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</si>
  <si>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</si>
  <si>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</si>
  <si>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</si>
  <si>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</si>
  <si>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</si>
  <si>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</si>
  <si>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</si>
  <si>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</si>
  <si>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</si>
  <si>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</si>
  <si>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</si>
  <si>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</si>
  <si>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</si>
  <si>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</si>
  <si>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</si>
  <si>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</si>
  <si>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</si>
  <si>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</si>
  <si>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</si>
  <si>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</si>
  <si>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</si>
  <si>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</si>
  <si>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</si>
  <si>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</si>
  <si>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</si>
  <si>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</si>
  <si>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</si>
  <si>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</si>
  <si>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</si>
  <si>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</si>
  <si>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</si>
  <si>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</si>
  <si>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</si>
  <si>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</si>
  <si>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</si>
  <si>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</si>
  <si>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</si>
  <si>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</si>
  <si>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</si>
  <si>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</si>
  <si>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</si>
  <si>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</si>
  <si>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</si>
  <si>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</si>
  <si>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</si>
  <si>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</si>
  <si>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</si>
  <si>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</si>
  <si>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</si>
  <si>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</si>
  <si>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</si>
  <si>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</si>
  <si>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</si>
  <si>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</si>
  <si>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</si>
  <si>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</si>
  <si>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</si>
  <si>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</si>
  <si>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</si>
  <si>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</si>
  <si>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</si>
  <si>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</si>
  <si>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</si>
  <si>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</si>
  <si>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</si>
  <si>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</si>
  <si>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</si>
  <si>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</si>
  <si>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</si>
  <si>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</si>
  <si>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</si>
  <si>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</si>
  <si>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</si>
  <si>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</si>
  <si>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</si>
  <si>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</si>
  <si>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</si>
  <si>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</si>
  <si>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</si>
  <si>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</si>
  <si>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</si>
  <si>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</si>
  <si>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</si>
  <si>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</si>
  <si>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</si>
  <si>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</si>
  <si>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</si>
  <si>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</si>
  <si>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</si>
  <si>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</si>
  <si>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</si>
  <si>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</si>
  <si>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</si>
  <si>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</si>
  <si>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</si>
  <si>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</si>
  <si>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</si>
  <si>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</si>
  <si>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</si>
  <si>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</si>
  <si>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</si>
  <si>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</si>
  <si>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</si>
  <si>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</si>
  <si>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</si>
  <si>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</si>
  <si>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</si>
  <si>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</si>
  <si>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</si>
  <si>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</si>
  <si>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</si>
  <si>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</si>
  <si>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</si>
  <si>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</si>
  <si>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</si>
  <si>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</si>
  <si>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</si>
  <si>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</si>
  <si>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</si>
  <si>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</si>
  <si>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</si>
  <si>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</si>
  <si>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</si>
  <si>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</si>
  <si>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</si>
  <si>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</si>
  <si>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</si>
  <si>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</si>
  <si>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</si>
  <si>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</si>
  <si>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</si>
  <si>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</si>
  <si>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</si>
  <si>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</si>
  <si>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</si>
  <si>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</si>
  <si>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</si>
  <si>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</si>
  <si>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</si>
  <si>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</si>
  <si>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</si>
  <si>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</si>
  <si>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</si>
  <si>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</si>
  <si>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</si>
  <si>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</si>
  <si>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</si>
  <si>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</si>
  <si>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</si>
  <si>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</si>
  <si>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</si>
  <si>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</si>
  <si>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</si>
  <si>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</si>
  <si>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</si>
  <si>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</si>
  <si>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</si>
  <si>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</si>
  <si>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</si>
  <si>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</si>
  <si>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</si>
  <si>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</si>
  <si>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</si>
  <si>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</si>
  <si>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</si>
  <si>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</si>
  <si>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</si>
  <si>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</si>
  <si>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</si>
  <si>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</si>
  <si>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</si>
  <si>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</si>
  <si>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</si>
  <si>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</si>
  <si>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</si>
  <si>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</si>
  <si>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</si>
  <si>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</si>
  <si>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</si>
  <si>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</si>
  <si>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</si>
  <si>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</si>
  <si>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</si>
  <si>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</si>
  <si>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</si>
  <si>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</si>
  <si>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</si>
  <si>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</si>
  <si>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</si>
  <si>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</si>
  <si>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</si>
  <si>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</si>
  <si>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</si>
  <si>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</si>
  <si>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</si>
  <si>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</si>
  <si>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</si>
  <si>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</si>
  <si>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</si>
  <si>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</si>
  <si>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</si>
  <si>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</si>
  <si>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</si>
  <si>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</si>
  <si>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</si>
  <si>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</si>
  <si>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</si>
  <si>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</si>
  <si>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</si>
  <si>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</si>
  <si>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</si>
  <si>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</si>
  <si>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</si>
  <si>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</si>
  <si>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</si>
  <si>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</si>
  <si>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</si>
  <si>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</si>
  <si>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</si>
  <si>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</si>
  <si>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</si>
  <si>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</si>
  <si>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</si>
  <si>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</si>
  <si>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</si>
  <si>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</si>
  <si>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</si>
  <si>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</si>
  <si>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</si>
  <si>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</si>
  <si>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</si>
  <si>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</si>
  <si>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</si>
  <si>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</si>
  <si>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</si>
  <si>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</si>
  <si>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</si>
  <si>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</si>
  <si>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</si>
  <si>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</si>
  <si>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</si>
  <si>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</si>
  <si>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</si>
  <si>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</si>
  <si>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</si>
  <si>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</si>
  <si>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</si>
  <si>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</si>
  <si>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</si>
  <si>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</si>
  <si>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</si>
  <si>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</si>
  <si>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</si>
  <si>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</si>
  <si>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</si>
  <si>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</si>
  <si>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</si>
  <si>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</si>
  <si>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</si>
  <si>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</si>
  <si>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</si>
  <si>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</si>
  <si>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</si>
  <si>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</si>
  <si>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</si>
  <si>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</si>
  <si>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</si>
  <si>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</si>
  <si>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</si>
  <si>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</si>
  <si>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</si>
  <si>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</si>
  <si>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</si>
  <si>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</si>
  <si>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</si>
  <si>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</si>
  <si>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</si>
  <si>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</si>
  <si>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</si>
  <si>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</si>
  <si>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</si>
  <si>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</si>
  <si>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</si>
  <si>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</si>
  <si>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</si>
  <si>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</si>
  <si>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</si>
  <si>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</si>
  <si>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</si>
  <si>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</si>
  <si>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</si>
  <si>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</si>
  <si>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</si>
  <si>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</si>
  <si>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</si>
  <si>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</si>
  <si>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</si>
  <si>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</si>
  <si>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</si>
  <si>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</si>
  <si>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</si>
  <si>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</si>
  <si>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</si>
  <si>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</si>
  <si>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</si>
  <si>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</si>
  <si>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</si>
  <si>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</si>
  <si>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</si>
  <si>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</si>
  <si>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</si>
  <si>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</si>
  <si>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</si>
  <si>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</si>
  <si>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</si>
  <si>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</si>
  <si>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</si>
  <si>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</si>
  <si>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</si>
  <si>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</si>
  <si>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</si>
  <si>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</si>
  <si>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</si>
  <si>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</si>
  <si>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</si>
  <si>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</si>
  <si>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</si>
  <si>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</si>
  <si>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</si>
  <si>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</si>
  <si>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</si>
  <si>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</si>
  <si>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</si>
  <si>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</si>
  <si>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</si>
  <si>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</si>
  <si>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</si>
  <si>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</si>
  <si>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</si>
  <si>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</si>
  <si>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</si>
  <si>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</si>
  <si>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</si>
  <si>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</si>
  <si>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</si>
  <si>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</si>
  <si>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</si>
  <si>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</si>
  <si>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</si>
  <si>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</si>
  <si>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</si>
  <si>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</si>
  <si>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</si>
  <si>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</si>
  <si>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</si>
  <si>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</si>
  <si>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</si>
  <si>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</si>
  <si>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</si>
  <si>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</si>
  <si>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</si>
  <si>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</si>
  <si>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</si>
  <si>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</si>
  <si>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</si>
  <si>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</si>
  <si>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</si>
  <si>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</si>
  <si>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</si>
  <si>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</si>
  <si>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</si>
  <si>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</si>
  <si>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</si>
  <si>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</si>
  <si>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</si>
  <si>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</si>
  <si>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</si>
  <si>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</si>
  <si>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</si>
  <si>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</si>
  <si>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</si>
  <si>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</si>
  <si>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</si>
  <si>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</si>
  <si>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</si>
  <si>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</si>
  <si>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</si>
  <si>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</si>
  <si>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</si>
  <si>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</si>
  <si>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</si>
  <si>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</si>
  <si>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</si>
  <si>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</si>
  <si>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</si>
  <si>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</si>
  <si>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</si>
  <si>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</si>
  <si>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</si>
  <si>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</si>
  <si>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</si>
  <si>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</si>
  <si>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</si>
  <si>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</si>
  <si>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</si>
  <si>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</si>
  <si>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</si>
  <si>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</si>
  <si>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</si>
  <si>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</si>
  <si>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</si>
  <si>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</si>
  <si>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</si>
  <si>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</si>
  <si>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</si>
  <si>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</si>
  <si>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</si>
  <si>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</si>
  <si>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</si>
  <si>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</si>
  <si>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</si>
  <si>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</si>
  <si>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</si>
  <si>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</si>
  <si>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</si>
  <si>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</si>
  <si>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</si>
  <si>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</si>
  <si>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</si>
  <si>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</si>
  <si>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</si>
  <si>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</si>
  <si>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</si>
  <si>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</si>
  <si>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</si>
  <si>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</si>
  <si>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</si>
  <si>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</si>
  <si>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</si>
  <si>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</si>
  <si>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</si>
  <si>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</si>
  <si>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</si>
  <si>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</si>
  <si>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</si>
  <si>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</si>
  <si>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</si>
  <si>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</si>
  <si>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</si>
  <si>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</si>
  <si>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</si>
  <si>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</si>
  <si>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</si>
  <si>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</si>
  <si>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</si>
  <si>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</si>
  <si>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</si>
  <si>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</si>
  <si>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</si>
  <si>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</si>
  <si>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</si>
  <si>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</si>
  <si>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</si>
  <si>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</si>
  <si>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</si>
  <si>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</si>
  <si>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</si>
  <si>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</si>
  <si>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</si>
  <si>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</si>
  <si>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</si>
  <si>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</si>
  <si>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</si>
  <si>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</si>
  <si>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</si>
  <si>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</si>
  <si>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</si>
  <si>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</si>
  <si>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</si>
  <si>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</si>
  <si>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</si>
  <si>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</si>
  <si>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</si>
  <si>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</si>
  <si>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</si>
  <si>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</si>
  <si>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</si>
  <si>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</si>
  <si>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</si>
  <si>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</si>
  <si>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</si>
  <si>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</si>
  <si>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</si>
  <si>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</si>
  <si>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</si>
  <si>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</si>
  <si>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</si>
  <si>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</si>
  <si>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</si>
  <si>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</si>
  <si>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</si>
  <si>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</si>
  <si>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</si>
  <si>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</si>
  <si>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</si>
  <si>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</si>
  <si>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</si>
  <si>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</si>
  <si>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</si>
  <si>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</si>
  <si>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</si>
  <si>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</si>
  <si>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</si>
  <si>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</si>
  <si>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</si>
  <si>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</si>
  <si>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</si>
  <si>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</si>
  <si>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</si>
  <si>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</si>
  <si>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</si>
  <si>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</si>
  <si>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</si>
  <si>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</si>
  <si>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</si>
  <si>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</si>
  <si>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</si>
  <si>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</si>
  <si>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</si>
  <si>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</si>
  <si>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</si>
  <si>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</si>
  <si>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</si>
  <si>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</si>
  <si>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</si>
  <si>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</si>
  <si>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</si>
  <si>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</si>
  <si>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</si>
  <si>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</si>
  <si>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</si>
  <si>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</si>
  <si>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</si>
  <si>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</si>
  <si>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</si>
  <si>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</si>
  <si>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</si>
  <si>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</si>
  <si>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</si>
  <si>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</si>
  <si>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</si>
  <si>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</si>
  <si>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</si>
  <si>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</si>
  <si>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</si>
  <si>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</si>
  <si>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</si>
  <si>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</si>
  <si>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</si>
  <si>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</si>
  <si>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</si>
  <si>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</si>
  <si>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</si>
  <si>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</si>
  <si>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</si>
  <si>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</si>
  <si>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</si>
  <si>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</si>
  <si>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</si>
  <si>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</si>
  <si>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</si>
  <si>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</si>
  <si>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</si>
  <si>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</si>
  <si>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</si>
  <si>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</si>
  <si>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</si>
  <si>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</si>
  <si>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</si>
  <si>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</si>
  <si>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</si>
  <si>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</si>
  <si>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</si>
  <si>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</si>
  <si>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</si>
  <si>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</si>
  <si>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</si>
  <si>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</si>
  <si>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</si>
  <si>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</si>
  <si>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</si>
  <si>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</si>
  <si>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</si>
  <si>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</si>
  <si>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</si>
  <si>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</si>
  <si>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</si>
  <si>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</si>
  <si>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</si>
  <si>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</si>
  <si>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</si>
  <si>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</si>
  <si>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</si>
  <si>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</si>
  <si>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</si>
  <si>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</si>
  <si>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</si>
  <si>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</si>
  <si>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</si>
  <si>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</si>
  <si>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</si>
  <si>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</si>
  <si>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</si>
  <si>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</si>
  <si>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</si>
  <si>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</si>
  <si>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</si>
  <si>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</si>
  <si>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</si>
  <si>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</si>
  <si>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</si>
  <si>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</si>
  <si>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</si>
  <si>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</si>
  <si>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</si>
  <si>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</si>
  <si>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</si>
  <si>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</si>
  <si>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</si>
  <si>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</si>
  <si>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</si>
  <si>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</si>
  <si>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</si>
  <si>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</si>
  <si>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</si>
  <si>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</si>
  <si>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</si>
  <si>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</si>
  <si>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</si>
  <si>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</si>
  <si>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</si>
  <si>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</si>
  <si>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</si>
  <si>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</si>
  <si>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</si>
  <si>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</si>
  <si>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</si>
  <si>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</si>
  <si>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</si>
  <si>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</si>
  <si>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</si>
  <si>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</si>
  <si>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</si>
  <si>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</si>
  <si>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</si>
  <si>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</si>
  <si>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</si>
  <si>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</si>
  <si>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</si>
  <si>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</si>
  <si>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</si>
  <si>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</si>
  <si>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</si>
  <si>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</si>
  <si>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</si>
  <si>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</si>
  <si>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</si>
  <si>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</si>
  <si>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</si>
  <si>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</si>
  <si>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</si>
  <si>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</si>
  <si>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</si>
  <si>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</si>
  <si>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</si>
  <si>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</si>
  <si>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</si>
  <si>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</si>
  <si>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</si>
  <si>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</si>
  <si>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</si>
  <si>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</si>
  <si>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</si>
  <si>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</si>
  <si>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</si>
  <si>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</si>
  <si>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</si>
  <si>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</si>
  <si>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</si>
  <si>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</si>
  <si>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</si>
  <si>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</si>
  <si>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</si>
  <si>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</si>
  <si>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</si>
  <si>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</si>
  <si>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</si>
  <si>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</si>
  <si>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</si>
  <si>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</si>
  <si>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</si>
  <si>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</si>
  <si>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</si>
  <si>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</si>
  <si>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</si>
  <si>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</si>
  <si>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</si>
  <si>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</si>
  <si>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</si>
  <si>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</si>
  <si>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</si>
  <si>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</si>
  <si>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</si>
  <si>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</si>
  <si>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</si>
  <si>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</si>
  <si>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</si>
  <si>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</si>
  <si>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</si>
  <si>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</si>
  <si>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</si>
  <si>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</si>
  <si>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</si>
  <si>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</si>
  <si>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</si>
  <si>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</si>
  <si>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</si>
  <si>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</si>
  <si>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</si>
  <si>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</si>
  <si>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</si>
  <si>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</si>
  <si>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</si>
  <si>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</si>
  <si>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</si>
  <si>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</si>
  <si>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</si>
  <si>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</si>
  <si>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</si>
  <si>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</si>
  <si>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</si>
  <si>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</si>
  <si>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</si>
  <si>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</si>
  <si>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</si>
  <si>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</si>
  <si>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</si>
  <si>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</si>
  <si>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</si>
  <si>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</si>
  <si>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</si>
  <si>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</si>
  <si>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</si>
  <si>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</si>
  <si>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</si>
  <si>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</si>
  <si>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</si>
  <si>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</si>
  <si>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</si>
  <si>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</si>
  <si>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</si>
  <si>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</si>
  <si>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</si>
  <si>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</si>
  <si>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</si>
  <si>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</si>
  <si>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</si>
  <si>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</si>
  <si>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</si>
  <si>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</si>
  <si>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</si>
  <si>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</si>
  <si>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</si>
  <si>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</si>
  <si>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</si>
  <si>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</si>
  <si>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</si>
  <si>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</si>
  <si>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</si>
  <si>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</si>
  <si>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</si>
  <si>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</si>
  <si>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</si>
  <si>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</si>
  <si>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</si>
  <si>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</si>
  <si>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</si>
  <si>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</si>
  <si>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</si>
  <si>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</si>
  <si>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</si>
  <si>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</si>
  <si>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</si>
  <si>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</si>
  <si>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</si>
  <si>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</si>
  <si>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</si>
  <si>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</si>
  <si>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</si>
  <si>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</si>
  <si>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</si>
  <si>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</si>
  <si>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</si>
  <si>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</si>
  <si>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</si>
  <si>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</si>
  <si>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</si>
  <si>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</si>
  <si>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</si>
  <si>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</si>
  <si>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</si>
  <si>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</si>
  <si>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</si>
  <si>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</si>
  <si>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</si>
  <si>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</si>
  <si>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</si>
  <si>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</si>
  <si>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</si>
  <si>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</si>
  <si>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</si>
  <si>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</si>
  <si>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</si>
  <si>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</si>
  <si>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</si>
  <si>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</si>
  <si>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</si>
  <si>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</si>
  <si>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</si>
  <si>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</si>
  <si>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</si>
  <si>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</si>
  <si>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</si>
  <si>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</si>
  <si>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</si>
  <si>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</si>
  <si>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</si>
  <si>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</si>
  <si>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</si>
  <si>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</si>
  <si>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</si>
  <si>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</si>
  <si>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</si>
  <si>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</si>
  <si>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</si>
  <si>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</si>
  <si>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</si>
  <si>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</si>
  <si>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</si>
  <si>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</si>
  <si>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</si>
  <si>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</si>
  <si>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</si>
  <si>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</si>
  <si>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</si>
  <si>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</si>
  <si>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</si>
  <si>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</si>
  <si>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</si>
  <si>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</si>
  <si>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</si>
  <si>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</si>
  <si>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</si>
  <si>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</si>
  <si>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</si>
  <si>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</si>
  <si>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</si>
  <si>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</si>
  <si>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</si>
  <si>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</si>
  <si>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</si>
  <si>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</si>
  <si>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</si>
  <si>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</si>
  <si>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</si>
  <si>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</si>
  <si>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</si>
  <si>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</si>
  <si>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</si>
  <si>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</si>
  <si>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</si>
  <si>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</si>
  <si>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</si>
  <si>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</si>
  <si>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</si>
  <si>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</si>
  <si>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</si>
  <si>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</si>
  <si>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</si>
  <si>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</si>
  <si>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</si>
  <si>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</si>
  <si>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</si>
  <si>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</si>
  <si>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</si>
  <si>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</si>
  <si>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</si>
  <si>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</si>
  <si>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</si>
  <si>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</si>
  <si>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</si>
  <si>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</si>
  <si>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</si>
  <si>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</si>
  <si>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</si>
  <si>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</si>
  <si>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</si>
  <si>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</si>
  <si>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</si>
  <si>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</si>
  <si>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</si>
  <si>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</si>
  <si>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</si>
  <si>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</si>
  <si>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</si>
  <si>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</si>
  <si>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</si>
  <si>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</si>
  <si>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</si>
  <si>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</si>
  <si>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</si>
  <si>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</si>
  <si>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</si>
  <si>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</si>
  <si>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</si>
  <si>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</si>
  <si>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</si>
  <si>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</si>
  <si>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</si>
  <si>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</si>
  <si>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</si>
  <si>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</si>
  <si>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</si>
  <si>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</si>
  <si>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</si>
  <si>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</si>
  <si>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</si>
  <si>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</si>
  <si>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</si>
  <si>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</si>
  <si>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</si>
  <si>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</si>
  <si>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</si>
  <si>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</si>
  <si>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</si>
  <si>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</si>
  <si>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</si>
  <si>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</si>
  <si>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</si>
  <si>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</si>
  <si>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</si>
  <si>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</si>
  <si>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</si>
  <si>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</si>
  <si>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</si>
  <si>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</si>
  <si>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</si>
  <si>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</si>
  <si>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</si>
  <si>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</si>
  <si>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</si>
  <si>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</si>
  <si>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</si>
  <si>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</si>
  <si>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</si>
  <si>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</si>
  <si>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</si>
  <si>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</si>
  <si>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</si>
  <si>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</si>
  <si>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</si>
  <si>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</si>
  <si>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</si>
  <si>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</si>
  <si>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</si>
  <si>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</si>
  <si>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</si>
  <si>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</si>
  <si>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</si>
  <si>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</si>
  <si>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</si>
  <si>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</si>
  <si>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</si>
  <si>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</si>
  <si>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</si>
  <si>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</si>
  <si>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</si>
  <si>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</si>
  <si>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</si>
  <si>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</si>
  <si>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</si>
  <si>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</si>
  <si>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</si>
  <si>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</si>
  <si>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</si>
  <si>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</si>
  <si>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</si>
  <si>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</si>
  <si>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</si>
  <si>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</si>
  <si>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</si>
  <si>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</si>
  <si>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</si>
  <si>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</si>
  <si>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</si>
  <si>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</si>
  <si>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</si>
  <si>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</si>
  <si>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</si>
  <si>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</si>
  <si>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</si>
  <si>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</si>
  <si>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</si>
  <si>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</si>
  <si>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</si>
  <si>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</si>
  <si>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</si>
  <si>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</si>
  <si>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</si>
  <si>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</si>
  <si>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</si>
  <si>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</si>
  <si>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</si>
  <si>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</si>
  <si>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</si>
  <si>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</si>
  <si>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</si>
  <si>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</si>
  <si>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</si>
  <si>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</si>
  <si>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</si>
  <si>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</si>
  <si>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</si>
  <si>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</si>
  <si>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</si>
  <si>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</si>
  <si>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</si>
  <si>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</si>
  <si>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</si>
  <si>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</si>
  <si>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</si>
  <si>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</si>
  <si>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</si>
  <si>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</si>
  <si>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</si>
  <si>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</si>
  <si>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</si>
  <si>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</si>
  <si>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</si>
  <si>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</si>
  <si>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</si>
  <si>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</si>
  <si>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</si>
  <si>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</si>
  <si>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</si>
  <si>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</si>
  <si>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</si>
  <si>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</si>
  <si>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</si>
  <si>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</si>
  <si>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</si>
  <si>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</si>
  <si>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</si>
  <si>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</si>
  <si>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</si>
  <si>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</si>
  <si>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</si>
  <si>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</si>
  <si>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</si>
  <si>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</si>
  <si>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</si>
  <si>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</si>
  <si>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</si>
  <si>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</si>
  <si>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</si>
  <si>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</si>
  <si>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</si>
  <si>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</si>
  <si>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</si>
  <si>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</si>
  <si>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</si>
  <si>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</si>
  <si>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</si>
  <si>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</si>
  <si>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</si>
  <si>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</si>
  <si>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</si>
  <si>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</si>
  <si>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</si>
  <si>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</si>
  <si>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</si>
  <si>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</si>
  <si>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</si>
  <si>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</si>
  <si>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</si>
  <si>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</si>
  <si>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</si>
  <si>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</si>
  <si>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</si>
  <si>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</si>
  <si>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</si>
  <si>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</si>
  <si>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</si>
  <si>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</si>
  <si>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</si>
  <si>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</si>
  <si>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</si>
  <si>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</si>
  <si>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</si>
  <si>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</si>
  <si>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</si>
  <si>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</si>
  <si>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</si>
  <si>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</si>
  <si>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</si>
  <si>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</si>
  <si>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</si>
  <si>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</si>
  <si>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</si>
  <si>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</si>
  <si>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</si>
  <si>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</si>
  <si>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</si>
  <si>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</si>
  <si>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</si>
  <si>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</si>
  <si>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</si>
  <si>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</si>
  <si>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</si>
  <si>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</si>
  <si>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</si>
  <si>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</si>
  <si>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</si>
  <si>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</si>
  <si>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</si>
  <si>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</si>
  <si>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</si>
  <si>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</si>
  <si>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</si>
  <si>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</si>
  <si>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</si>
  <si>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</si>
  <si>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</si>
  <si>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</si>
  <si>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</si>
  <si>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</si>
  <si>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</si>
  <si>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</si>
  <si>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</si>
  <si>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</si>
  <si>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</si>
  <si>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</si>
  <si>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</si>
  <si>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</si>
  <si>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</si>
  <si>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</si>
  <si>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</si>
  <si>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</si>
  <si>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</si>
  <si>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</si>
  <si>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</si>
  <si>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</si>
  <si>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</si>
  <si>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</si>
  <si>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</si>
  <si>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</si>
  <si>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</si>
  <si>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</si>
  <si>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</si>
  <si>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</si>
  <si>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</si>
  <si>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</si>
  <si>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</si>
  <si>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</si>
  <si>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</si>
  <si>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</si>
  <si>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</si>
  <si>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</si>
  <si>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</si>
  <si>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</si>
  <si>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</si>
  <si>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</si>
  <si>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</si>
  <si>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</si>
  <si>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</si>
  <si>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</si>
  <si>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</si>
  <si>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</si>
  <si>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</si>
  <si>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</si>
  <si>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</si>
  <si>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</si>
  <si>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</si>
  <si>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</si>
  <si>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</si>
  <si>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</si>
  <si>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</si>
  <si>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</si>
  <si>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</si>
  <si>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</si>
  <si>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</si>
  <si>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</si>
  <si>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</si>
  <si>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</si>
  <si>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</si>
  <si>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</si>
  <si>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</si>
  <si>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</si>
  <si>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</si>
  <si>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</si>
  <si>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</si>
  <si>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</si>
  <si>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</si>
  <si>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</si>
  <si>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</si>
  <si>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</si>
  <si>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</si>
  <si>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</si>
  <si>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</si>
  <si>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</si>
  <si>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</si>
  <si>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</si>
  <si>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</si>
  <si>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</si>
  <si>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</si>
  <si>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</si>
  <si>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</si>
  <si>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</si>
  <si>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</si>
  <si>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</si>
  <si>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</si>
  <si>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</si>
  <si>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</si>
  <si>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</si>
  <si>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</si>
  <si>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</si>
  <si>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</si>
  <si>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</si>
  <si>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</si>
  <si>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</si>
  <si>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</si>
  <si>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</si>
  <si>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</si>
  <si>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</si>
  <si>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</si>
  <si>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</si>
  <si>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</si>
  <si>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</si>
  <si>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</si>
  <si>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</si>
  <si>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</si>
  <si>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</si>
  <si>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</si>
  <si>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</si>
  <si>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</si>
  <si>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</si>
  <si>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</si>
  <si>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</si>
  <si>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</si>
  <si>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</si>
  <si>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</si>
  <si>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</si>
  <si>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</si>
  <si>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</si>
  <si>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</si>
  <si>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</si>
  <si>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</si>
  <si>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</si>
  <si>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</si>
  <si>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</si>
  <si>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</si>
  <si>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</si>
  <si>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</si>
  <si>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</si>
  <si>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</si>
  <si>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</si>
  <si>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</si>
  <si>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</si>
  <si>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</si>
  <si>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</si>
  <si>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</si>
  <si>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</si>
  <si>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</si>
  <si>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</si>
  <si>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</si>
  <si>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</si>
  <si>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</si>
  <si>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</si>
  <si>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</si>
  <si>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</si>
  <si>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</si>
  <si>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</si>
  <si>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</si>
  <si>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</si>
  <si>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</si>
  <si>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</si>
  <si>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</si>
  <si>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</si>
  <si>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</si>
  <si>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</si>
  <si>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</si>
  <si>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</si>
  <si>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</si>
  <si>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</si>
  <si>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</si>
  <si>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</si>
  <si>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</si>
  <si>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</si>
  <si>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</si>
  <si>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</si>
  <si>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</si>
  <si>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</si>
  <si>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</si>
  <si>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</si>
  <si>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</si>
  <si>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</si>
  <si>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</si>
  <si>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</si>
  <si>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</si>
  <si>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</si>
  <si>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</si>
  <si>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</si>
  <si>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</si>
  <si>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</si>
  <si>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</si>
  <si>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</si>
  <si>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</si>
  <si>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</si>
  <si>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</si>
  <si>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</si>
  <si>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</si>
  <si>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</si>
  <si>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</si>
  <si>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</si>
  <si>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</si>
  <si>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</si>
  <si>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</si>
  <si>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</si>
  <si>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</si>
  <si>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</si>
  <si>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</si>
  <si>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</si>
  <si>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</si>
  <si>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</si>
  <si>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</si>
  <si>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</si>
  <si>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</si>
  <si>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</si>
  <si>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</si>
  <si>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</si>
  <si>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</si>
  <si>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</si>
  <si>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</si>
  <si>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</si>
  <si>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</si>
  <si>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</si>
  <si>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</si>
  <si>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</si>
  <si>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</si>
  <si>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</si>
  <si>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</si>
  <si>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</si>
  <si>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</si>
  <si>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</si>
  <si>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</si>
  <si>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</si>
  <si>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</si>
  <si>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</si>
  <si>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</si>
  <si>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</si>
  <si>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</si>
  <si>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</si>
  <si>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</si>
  <si>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</si>
  <si>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</si>
  <si>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</si>
  <si>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</si>
  <si>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</si>
  <si>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</si>
  <si>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</si>
  <si>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</si>
  <si>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</si>
  <si>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</si>
  <si>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</si>
  <si>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</si>
  <si>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</si>
  <si>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</si>
  <si>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</si>
  <si>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</si>
  <si>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</si>
  <si>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</si>
  <si>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</si>
  <si>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</si>
  <si>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</si>
  <si>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</si>
  <si>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</si>
  <si>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</si>
  <si>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</si>
  <si>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</si>
  <si>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</si>
  <si>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</si>
  <si>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</si>
  <si>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</si>
  <si>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</si>
  <si>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</si>
  <si>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</si>
  <si>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</si>
  <si>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</si>
  <si>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</si>
  <si>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</si>
  <si>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</si>
  <si>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</si>
  <si>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</si>
  <si>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</si>
  <si>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</si>
  <si>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</si>
  <si>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</si>
  <si>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</si>
  <si>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</si>
  <si>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</si>
  <si>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</si>
  <si>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</si>
  <si>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</si>
  <si>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</si>
  <si>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</si>
  <si>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</si>
  <si>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</si>
  <si>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</si>
  <si>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</si>
  <si>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</si>
  <si>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</si>
  <si>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</si>
  <si>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</si>
  <si>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</si>
  <si>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</si>
  <si>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</si>
  <si>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</si>
  <si>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</si>
  <si>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</si>
  <si>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</si>
  <si>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</si>
  <si>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</si>
  <si>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</si>
  <si>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</si>
  <si>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</si>
  <si>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</si>
  <si>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</si>
  <si>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</si>
  <si>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</si>
  <si>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</si>
  <si>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</si>
  <si>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</si>
  <si>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</si>
  <si>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</si>
  <si>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</si>
  <si>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</si>
  <si>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</si>
  <si>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</si>
  <si>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</si>
  <si>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</si>
  <si>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</si>
  <si>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</si>
  <si>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</si>
  <si>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</si>
  <si>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</si>
  <si>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</si>
  <si>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</si>
  <si>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</si>
  <si>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</si>
  <si>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</si>
  <si>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</si>
  <si>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</si>
  <si>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</si>
  <si>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</si>
  <si>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</si>
  <si>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</si>
  <si>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</si>
  <si>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</si>
  <si>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</si>
  <si>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</si>
  <si>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</si>
  <si>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</si>
  <si>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</si>
  <si>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</si>
  <si>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</si>
  <si>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</si>
  <si>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</si>
  <si>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</si>
  <si>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</si>
  <si>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</si>
  <si>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</si>
  <si>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</si>
  <si>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</si>
  <si>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</si>
  <si>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</si>
  <si>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</si>
  <si>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</si>
  <si>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</si>
  <si>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</si>
  <si>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</si>
  <si>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</si>
  <si>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</si>
  <si>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</si>
  <si>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</si>
  <si>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</si>
  <si>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</si>
  <si>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</si>
  <si>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</si>
  <si>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</si>
  <si>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</si>
  <si>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</si>
  <si>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</si>
  <si>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</si>
  <si>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</si>
  <si>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</si>
  <si>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</si>
  <si>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</si>
  <si>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</si>
  <si>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</si>
  <si>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</si>
  <si>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</si>
  <si>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</si>
  <si>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</si>
  <si>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</si>
  <si>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</si>
  <si>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</si>
  <si>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</si>
  <si>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</si>
  <si>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</si>
  <si>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</si>
  <si>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</si>
  <si>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</si>
  <si>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</si>
  <si>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</si>
  <si>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</si>
  <si>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</si>
  <si>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</si>
  <si>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</si>
  <si>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</si>
  <si>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</si>
  <si>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</si>
  <si>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</si>
  <si>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</si>
  <si>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</si>
  <si>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</si>
  <si>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</si>
  <si>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</si>
  <si>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</si>
  <si>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</si>
  <si>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</si>
  <si>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</si>
  <si>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</si>
  <si>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</si>
  <si>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</si>
  <si>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</si>
  <si>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</si>
  <si>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</si>
  <si>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</si>
  <si>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</si>
  <si>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</si>
  <si>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</si>
  <si>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</si>
  <si>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</si>
  <si>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</si>
  <si>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</si>
  <si>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</si>
  <si>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</si>
  <si>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</si>
  <si>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</si>
  <si>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</si>
  <si>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</si>
  <si>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</si>
  <si>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</si>
  <si>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</si>
  <si>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</si>
  <si>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</si>
  <si>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</si>
  <si>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</si>
  <si>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</si>
  <si>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</si>
  <si>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</si>
  <si>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</si>
  <si>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</si>
  <si>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</si>
  <si>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</si>
  <si>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</si>
  <si>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</si>
  <si>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</si>
  <si>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</si>
  <si>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</si>
  <si>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</si>
  <si>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</si>
  <si>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</si>
  <si>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</si>
  <si>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</si>
  <si>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</si>
  <si>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</si>
  <si>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</si>
  <si>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</si>
  <si>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</si>
  <si>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</si>
  <si>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</si>
  <si>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</si>
  <si>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</si>
  <si>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</si>
  <si>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</si>
  <si>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</si>
  <si>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</si>
  <si>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</si>
  <si>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</si>
  <si>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</si>
  <si>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</si>
  <si>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</si>
  <si>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</si>
  <si>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</si>
  <si>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</si>
  <si>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</si>
  <si>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</si>
  <si>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</si>
  <si>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</si>
  <si>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</si>
  <si>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</si>
  <si>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</si>
  <si>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</si>
  <si>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</si>
  <si>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</si>
  <si>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</si>
  <si>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</si>
  <si>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</si>
  <si>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</si>
  <si>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</si>
  <si>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</si>
  <si>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</si>
  <si>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</si>
  <si>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</si>
  <si>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</si>
  <si>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</si>
  <si>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</si>
  <si>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</si>
  <si>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</si>
  <si>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</si>
  <si>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</si>
  <si>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</si>
  <si>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</si>
  <si>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</si>
  <si>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</si>
  <si>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</si>
  <si>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</si>
  <si>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</si>
  <si>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</si>
  <si>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</si>
  <si>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</si>
  <si>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</si>
  <si>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</si>
  <si>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</si>
  <si>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</si>
  <si>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</si>
  <si>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</si>
  <si>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</si>
  <si>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</si>
  <si>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</si>
  <si>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</si>
  <si>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</si>
  <si>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</si>
  <si>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</si>
  <si>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</si>
  <si>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</si>
  <si>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</si>
  <si>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</si>
  <si>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</si>
  <si>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</si>
  <si>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</si>
  <si>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</si>
  <si>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</si>
  <si>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</si>
  <si>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</si>
  <si>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</si>
  <si>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</si>
  <si>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</si>
  <si>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</si>
  <si>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</si>
  <si>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</si>
  <si>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</si>
  <si>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</si>
  <si>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</si>
  <si>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</si>
  <si>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</si>
  <si>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</si>
  <si>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</si>
  <si>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</si>
  <si>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</si>
  <si>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</si>
  <si>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</si>
  <si>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</si>
  <si>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</si>
  <si>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</si>
  <si>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</si>
  <si>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</si>
  <si>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</si>
  <si>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</si>
  <si>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</si>
  <si>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</si>
  <si>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</si>
  <si>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</si>
  <si>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</si>
  <si>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</si>
  <si>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</si>
  <si>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</si>
  <si>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</si>
  <si>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</si>
  <si>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</si>
  <si>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</si>
  <si>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</si>
  <si>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</si>
  <si>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</si>
  <si>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</si>
  <si>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</si>
  <si>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</si>
  <si>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</si>
  <si>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</si>
  <si>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</si>
  <si>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</si>
  <si>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</si>
  <si>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</si>
  <si>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</si>
  <si>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</si>
  <si>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</si>
  <si>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</si>
  <si>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</si>
  <si>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</si>
  <si>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</si>
  <si>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</si>
  <si>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</si>
  <si>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</si>
  <si>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</si>
  <si>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</si>
  <si>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</si>
  <si>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</si>
  <si>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</si>
  <si>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</si>
  <si>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</si>
  <si>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</si>
  <si>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</si>
  <si>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</si>
  <si>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</si>
  <si>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</si>
  <si>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</si>
  <si>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</si>
  <si>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</si>
  <si>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</si>
  <si>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</si>
  <si>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</si>
  <si>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</si>
  <si>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</si>
  <si>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</si>
  <si>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</si>
  <si>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</si>
  <si>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</si>
  <si>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</si>
  <si>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</si>
  <si>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</si>
  <si>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</si>
  <si>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</si>
  <si>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</si>
  <si>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</si>
  <si>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</si>
  <si>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</si>
  <si>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</si>
  <si>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</si>
  <si>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</si>
  <si>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</si>
  <si>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</si>
  <si>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</si>
  <si>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</si>
  <si>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</si>
  <si>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</si>
  <si>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</si>
  <si>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</si>
  <si>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</si>
  <si>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</si>
  <si>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</si>
  <si>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</si>
  <si>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</si>
  <si>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</si>
  <si>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</si>
  <si>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</si>
  <si>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</si>
  <si>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</si>
  <si>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</si>
  <si>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</si>
  <si>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</si>
  <si>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</si>
  <si>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</si>
  <si>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</si>
  <si>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</si>
  <si>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</si>
  <si>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</si>
  <si>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</si>
  <si>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</si>
  <si>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</si>
  <si>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</si>
  <si>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</si>
  <si>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</si>
  <si>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</si>
  <si>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</si>
  <si>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</si>
  <si>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</si>
  <si>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</si>
  <si>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</si>
  <si>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</si>
  <si>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</si>
  <si>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</si>
  <si>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</si>
  <si>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</si>
  <si>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</si>
  <si>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</si>
  <si>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</si>
  <si>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</si>
  <si>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</si>
  <si>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</si>
  <si>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</si>
  <si>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</si>
  <si>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</si>
  <si>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</si>
  <si>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</si>
  <si>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</si>
  <si>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</si>
  <si>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</si>
  <si>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</si>
  <si>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</si>
  <si>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</si>
  <si>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</si>
  <si>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</si>
  <si>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</si>
  <si>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</si>
  <si>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</si>
  <si>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</si>
  <si>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</si>
  <si>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</si>
  <si>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</si>
  <si>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</si>
  <si>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</si>
  <si>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</si>
  <si>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</si>
  <si>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</si>
  <si>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</si>
  <si>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</si>
  <si>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</si>
  <si>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</si>
  <si>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</si>
  <si>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</si>
  <si>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</si>
  <si>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</si>
  <si>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</si>
  <si>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</si>
  <si>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</si>
  <si>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</si>
  <si>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</si>
  <si>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</si>
  <si>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</si>
  <si>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</si>
  <si>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</si>
  <si>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</si>
  <si>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</si>
  <si>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</si>
  <si>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</si>
  <si>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</si>
  <si>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</si>
  <si>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</si>
  <si>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</si>
  <si>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</si>
  <si>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</si>
  <si>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</si>
  <si>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</si>
  <si>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</si>
  <si>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</si>
  <si>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</si>
  <si>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</si>
  <si>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</si>
  <si>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</si>
  <si>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</si>
  <si>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</si>
  <si>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</si>
  <si>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</si>
  <si>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</si>
  <si>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</si>
  <si>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</si>
  <si>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</si>
  <si>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</si>
  <si>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</si>
  <si>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</si>
  <si>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</si>
  <si>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</si>
  <si>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</si>
  <si>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</si>
  <si>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</si>
  <si>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</si>
  <si>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</si>
  <si>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</si>
  <si>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</si>
  <si>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</si>
  <si>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</si>
  <si>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</si>
  <si>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</si>
  <si>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</si>
  <si>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</si>
  <si>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</si>
  <si>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</si>
  <si>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</si>
  <si>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</si>
  <si>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</si>
  <si>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</si>
  <si>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</si>
  <si>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</si>
  <si>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</si>
  <si>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</si>
  <si>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</si>
  <si>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</si>
  <si>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</si>
  <si>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</si>
  <si>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</si>
  <si>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</si>
  <si>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</si>
  <si>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</si>
  <si>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</si>
  <si>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</si>
  <si>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</si>
  <si>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</si>
  <si>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</si>
  <si>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</si>
  <si>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</si>
  <si>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</si>
  <si>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</si>
  <si>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</si>
  <si>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</si>
  <si>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</si>
  <si>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</si>
  <si>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</si>
  <si>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</si>
  <si>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</si>
  <si>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</si>
  <si>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</si>
  <si>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</si>
  <si>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</si>
  <si>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</si>
  <si>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</si>
  <si>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</si>
  <si>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</si>
  <si>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</si>
  <si>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</si>
  <si>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</si>
  <si>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</si>
  <si>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</si>
  <si>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</si>
  <si>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</si>
  <si>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</si>
  <si>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</si>
  <si>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</si>
  <si>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</si>
  <si>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</si>
  <si>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</si>
  <si>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</si>
  <si>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</si>
  <si>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</si>
  <si>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</si>
  <si>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</si>
  <si>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</si>
  <si>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</si>
  <si>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</si>
  <si>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</si>
  <si>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</si>
  <si>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</si>
  <si>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</si>
  <si>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</si>
  <si>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</si>
  <si>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</si>
  <si>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</si>
  <si>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</si>
  <si>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</si>
  <si>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</si>
  <si>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</si>
  <si>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</si>
  <si>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</si>
  <si>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</si>
  <si>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</si>
  <si>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</si>
  <si>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</si>
  <si>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</si>
  <si>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</si>
  <si>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</si>
  <si>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</si>
  <si>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</si>
  <si>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</si>
  <si>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</si>
  <si>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</si>
  <si>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</si>
  <si>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</si>
  <si>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</si>
  <si>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</si>
  <si>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</si>
  <si>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</si>
  <si>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</si>
  <si>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</si>
  <si>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</si>
  <si>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</si>
  <si>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</si>
  <si>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</si>
  <si>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</si>
  <si>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</si>
  <si>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</si>
  <si>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</si>
  <si>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</si>
  <si>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</si>
  <si>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</si>
  <si>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</si>
  <si>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</si>
  <si>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</si>
  <si>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</si>
  <si>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</si>
  <si>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</si>
  <si>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</si>
  <si>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</si>
  <si>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</si>
  <si>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</si>
  <si>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</si>
  <si>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</si>
  <si>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</si>
  <si>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</si>
  <si>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</si>
  <si>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</si>
  <si>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</si>
  <si>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</si>
  <si>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</si>
  <si>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</si>
  <si>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</si>
  <si>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</si>
  <si>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</si>
  <si>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</si>
  <si>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</si>
  <si>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</si>
  <si>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</si>
  <si>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</si>
  <si>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</si>
  <si>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</si>
  <si>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</si>
  <si>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</si>
  <si>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</si>
  <si>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</si>
  <si>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</si>
  <si>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</si>
  <si>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</si>
  <si>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</si>
  <si>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</si>
  <si>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</si>
  <si>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</si>
  <si>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</si>
  <si>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</si>
  <si>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</si>
  <si>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</si>
  <si>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</si>
  <si>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</si>
  <si>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</si>
  <si>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</si>
  <si>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</si>
  <si>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</si>
  <si>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</si>
  <si>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</si>
  <si>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</si>
  <si>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</si>
  <si>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</si>
  <si>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</si>
  <si>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</si>
  <si>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</si>
  <si>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</si>
  <si>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</si>
  <si>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</si>
  <si>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</si>
  <si>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</si>
  <si>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</si>
  <si>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</si>
  <si>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</si>
  <si>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</si>
  <si>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</si>
  <si>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</si>
  <si>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</si>
  <si>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</si>
  <si>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</si>
  <si>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</si>
  <si>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</si>
  <si>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</si>
  <si>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</si>
  <si>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</si>
  <si>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</si>
  <si>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</si>
  <si>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</si>
  <si>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</si>
  <si>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</si>
  <si>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</si>
  <si>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</si>
  <si>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</si>
  <si>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</si>
  <si>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</si>
  <si>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</si>
  <si>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</si>
  <si>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</si>
  <si>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</si>
  <si>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</si>
  <si>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</si>
  <si>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</si>
  <si>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</si>
  <si>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</si>
  <si>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</si>
  <si>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</si>
  <si>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</si>
  <si>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</si>
  <si>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</si>
  <si>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</si>
  <si>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</si>
  <si>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</si>
  <si>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</si>
  <si>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</si>
  <si>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</si>
  <si>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</si>
  <si>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</si>
  <si>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</si>
  <si>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</si>
  <si>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</si>
  <si>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</si>
  <si>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</si>
  <si>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</si>
  <si>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</si>
  <si>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</si>
  <si>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</si>
  <si>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</si>
  <si>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</si>
  <si>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</si>
  <si>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</si>
  <si>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</si>
  <si>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</si>
  <si>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</si>
  <si>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</si>
  <si>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</si>
  <si>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</si>
  <si>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</si>
  <si>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</si>
  <si>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</si>
  <si>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</si>
  <si>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</si>
  <si>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</si>
  <si>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</si>
  <si>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</si>
  <si>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</si>
  <si>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</si>
  <si>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</si>
  <si>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</si>
  <si>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</si>
  <si>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</si>
  <si>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</si>
  <si>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</si>
  <si>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</si>
  <si>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</si>
  <si>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</si>
  <si>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</si>
  <si>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</si>
  <si>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</si>
  <si>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</si>
  <si>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</si>
  <si>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</si>
  <si>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</si>
  <si>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</si>
  <si>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</si>
  <si>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</si>
  <si>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</si>
  <si>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</si>
  <si>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</si>
  <si>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</si>
  <si>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</si>
  <si>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</si>
  <si>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</si>
  <si>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</si>
  <si>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</si>
  <si>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</si>
  <si>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</si>
  <si>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</si>
  <si>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</si>
  <si>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</si>
  <si>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</si>
  <si>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</si>
  <si>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</si>
  <si>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</si>
  <si>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</si>
  <si>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</si>
  <si>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</si>
  <si>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</si>
  <si>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</si>
  <si>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</si>
  <si>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</si>
  <si>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</si>
  <si>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</si>
  <si>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</si>
  <si>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</si>
  <si>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</si>
  <si>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</si>
  <si>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</si>
  <si>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</si>
  <si>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</si>
  <si>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</si>
  <si>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</si>
  <si>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</si>
  <si>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</si>
  <si>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</si>
  <si>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</si>
  <si>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</si>
  <si>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</si>
  <si>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</si>
  <si>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</si>
  <si>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</si>
  <si>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</si>
  <si>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</si>
  <si>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</si>
  <si>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</si>
  <si>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</si>
  <si>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</si>
  <si>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</si>
  <si>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</si>
  <si>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</si>
  <si>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</si>
  <si>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</si>
  <si>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</si>
  <si>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</si>
  <si>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</si>
  <si>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</si>
  <si>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</si>
  <si>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</si>
  <si>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</si>
  <si>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</si>
  <si>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</si>
  <si>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</si>
  <si>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</si>
  <si>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</si>
  <si>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</si>
  <si>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</si>
  <si>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</si>
  <si>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</si>
  <si>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</si>
  <si>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</si>
  <si>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</si>
  <si>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</si>
  <si>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</si>
  <si>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</si>
  <si>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</si>
  <si>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</si>
  <si>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</si>
  <si>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</si>
  <si>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</si>
  <si>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</si>
  <si>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</si>
  <si>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</si>
  <si>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</si>
  <si>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</si>
  <si>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</si>
  <si>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</si>
  <si>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</si>
  <si>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</si>
  <si>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</si>
  <si>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</si>
  <si>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</si>
  <si>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</si>
  <si>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</si>
  <si>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</si>
  <si>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</si>
  <si>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</si>
  <si>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</si>
  <si>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</si>
  <si>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</si>
  <si>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</si>
  <si>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</si>
  <si>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</si>
  <si>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</si>
  <si>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</si>
  <si>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</si>
  <si>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</si>
  <si>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</si>
  <si>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</si>
  <si>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</si>
  <si>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</si>
  <si>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</si>
  <si>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</si>
  <si>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</si>
  <si>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</si>
  <si>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</si>
  <si>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</si>
  <si>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</si>
  <si>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</si>
  <si>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</si>
  <si>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</si>
  <si>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</si>
  <si>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</si>
  <si>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</si>
  <si>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</si>
  <si>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</si>
  <si>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</si>
  <si>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</si>
  <si>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</si>
  <si>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</si>
  <si>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</si>
  <si>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</si>
  <si>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</si>
  <si>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</si>
  <si>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</si>
  <si>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</si>
  <si>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</si>
  <si>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</si>
  <si>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</si>
  <si>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</si>
  <si>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</si>
  <si>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</si>
  <si>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</si>
  <si>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</si>
  <si>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</si>
  <si>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</si>
  <si>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</si>
  <si>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</si>
  <si>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</si>
  <si>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</si>
  <si>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</si>
  <si>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</si>
  <si>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</si>
  <si>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</si>
  <si>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</si>
  <si>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</si>
  <si>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</si>
  <si>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</si>
  <si>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</si>
  <si>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</si>
  <si>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</si>
  <si>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</si>
  <si>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</si>
  <si>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</si>
  <si>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</si>
  <si>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</si>
  <si>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</si>
  <si>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</si>
  <si>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</si>
  <si>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</si>
  <si>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</si>
  <si>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</si>
  <si>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</si>
  <si>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</si>
  <si>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</si>
  <si>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</si>
  <si>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</si>
  <si>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</si>
  <si>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</si>
  <si>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</si>
  <si>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</si>
  <si>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</si>
  <si>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</si>
  <si>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</si>
  <si>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</si>
  <si>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</si>
  <si>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</si>
  <si>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</si>
  <si>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</si>
  <si>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</si>
  <si>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</si>
  <si>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</si>
  <si>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</si>
  <si>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</si>
  <si>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</si>
  <si>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</si>
  <si>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</si>
  <si>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</si>
  <si>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</si>
  <si>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</si>
  <si>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</si>
  <si>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</si>
  <si>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</si>
  <si>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</si>
  <si>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</si>
  <si>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</si>
  <si>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</si>
  <si>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</si>
  <si>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</si>
  <si>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</si>
  <si>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</si>
  <si>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</si>
  <si>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</si>
  <si>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</si>
  <si>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</si>
  <si>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</si>
  <si>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</si>
  <si>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</si>
  <si>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</si>
  <si>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</si>
  <si>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</si>
  <si>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</si>
  <si>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</si>
  <si>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</si>
  <si>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</si>
  <si>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</si>
  <si>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</si>
  <si>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</si>
  <si>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</si>
  <si>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</si>
  <si>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</si>
  <si>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</si>
  <si>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</si>
  <si>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</si>
  <si>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</si>
  <si>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</si>
  <si>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</si>
  <si>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</si>
  <si>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</si>
  <si>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</si>
  <si>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</si>
  <si>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</si>
  <si>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</si>
  <si>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</si>
  <si>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</si>
  <si>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</si>
  <si>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</si>
  <si>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</si>
  <si>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</si>
  <si>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</si>
  <si>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</si>
  <si>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</si>
  <si>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</si>
  <si>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</si>
  <si>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</si>
  <si>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</si>
  <si>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</si>
  <si>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</si>
  <si>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</si>
  <si>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</si>
  <si>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</si>
  <si>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</si>
  <si>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</si>
  <si>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</si>
  <si>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</si>
  <si>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</si>
  <si>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</si>
  <si>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</si>
  <si>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</si>
  <si>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</si>
  <si>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</si>
  <si>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</si>
  <si>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</si>
  <si>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</si>
  <si>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</si>
  <si>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</si>
  <si>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</si>
  <si>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</si>
  <si>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</si>
  <si>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</si>
  <si>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</si>
  <si>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</si>
  <si>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</si>
  <si>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</si>
  <si>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</si>
  <si>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</si>
  <si>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</si>
  <si>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</si>
  <si>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</si>
  <si>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</si>
  <si>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</si>
  <si>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</si>
  <si>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</si>
  <si>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</si>
  <si>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</si>
  <si>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</si>
  <si>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</si>
  <si>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</si>
  <si>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</si>
  <si>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</si>
  <si>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</si>
  <si>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</si>
  <si>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</si>
  <si>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</si>
  <si>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</si>
  <si>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</si>
  <si>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</si>
  <si>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</si>
  <si>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</si>
  <si>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</si>
  <si>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</si>
  <si>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</si>
  <si>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</si>
  <si>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</si>
  <si>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</si>
  <si>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</si>
  <si>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</si>
  <si>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</si>
  <si>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</si>
  <si>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</si>
  <si>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</si>
  <si>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</si>
  <si>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</si>
  <si>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</si>
  <si>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</si>
  <si>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</si>
  <si>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</si>
  <si>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</si>
  <si>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</si>
  <si>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</si>
  <si>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</si>
  <si>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</si>
  <si>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</si>
  <si>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</si>
  <si>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</si>
  <si>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</si>
  <si>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</si>
  <si>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</si>
  <si>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</si>
  <si>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</si>
  <si>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</si>
  <si>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</si>
  <si>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</si>
  <si>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</si>
  <si>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</si>
  <si>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</si>
  <si>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</si>
  <si>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</si>
  <si>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</si>
  <si>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</si>
  <si>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</si>
  <si>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</si>
  <si>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</si>
  <si>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</si>
  <si>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</si>
  <si>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</si>
  <si>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</si>
  <si>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</si>
  <si>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</si>
  <si>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</si>
  <si>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</si>
  <si>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</si>
  <si>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</si>
  <si>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</si>
  <si>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</si>
  <si>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</si>
  <si>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</si>
  <si>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</si>
  <si>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</si>
  <si>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</si>
  <si>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</si>
  <si>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</si>
  <si>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</si>
  <si>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</si>
  <si>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</si>
  <si>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</si>
  <si>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</si>
  <si>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</si>
  <si>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</si>
  <si>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</si>
  <si>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</si>
  <si>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</si>
  <si>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</si>
  <si>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</si>
  <si>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</si>
  <si>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</si>
  <si>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</si>
  <si>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</si>
  <si>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</si>
  <si>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</si>
  <si>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</si>
  <si>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</si>
  <si>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</si>
  <si>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</si>
  <si>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</si>
  <si>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</si>
  <si>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</si>
  <si>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</si>
  <si>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</si>
  <si>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</si>
  <si>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</si>
  <si>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</si>
  <si>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</si>
  <si>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</si>
  <si>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</si>
  <si>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</si>
  <si>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</si>
  <si>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</si>
  <si>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</si>
  <si>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</si>
  <si>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</si>
  <si>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</si>
  <si>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</si>
  <si>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</si>
  <si>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</si>
  <si>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</si>
  <si>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</si>
  <si>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</si>
  <si>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</si>
  <si>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</si>
  <si>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</si>
  <si>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</si>
  <si>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</si>
  <si>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</si>
  <si>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</si>
  <si>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</si>
  <si>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</si>
  <si>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</si>
  <si>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</si>
  <si>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</si>
  <si>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</si>
  <si>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</si>
  <si>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</si>
  <si>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</si>
  <si>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</si>
  <si>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</si>
  <si>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</si>
  <si>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</si>
  <si>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</si>
  <si>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</si>
  <si>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</si>
  <si>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</si>
  <si>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</si>
  <si>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</si>
  <si>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</si>
  <si>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</si>
  <si>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</si>
  <si>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</si>
  <si>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</si>
  <si>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</si>
  <si>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</si>
  <si>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</si>
  <si>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</si>
  <si>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</si>
  <si>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</si>
  <si>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</si>
  <si>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</si>
  <si>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</si>
  <si>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</si>
  <si>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</si>
  <si>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</si>
  <si>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</si>
  <si>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</si>
  <si>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</si>
  <si>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</si>
  <si>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</si>
  <si>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</si>
  <si>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</si>
  <si>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</si>
  <si>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</si>
  <si>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</si>
  <si>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</si>
  <si>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</si>
  <si>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</si>
  <si>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</si>
  <si>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</si>
  <si>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</si>
  <si>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</si>
  <si>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</si>
  <si>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</si>
  <si>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</si>
  <si>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</si>
  <si>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</si>
  <si>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</si>
  <si>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</si>
  <si>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</si>
  <si>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</si>
  <si>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</si>
  <si>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</si>
  <si>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</si>
  <si>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</si>
  <si>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</si>
  <si>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</si>
  <si>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</si>
  <si>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</si>
  <si>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</si>
  <si>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</si>
  <si>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</si>
  <si>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</si>
  <si>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</si>
  <si>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</si>
  <si>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</si>
  <si>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</si>
  <si>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</si>
  <si>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</si>
  <si>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</si>
  <si>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</si>
  <si>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</si>
  <si>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</si>
  <si>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</si>
  <si>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</si>
  <si>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</si>
  <si>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</si>
  <si>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</si>
  <si>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</si>
  <si>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</si>
  <si>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</si>
  <si>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</si>
  <si>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</si>
  <si>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</si>
  <si>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</si>
  <si>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</si>
  <si>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</si>
  <si>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</si>
  <si>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</si>
  <si>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</si>
  <si>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</si>
  <si>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</si>
  <si>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</si>
  <si>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</si>
  <si>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</si>
  <si>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</si>
  <si>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</si>
  <si>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</si>
  <si>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</si>
  <si>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</si>
  <si>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</si>
  <si>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</si>
  <si>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</si>
  <si>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</si>
  <si>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</si>
  <si>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</si>
  <si>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</si>
  <si>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</si>
  <si>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</si>
  <si>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</si>
  <si>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</si>
  <si>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</si>
  <si>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</si>
  <si>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</si>
  <si>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</si>
  <si>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</si>
  <si>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</si>
  <si>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</si>
  <si>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</si>
  <si>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</si>
  <si>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</si>
  <si>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</si>
  <si>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</si>
  <si>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</si>
  <si>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</si>
  <si>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</si>
  <si>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</si>
  <si>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</si>
  <si>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</si>
  <si>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</si>
  <si>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</si>
  <si>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</si>
  <si>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</si>
  <si>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</si>
  <si>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</si>
  <si>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</si>
  <si>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</si>
  <si>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</si>
  <si>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</si>
  <si>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</si>
  <si>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</si>
  <si>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</si>
  <si>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</si>
  <si>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</si>
  <si>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</si>
  <si>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</si>
  <si>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</si>
  <si>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</si>
  <si>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</si>
  <si>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</si>
  <si>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</si>
  <si>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</si>
  <si>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</si>
  <si>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</si>
  <si>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</si>
  <si>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</si>
  <si>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</si>
  <si>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</si>
  <si>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</si>
  <si>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</si>
  <si>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</si>
  <si>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</si>
  <si>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</si>
  <si>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</si>
  <si>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</si>
  <si>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</si>
  <si>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</si>
  <si>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</si>
  <si>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</si>
  <si>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</si>
  <si>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</si>
  <si>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</si>
  <si>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</si>
  <si>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</si>
  <si>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</si>
  <si>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</si>
  <si>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</si>
  <si>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</si>
  <si>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</si>
  <si>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</si>
  <si>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</si>
  <si>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</si>
  <si>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</si>
  <si>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</si>
  <si>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</si>
  <si>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</si>
  <si>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</si>
  <si>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</si>
  <si>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</si>
  <si>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</si>
  <si>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</si>
  <si>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</si>
  <si>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</si>
  <si>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</si>
  <si>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</si>
  <si>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</si>
  <si>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</si>
  <si>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</si>
  <si>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</si>
  <si>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</si>
  <si>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</si>
  <si>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</si>
  <si>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</si>
  <si>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</si>
  <si>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</si>
  <si>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</si>
  <si>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</si>
  <si>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</si>
  <si>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</si>
  <si>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</si>
  <si>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</si>
  <si>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</si>
  <si>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</si>
  <si>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</si>
  <si>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</si>
  <si>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</si>
  <si>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</si>
  <si>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</si>
  <si>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</si>
  <si>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</si>
  <si>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</si>
  <si>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</si>
  <si>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</si>
  <si>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</si>
  <si>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</si>
  <si>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</si>
  <si>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</si>
  <si>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</si>
  <si>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</si>
  <si>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</si>
  <si>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</si>
  <si>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</si>
  <si>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</si>
  <si>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</si>
  <si>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</si>
  <si>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</si>
  <si>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</si>
  <si>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</si>
  <si>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</si>
  <si>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</si>
  <si>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</si>
  <si>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</si>
  <si>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</si>
  <si>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</si>
  <si>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</si>
  <si>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</si>
  <si>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</si>
  <si>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</si>
  <si>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</si>
  <si>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</si>
  <si>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</si>
  <si>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</si>
  <si>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</si>
  <si>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</si>
  <si>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</si>
  <si>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</si>
  <si>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</si>
  <si>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</si>
  <si>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</si>
  <si>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</si>
  <si>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</si>
  <si>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</si>
  <si>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</si>
  <si>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</si>
  <si>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</si>
  <si>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</si>
  <si>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</si>
  <si>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</si>
  <si>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</si>
  <si>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</si>
  <si>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</si>
  <si>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</si>
  <si>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</si>
  <si>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</si>
  <si>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</si>
  <si>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</si>
  <si>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</si>
  <si>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</si>
  <si>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</si>
  <si>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</si>
  <si>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</si>
  <si>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</si>
  <si>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</si>
  <si>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</si>
  <si>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</si>
  <si>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</si>
  <si>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</si>
  <si>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市场价格</t>
  </si>
  <si>
    <t>企业</t>
  </si>
  <si>
    <t>划拨</t>
  </si>
  <si>
    <t>是</t>
  </si>
  <si>
    <t>地上</t>
  </si>
  <si>
    <t>否</t>
  </si>
  <si>
    <t>住宅</t>
    <phoneticPr fontId="7" type="noConversion"/>
  </si>
  <si>
    <t>《国有土地使用证》[京朝阳国用（1999划）字第00055号]</t>
    <phoneticPr fontId="224" type="noConversion"/>
  </si>
  <si>
    <t>土地使用者</t>
    <phoneticPr fontId="224" type="noConversion"/>
  </si>
  <si>
    <t>崇文区城市建设开发有限公司</t>
    <phoneticPr fontId="224" type="noConversion"/>
  </si>
  <si>
    <t>坐落</t>
    <phoneticPr fontId="224" type="noConversion"/>
  </si>
  <si>
    <t>朝阳区华威四区</t>
    <phoneticPr fontId="224" type="noConversion"/>
  </si>
  <si>
    <t>用途</t>
    <phoneticPr fontId="224" type="noConversion"/>
  </si>
  <si>
    <t>住宅</t>
    <phoneticPr fontId="224" type="noConversion"/>
  </si>
  <si>
    <t>使用权类型</t>
    <phoneticPr fontId="224" type="noConversion"/>
  </si>
  <si>
    <t>划拨</t>
    <phoneticPr fontId="224" type="noConversion"/>
  </si>
  <si>
    <t>使用权面积</t>
    <phoneticPr fontId="224" type="noConversion"/>
  </si>
  <si>
    <r>
      <t>《建设用地规划许可证》[</t>
    </r>
    <r>
      <rPr>
        <sz val="11"/>
        <color theme="1"/>
        <rFont val="宋体"/>
        <family val="3"/>
        <charset val="134"/>
        <scheme val="minor"/>
      </rPr>
      <t>编号：98-规地字-0001]</t>
    </r>
    <phoneticPr fontId="224" type="noConversion"/>
  </si>
  <si>
    <t>用地单位</t>
    <phoneticPr fontId="224" type="noConversion"/>
  </si>
  <si>
    <t>崇文城建开发公司</t>
    <phoneticPr fontId="224" type="noConversion"/>
  </si>
  <si>
    <t>用地项目名称</t>
    <phoneticPr fontId="224" type="noConversion"/>
  </si>
  <si>
    <t>居住小区</t>
    <phoneticPr fontId="224" type="noConversion"/>
  </si>
  <si>
    <t>用地位置</t>
    <phoneticPr fontId="224" type="noConversion"/>
  </si>
  <si>
    <t>朝阳区华威</t>
    <phoneticPr fontId="224" type="noConversion"/>
  </si>
  <si>
    <t>建设用地面积</t>
    <phoneticPr fontId="224" type="noConversion"/>
  </si>
  <si>
    <t>城市道路用地</t>
    <phoneticPr fontId="224" type="noConversion"/>
  </si>
  <si>
    <t>城镇住宅用地</t>
  </si>
  <si>
    <t>估价对象容积率</t>
  </si>
  <si>
    <t>有</t>
  </si>
  <si>
    <t>500-1000米</t>
  </si>
  <si>
    <t>与级别开发程度不一致</t>
  </si>
  <si>
    <t>较好</t>
  </si>
  <si>
    <t>一般</t>
  </si>
  <si>
    <t>好</t>
  </si>
  <si>
    <t>自定义容积率</t>
  </si>
  <si>
    <t>序号1</t>
  </si>
  <si>
    <t>年份</t>
  </si>
  <si>
    <t>期次</t>
  </si>
  <si>
    <t>序号2</t>
  </si>
  <si>
    <t>区县</t>
  </si>
  <si>
    <t>出让方式</t>
  </si>
  <si>
    <t>项目名称</t>
  </si>
  <si>
    <t>开发主体</t>
  </si>
  <si>
    <t>项目类型</t>
  </si>
  <si>
    <t>主要规划用途</t>
  </si>
  <si>
    <t>土地面积（公顷）</t>
  </si>
  <si>
    <t>建筑规模  （万平方米）</t>
  </si>
  <si>
    <t>土地开发成本   
（万元）</t>
  </si>
  <si>
    <t>土地开发成本构成情况</t>
  </si>
  <si>
    <t>备注</t>
  </si>
  <si>
    <t>总用地面积（公顷）</t>
  </si>
  <si>
    <t>建设用地面积（公顷）</t>
  </si>
  <si>
    <t>朝阳区</t>
  </si>
  <si>
    <t>公开出让</t>
  </si>
  <si>
    <t>朝阳区小红门乡剩余土地一级开发项目11号地</t>
  </si>
  <si>
    <t>北京市朝阳区规划和自然资源综合事务中心</t>
  </si>
  <si>
    <t>一级开发</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</si>
  <si>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</si>
  <si>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</si>
  <si>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本次提请研究地块已取得征地批复及征地结案，拆迁工作全部完成。</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</si>
  <si>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</si>
  <si>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</si>
  <si>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</si>
  <si>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</si>
  <si>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本次审核地块已取得征地批复、征地结案，完成全部腾退拆迁工作。</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</si>
  <si>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</si>
  <si>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</si>
  <si>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</si>
  <si>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本次审核地块已取得征地批复及征地结案，拆迁工作全部完成。</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</si>
  <si>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</si>
  <si>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</si>
  <si>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</si>
  <si>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</si>
  <si>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</si>
  <si>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</si>
  <si>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</si>
  <si>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</si>
  <si>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朝阳区王四营乡土地一级开发项目一期1304-L04地块</t>
  </si>
  <si>
    <t xml:space="preserve">北京市土地整理储备中心朝阳分中心 </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</si>
  <si>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</si>
  <si>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</si>
  <si>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</si>
  <si>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</si>
  <si>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</si>
  <si>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</si>
  <si>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</si>
  <si>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</si>
  <si>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</si>
  <si>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</si>
  <si>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</si>
  <si>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本次审核地块已取得征地批复，拆迁工作基本完成。</t>
  </si>
  <si>
    <t xml:space="preserve">朝阳区豆各庄乡剩余土地储备项目1306-638等地块（DE、A及H地块） </t>
  </si>
  <si>
    <t>北京市土地整理储备中心朝阳分中心</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</si>
  <si>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</si>
  <si>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</si>
  <si>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</si>
  <si>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</si>
  <si>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朝阳区王四营乡土地一级开发项目一期1304-L01～L06地块</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</si>
  <si>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</si>
  <si>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</si>
  <si>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9"/>
        <rFont val="宋体"/>
        <family val="3"/>
        <charset val="134"/>
      </rPr>
      <t>1490076</t>
    </r>
    <r>
      <rPr>
        <sz val="9"/>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</si>
  <si>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征地补偿费</t>
    <phoneticPr fontId="224" type="noConversion"/>
  </si>
  <si>
    <t>拆迁补偿费</t>
    <phoneticPr fontId="224" type="noConversion"/>
  </si>
  <si>
    <t>地面单价</t>
    <phoneticPr fontId="224" type="noConversion"/>
  </si>
  <si>
    <t>合计</t>
    <phoneticPr fontId="224" type="noConversion"/>
  </si>
  <si>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phoneticPr fontId="224" type="noConversion"/>
  </si>
  <si>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phoneticPr fontId="224" type="noConversion"/>
  </si>
  <si>
    <t>市政条件</t>
    <phoneticPr fontId="224" type="noConversion"/>
  </si>
  <si>
    <t>地块名称</t>
  </si>
  <si>
    <t>城市</t>
  </si>
  <si>
    <t>地块编号</t>
  </si>
  <si>
    <t>用地性质</t>
  </si>
  <si>
    <t>建设用地面积(㎡)</t>
  </si>
  <si>
    <t>规划建筑面积(㎡)</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</si>
  <si>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</si>
  <si>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</si>
  <si>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</si>
  <si>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</si>
  <si>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</si>
  <si>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</si>
  <si>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</si>
  <si>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</si>
  <si>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</si>
  <si>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</si>
  <si>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</si>
  <si>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</si>
  <si>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</si>
  <si>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</si>
  <si>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楼面</t>
  </si>
  <si>
    <t>地面</t>
  </si>
  <si>
    <t>北京市怀柔区雁栖镇、怀北镇02-01、02-02、02-03、02-04、02-05、02-06、02-07、02-08、02-09地块F1住宅混合公建用地(怀柔雁栖小镇B区土地一级开发项目)</t>
    <phoneticPr fontId="224" type="noConversion"/>
  </si>
  <si>
    <t>F1住宅混合公建用地</t>
    <phoneticPr fontId="224" type="noConversion"/>
  </si>
  <si>
    <t>北京市密云区水源路南侧C-2地块土地一级开发项目MY00-0105-6038、6040地块R2二类居住用地</t>
    <phoneticPr fontId="224" type="noConversion"/>
  </si>
  <si>
    <t>R2二类居住用地</t>
    <phoneticPr fontId="224" type="noConversion"/>
  </si>
  <si>
    <t>北京市平谷区兴谷新消费综合体项目PG00-0106-0104地块R2二类居住用地</t>
    <phoneticPr fontId="224" type="noConversion"/>
  </si>
  <si>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</si>
  <si>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</si>
  <si>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</si>
  <si>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</si>
  <si>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</si>
  <si>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</si>
  <si>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</si>
  <si>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</si>
  <si>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</si>
  <si>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北京市密云区十里堡镇王各庄棚户区改造项目MY00-0500-0001地块R2二类居住用地</t>
    <phoneticPr fontId="224" type="noConversion"/>
  </si>
  <si>
    <t>北京市密云区水源路南侧B地块土地一级开发项目MY00-0104-6054地块R2二类居住用地</t>
    <phoneticPr fontId="224" type="noConversion"/>
  </si>
  <si>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</si>
  <si>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</si>
  <si>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</si>
  <si>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</si>
  <si>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</si>
  <si>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</si>
  <si>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</si>
  <si>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F3其他类多功能用地</t>
    <phoneticPr fontId="224" type="noConversion"/>
  </si>
  <si>
    <t xml:space="preserve"> 北京怀柔科学城城开四部开发建设有限公司  </t>
  </si>
  <si>
    <t>北京市怀柔区雁栖镇01-01、01-02、01-03、01-04地块F2公建混合住宅用地、F3其他类多功能用地（怀柔雁栖小镇土地一级开发项目）</t>
    <phoneticPr fontId="224" type="noConversion"/>
  </si>
  <si>
    <t>F2公建混合住宅用地、F3其他类多功能用地</t>
    <phoneticPr fontId="224" type="noConversion"/>
  </si>
  <si>
    <t>北京市密云区水源路南侧MY00-0104-6016等地块R2二类居住用地</t>
    <phoneticPr fontId="224" type="noConversion"/>
  </si>
  <si>
    <t>北京市密云区檀营乡6005地块 R2二类居住用地</t>
    <phoneticPr fontId="224" type="noConversion"/>
  </si>
  <si>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</si>
  <si>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</si>
  <si>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</si>
  <si>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</si>
  <si>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</si>
  <si>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</si>
  <si>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</si>
  <si>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</si>
  <si>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</si>
  <si>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</si>
  <si>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</si>
  <si>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</si>
  <si>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</si>
  <si>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</si>
  <si>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</si>
  <si>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</si>
  <si>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</si>
  <si>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</si>
  <si>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</si>
  <si>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</si>
  <si>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</si>
  <si>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</si>
  <si>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</si>
  <si>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</si>
  <si>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</si>
  <si>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增值收益扣减</t>
  </si>
  <si>
    <t>成本逼近法</t>
  </si>
  <si>
    <t>结果</t>
  </si>
  <si>
    <t>权重</t>
  </si>
  <si>
    <t>差额</t>
  </si>
  <si>
    <t>出让地价</t>
  </si>
  <si>
    <t>增值收益率</t>
  </si>
  <si>
    <t>划拨地价</t>
  </si>
  <si>
    <t>其他商服</t>
  </si>
  <si>
    <t>剩余法</t>
  </si>
  <si>
    <t>基准地价</t>
  </si>
  <si>
    <t>补地价</t>
  </si>
  <si>
    <t>已部分缴纳</t>
  </si>
  <si>
    <t>分析周期：2024年06月 至 2025年06月；区县：朝阳区；环线：二至三环间；物业类型：普通住宅,别墅,保障房,回迁房,共有产权房</t>
  </si>
  <si>
    <t>板块</t>
  </si>
  <si>
    <t>成交套数</t>
  </si>
  <si>
    <t>成交面积(㎡)</t>
  </si>
  <si>
    <t>成交价格</t>
  </si>
  <si>
    <t>成交金额(万元)</t>
  </si>
  <si>
    <t>当页汇总</t>
  </si>
  <si>
    <t/>
  </si>
  <si>
    <t>碧朗家园</t>
  </si>
  <si>
    <t>亮马桥</t>
  </si>
  <si>
    <t>富力十号</t>
  </si>
  <si>
    <t>双井西</t>
  </si>
  <si>
    <t>http://bjjs.zjw.beijing.gov.cn/eportal/ui?pageId=320794&amp;projectID=24871108&amp;systemID=3&amp;srcId=1</t>
    <phoneticPr fontId="224" type="noConversion"/>
  </si>
  <si>
    <t>http://bjjs.zjw.beijing.gov.cn/eportal/ui?pageId=320794&amp;projectID=24548096&amp;systemID=3&amp;srcId=1</t>
    <phoneticPr fontId="224" type="noConversion"/>
  </si>
  <si>
    <t>朝阳区孛罗营中路26号院</t>
    <phoneticPr fontId="224" type="noConversion"/>
  </si>
  <si>
    <t>彤廷雅苑</t>
    <phoneticPr fontId="224" type="noConversion"/>
  </si>
  <si>
    <t>朝阳区南皋中路6号院</t>
    <phoneticPr fontId="224" type="noConversion"/>
  </si>
  <si>
    <t>柳岸晓风嘉园</t>
    <phoneticPr fontId="224" type="noConversion"/>
  </si>
  <si>
    <t>http://bjjs.zjw.beijing.gov.cn/eportal/ui?pageId=320794&amp;projectID=24792819&amp;systemID=3&amp;srcId=1</t>
    <phoneticPr fontId="224" type="noConversion"/>
  </si>
  <si>
    <t>朝阳区孛兴街9号院</t>
    <phoneticPr fontId="224" type="noConversion"/>
  </si>
  <si>
    <t>煦景雅苑</t>
    <phoneticPr fontId="224" type="noConversion"/>
  </si>
  <si>
    <t>省份</t>
  </si>
  <si>
    <t>公告编号</t>
  </si>
  <si>
    <t>土地位置</t>
  </si>
  <si>
    <t>推出保障房面积(㎡)</t>
  </si>
  <si>
    <t>成交保障房面积(㎡)</t>
  </si>
  <si>
    <t>推出自住房面积(㎡)</t>
  </si>
  <si>
    <t>成交自住房面积(㎡)</t>
  </si>
  <si>
    <t>建设用地分类</t>
  </si>
  <si>
    <t>出让年限(年)</t>
  </si>
  <si>
    <t>容积率上限</t>
  </si>
  <si>
    <t>商业比例(%)</t>
  </si>
  <si>
    <t>建筑密度</t>
  </si>
  <si>
    <t>限制高度</t>
  </si>
  <si>
    <t>推出特殊政策</t>
  </si>
  <si>
    <t>成交特殊政策</t>
  </si>
  <si>
    <t>特殊用地类型</t>
  </si>
  <si>
    <t>保障房类型</t>
  </si>
  <si>
    <t>公告时间</t>
  </si>
  <si>
    <t>起始时间</t>
  </si>
  <si>
    <t>截止时间</t>
  </si>
  <si>
    <t>成交时间</t>
  </si>
  <si>
    <t>交易状态</t>
  </si>
  <si>
    <t>开工进度</t>
  </si>
  <si>
    <t>拿地企业</t>
  </si>
  <si>
    <t>企业性质</t>
  </si>
  <si>
    <t>是否城投企业</t>
  </si>
  <si>
    <t>推出土地单价(元/㎡)</t>
  </si>
  <si>
    <t>成交土地单价(元/㎡)</t>
  </si>
  <si>
    <t>推出每亩价(万元/亩)</t>
  </si>
  <si>
    <t>成交每亩价(万元/亩)</t>
  </si>
  <si>
    <t>推出楼面价(元/㎡)</t>
  </si>
  <si>
    <t>推出楼面价(除保障房)(元/㎡)</t>
  </si>
  <si>
    <t>成交楼面价(除保障房)(元/㎡)</t>
  </si>
  <si>
    <t>限地价(万元)</t>
  </si>
  <si>
    <t>触达限地价</t>
  </si>
  <si>
    <t>政府指导价(元/㎡)</t>
  </si>
  <si>
    <t>限售价(元/㎡)</t>
  </si>
  <si>
    <t>楼面价上限(元/㎡)</t>
  </si>
  <si>
    <t>溢价率上限(%)</t>
  </si>
  <si>
    <t>房地价差(元/㎡)</t>
  </si>
  <si>
    <t>关联拟出让土地</t>
  </si>
  <si>
    <t>拟出让土地名称</t>
  </si>
  <si>
    <t>最早约定支付日期</t>
  </si>
  <si>
    <t>最早约定支付金额(万元)</t>
  </si>
  <si>
    <t>北京市朝阳区十八里店朝阳港一期土地一级开发项目1303-678地块R2二类居住用地</t>
  </si>
  <si>
    <t>北京</t>
  </si>
  <si>
    <t>十八里店</t>
  </si>
  <si>
    <t>京土储挂(朝)[2023]045号</t>
  </si>
  <si>
    <t>朝阳区十八里店乡</t>
  </si>
  <si>
    <t>住宅用地</t>
  </si>
  <si>
    <t>城镇住宅-普通商品住房用地</t>
  </si>
  <si>
    <t>R居住用地</t>
  </si>
  <si>
    <t>70年</t>
  </si>
  <si>
    <t>2.80</t>
  </si>
  <si>
    <t>挂牌</t>
  </si>
  <si>
    <t>限地价,摇号/摇珠/抽签</t>
  </si>
  <si>
    <t>限地价,限房价,摇号/摇珠/抽签</t>
  </si>
  <si>
    <t>2023-08-24</t>
  </si>
  <si>
    <t>2023-09-13</t>
  </si>
  <si>
    <t>2023-09-27</t>
  </si>
  <si>
    <t>已成交</t>
  </si>
  <si>
    <t>已开工</t>
  </si>
  <si>
    <t>成通京置业(上海)有限公司</t>
  </si>
  <si>
    <t>南方首度置业（北京）有限公司</t>
  </si>
  <si>
    <t>民营企业</t>
  </si>
  <si>
    <t>2023-09-27 15:00</t>
  </si>
  <si>
    <t>触达</t>
  </si>
  <si>
    <t>21280元/㎡(四级住宅用途2021-01-01)</t>
  </si>
  <si>
    <t>保利·朝央和煦</t>
  </si>
  <si>
    <t>2023-11-05</t>
  </si>
  <si>
    <t>北京市朝阳区东坝北西区域棚户区改造项目CY00-1102街区1102-B006地块R2二类居住用地</t>
  </si>
  <si>
    <t>将台</t>
  </si>
  <si>
    <t>京土储挂(朝)[2023]023号</t>
  </si>
  <si>
    <t>朝阳区东坝北西区域</t>
  </si>
  <si>
    <t>住宅70年</t>
  </si>
  <si>
    <t>2.40</t>
  </si>
  <si>
    <t>限地价,摇号/摇珠/抽签,限房价</t>
  </si>
  <si>
    <t>2023-05-16</t>
  </si>
  <si>
    <t>2023-06-06</t>
  </si>
  <si>
    <t>2023-06-20</t>
  </si>
  <si>
    <t>保利(北京)房地产开发有限公司 、北京京投置地房地产有限公司</t>
  </si>
  <si>
    <t>保利发展,京投发展</t>
  </si>
  <si>
    <t>中央国有企业，地方国有企业</t>
  </si>
  <si>
    <t>未触达</t>
  </si>
  <si>
    <t>17300元/㎡(五级住宅用途2021-01-01)</t>
  </si>
  <si>
    <t>保利·天汇</t>
  </si>
  <si>
    <t>北京市朝阳区东坝北西区域棚户区改造项目CY00-1102街区1102-B006地块二类居住用地</t>
  </si>
  <si>
    <t>2023-07-24</t>
  </si>
  <si>
    <t>北京市朝阳区孙河乡前苇沟组团棚户区改造土地开发项目002、003地块R2二类居住用地</t>
  </si>
  <si>
    <t>金盏北部</t>
  </si>
  <si>
    <t>京土储挂(朝) [2023]005号</t>
  </si>
  <si>
    <t>京土储挂(朝)[2023]005号</t>
  </si>
  <si>
    <t>朝阳区孙河乡</t>
  </si>
  <si>
    <t>居住70年商业40年办公50年</t>
  </si>
  <si>
    <t>1.50</t>
  </si>
  <si>
    <t>限地价,限房价</t>
  </si>
  <si>
    <t>2023-03-27</t>
  </si>
  <si>
    <t>2023-04-17</t>
  </si>
  <si>
    <t>2023-04-28</t>
  </si>
  <si>
    <t>中建智地置业有限公司</t>
  </si>
  <si>
    <t>中建一局</t>
  </si>
  <si>
    <t>中央国有企业</t>
  </si>
  <si>
    <t>2023-05-01 15:00</t>
  </si>
  <si>
    <t>10740元/㎡(七级住宅用途2021-01-01)</t>
  </si>
  <si>
    <t>中建璞园 ，中建璞园PARK</t>
  </si>
  <si>
    <t>2023-06-03</t>
  </si>
  <si>
    <t>北京市朝阳区小红门乡剩余土地一级开发项目11号地(XHM-15)R2二类居住用地</t>
  </si>
  <si>
    <t>分钟寺</t>
  </si>
  <si>
    <t>京土储挂(朝)[2022]073号</t>
  </si>
  <si>
    <t>朝阳区小红门乡</t>
  </si>
  <si>
    <t>2.50</t>
  </si>
  <si>
    <t>2022年第5批次</t>
  </si>
  <si>
    <t>2022-12-30</t>
  </si>
  <si>
    <t>2023-01-19</t>
  </si>
  <si>
    <t>2023-02-07</t>
  </si>
  <si>
    <t>2023-02-08</t>
  </si>
  <si>
    <t>山东中建房地产开发有限公司</t>
  </si>
  <si>
    <t>中建八局</t>
  </si>
  <si>
    <t>2023-02-06 17:00</t>
  </si>
  <si>
    <t>朝阳·中建星光里</t>
  </si>
  <si>
    <t>2023-03-10</t>
  </si>
  <si>
    <t>北京市朝阳区平房乡棚户区改造和环境整治项目(一期)PF-45地块R2二类居住用地</t>
  </si>
  <si>
    <t>平房</t>
  </si>
  <si>
    <t>京土储挂(朝)〔2022〕065号</t>
  </si>
  <si>
    <t>朝阳区平房乡</t>
  </si>
  <si>
    <t>2022年第4批次</t>
  </si>
  <si>
    <t>限地价,现房销售,摇号/摇珠/抽签</t>
  </si>
  <si>
    <t>2022-10-25</t>
  </si>
  <si>
    <t>2022-11-14</t>
  </si>
  <si>
    <t>2022-11-28</t>
  </si>
  <si>
    <t>2022-11-29</t>
  </si>
  <si>
    <t>北京三元嘉业房地产开发有限公司</t>
  </si>
  <si>
    <t>三元嘉业</t>
  </si>
  <si>
    <t>地方国有企业</t>
  </si>
  <si>
    <t>城投企业</t>
  </si>
  <si>
    <t>2022-11-28 15:00</t>
  </si>
  <si>
    <t>玺悦朝阳</t>
  </si>
  <si>
    <t>北京市朝阳区平房乡棚户区改造和环境整治项目(一期)PF-44地块R2二类居住用地</t>
  </si>
  <si>
    <t>京土储挂(朝)〔2022〕064号</t>
  </si>
  <si>
    <t>保利(北京)房地产开发有限公司 、北京建工地产有限责任公司</t>
  </si>
  <si>
    <t>保利发展,北京建工</t>
  </si>
  <si>
    <t>--，城投企业</t>
  </si>
  <si>
    <t>和光煦境</t>
  </si>
  <si>
    <t>2022-12-29</t>
  </si>
  <si>
    <t>北京市朝阳区崔各庄乡奶西村棚户区改造土地开发项目29-321地块R2二类居住用地</t>
  </si>
  <si>
    <t>望京北</t>
  </si>
  <si>
    <t>京土储挂(朝)〔2022〕066号</t>
  </si>
  <si>
    <t>朝阳区崔各庄乡</t>
  </si>
  <si>
    <t>2.22</t>
  </si>
  <si>
    <t>北京金隅地产开发集团有限公司</t>
  </si>
  <si>
    <t>金隅集团</t>
  </si>
  <si>
    <t>13850元/㎡(六级住宅用途2021-01-01)</t>
  </si>
  <si>
    <t>金隅望京云尚</t>
  </si>
  <si>
    <t>北京市朝阳区崔各庄乡奶西村棚户区改造土地开发项目29-318地块R2二类居住用地</t>
  </si>
  <si>
    <t>京土储挂(朝)[2022]024号</t>
  </si>
  <si>
    <t>居住70年</t>
  </si>
  <si>
    <t>≤1.4</t>
  </si>
  <si>
    <t>2022年第2批次</t>
  </si>
  <si>
    <t>限地价,现房销售,报高标准商品住宅建设方案,限房价</t>
  </si>
  <si>
    <t>限房价,限地价</t>
  </si>
  <si>
    <t>2022-04-19</t>
  </si>
  <si>
    <t>2022-05-10</t>
  </si>
  <si>
    <t>2022-05-31</t>
  </si>
  <si>
    <t>2022-05-31 15:00</t>
  </si>
  <si>
    <t>中建宸园</t>
  </si>
  <si>
    <t>2022-07-09</t>
  </si>
  <si>
    <t>北京市朝阳区十八里店朝阳港一期土地一级开发项目1303-685、694地块R2二类居住用地</t>
  </si>
  <si>
    <t>京土储挂(朝)[2022]022号</t>
  </si>
  <si>
    <t>≤2.5</t>
  </si>
  <si>
    <t>限地价,现房销售,摇号/摇珠/抽签,限房价</t>
  </si>
  <si>
    <t>北京金隅地产开发集团有限公司 、北京住总房地产开发有限责任公司</t>
  </si>
  <si>
    <t>北京住总集团,金隅集团</t>
  </si>
  <si>
    <t>地方国有企业，地方国有企业</t>
  </si>
  <si>
    <t>城投企业，--</t>
  </si>
  <si>
    <t>朝阳港·云筑 ，云筑二期</t>
  </si>
  <si>
    <t>2022-07-08</t>
  </si>
  <si>
    <t>北京市朝阳区太阳宫新区D区0210-029地块R2二类居住用地</t>
  </si>
  <si>
    <t>太阳宫</t>
  </si>
  <si>
    <t>京土储挂(朝)[2022]021号</t>
  </si>
  <si>
    <t>朝阳区太阳宫乡</t>
  </si>
  <si>
    <t>≤2.8</t>
  </si>
  <si>
    <t>限房价,限地价,摇号/摇珠/抽签</t>
  </si>
  <si>
    <t>2022-06-01</t>
  </si>
  <si>
    <t>中建玖合发展集团有限公司</t>
  </si>
  <si>
    <t>中建二局</t>
  </si>
  <si>
    <t>25590元/㎡(三级住宅用途2021-01-01)</t>
  </si>
  <si>
    <t>中建玖合府</t>
  </si>
  <si>
    <t>北京市朝阳区王四营乡土地一级开发项目一期1304-L04地块R2二类居住用地</t>
  </si>
  <si>
    <t>垡头</t>
  </si>
  <si>
    <t>京土储挂(朝)[2022]002号</t>
  </si>
  <si>
    <t>朝阳区王四营乡</t>
  </si>
  <si>
    <t>2022年第1批次</t>
  </si>
  <si>
    <t>限房价,限地价,报高标准商品住宅建设方案,现房销售</t>
  </si>
  <si>
    <t>2022-01-07</t>
  </si>
  <si>
    <t>2022-01-28</t>
  </si>
  <si>
    <t>2022-02-16</t>
  </si>
  <si>
    <t>2022-02-17</t>
  </si>
  <si>
    <t>北京金地兴业房地产有限公司 、保利(北京)房地产开发有限公司</t>
  </si>
  <si>
    <t>保利发展,金地集团</t>
  </si>
  <si>
    <t>中央国有企业，混合所有制</t>
  </si>
  <si>
    <t>2022-02-15 15:00</t>
  </si>
  <si>
    <t>保利·锦上二期</t>
  </si>
  <si>
    <t>2022-03-23</t>
  </si>
  <si>
    <t>北京市朝阳区东坝车辆基地综合利用项目1101-A002-1,1101-A003-1地块R2二类居住用地(配建“保障性租赁住房”)</t>
  </si>
  <si>
    <t>京土整储挂(朝)[2021]090号</t>
  </si>
  <si>
    <t>朝阳区东坝西区</t>
  </si>
  <si>
    <t>居住70年,商业40年,办公52年</t>
  </si>
  <si>
    <t>2.30</t>
  </si>
  <si>
    <t>2021年第3批次</t>
  </si>
  <si>
    <t>限房价,限地价,报高标准商品住宅建设方案</t>
  </si>
  <si>
    <t>含保障房用地,含租赁住房用地</t>
  </si>
  <si>
    <t>保障性租赁住房</t>
  </si>
  <si>
    <t>2021-11-19</t>
  </si>
  <si>
    <t>2021-12-10</t>
  </si>
  <si>
    <t>2021-12-24</t>
  </si>
  <si>
    <t>北京市基础设施投资有限公司 、北京京投置地房地产有限公司</t>
  </si>
  <si>
    <t>京投发展,北京市基础设施投资</t>
  </si>
  <si>
    <t>2021-12-23 15:00</t>
  </si>
  <si>
    <t>京投发展·北熙区</t>
  </si>
  <si>
    <t>2021-12-28</t>
  </si>
  <si>
    <t>北京市朝阳区东坝车辆基地综合利用项目1101-A002-3地块R2二类居住用地</t>
  </si>
  <si>
    <t>京土整储挂(朝)[2021]092号</t>
  </si>
  <si>
    <t>居住70年,商业40年,办公53年</t>
  </si>
  <si>
    <t>1.80</t>
  </si>
  <si>
    <t>未开工</t>
  </si>
  <si>
    <t>北京市基础设施投资,京投发展</t>
  </si>
  <si>
    <t>北京市朝阳区管庄乡棚户区改造和环境整治项目(一期)GZGJC-03地块R2二类居住用地</t>
  </si>
  <si>
    <t>双桥</t>
  </si>
  <si>
    <t>京土整储挂(朝)[2021]095号</t>
  </si>
  <si>
    <t>朝阳区管庄乡</t>
  </si>
  <si>
    <t>居住70年,商业40年,办公59年</t>
  </si>
  <si>
    <t>2.20</t>
  </si>
  <si>
    <t>京能置业股份有限公司 、北京龙湖中佰置业有限公司</t>
  </si>
  <si>
    <t>龙湖集团,京能置业</t>
  </si>
  <si>
    <t>民营企业，地方国有企业</t>
  </si>
  <si>
    <t>京能龙湖熙上</t>
  </si>
  <si>
    <t>北京市朝阳区东坝车辆基地综合利用项目1101-A002-2、1101-A003-2地块R2二类居住用地</t>
  </si>
  <si>
    <t>京土整储挂(朝)[2021]091号</t>
  </si>
  <si>
    <t>居住70年、商业40年、办公58年</t>
  </si>
  <si>
    <t>1.47</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</si>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</sst>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1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1"/>
      <color theme="1"/>
      <name val="宋体"/>
      <family val="1"/>
      <scheme val="minor"/>
    </font>
    <font>
      <b/>
      <sz val="9"/>
      <name val="宋体"/>
      <family val="3"/>
      <charset val="134"/>
      <scheme val="minor"/>
    </font>
    <font>
      <b/>
      <sz val="9"/>
      <name val="宋体"/>
      <family val="3"/>
      <charset val="134"/>
    </font>
    <font>
      <sz val="9"/>
      <color rgb="FF000000"/>
      <name val="宋体"/>
      <family val="3"/>
      <charset val="134"/>
    </font>
    <font>
      <sz val="9"/>
      <color theme="1"/>
      <name val="宋体"/>
      <family val="3"/>
      <charset val="134"/>
    </font>
    <font>
      <sz val="12"/>
      <name val="宋体"/>
      <family val="3"/>
      <charset val="134"/>
      <scheme val="minor"/>
    </font>
    <font>
      <b/>
      <sz val="11"/>
      <color indexed="8"/>
      <name val="Microsoft YaHei"/>
      <charset val="134"/>
    </font>
    <font>
      <b/>
      <sz val="11"/>
      <color rgb="FF000000"/>
      <name val="Microsoft YaHei"/>
      <charset val="134"/>
    </font>
    <font>
      <sz val="10"/>
      <color rgb="FF000000"/>
      <name val="Microsoft YaHei"/>
      <charset val="134"/>
    </font>
    <font>
      <sz val="10"/>
      <color indexed="8"/>
      <name val="Microsoft YaHei"/>
      <charset val="134"/>
    </font>
    <font>
      <sz val="12"/>
      <color indexed="8"/>
      <name val="Times New Roman"/>
      <family val="1"/>
    </font>
    <font>
      <sz val="12"/>
      <color theme="1"/>
      <name val="宋体"/>
      <family val="2"/>
      <scheme val="minor"/>
    </font>
    <font>
      <u/>
      <sz val="11"/>
      <color theme="10"/>
      <name val="宋体"/>
      <family val="3"/>
      <charset val="134"/>
      <scheme val="minor"/>
    </font>
    <font>
      <sz val="10"/>
      <color rgb="FFFF0000"/>
      <name val="Microsoft YaHei"/>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2" fillId="0" borderId="0">
      <alignment vertical="center"/>
    </xf>
    <xf numFmtId="0" fontId="313" fillId="0" borderId="0"/>
    <xf numFmtId="0" fontId="314" fillId="0" borderId="0" applyNumberFormat="0" applyFill="0" applyBorder="0" applyAlignment="0" applyProtection="0">
      <alignment vertical="center"/>
    </xf>
  </cellStyleXfs>
  <cellXfs count="40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7" fontId="0" fillId="0" borderId="0" xfId="0" applyNumberFormat="1">
      <alignment vertical="center"/>
    </xf>
    <xf numFmtId="0" fontId="280" fillId="0" borderId="0" xfId="0" applyFont="1" applyAlignment="1"/>
    <xf numFmtId="0" fontId="280" fillId="0" borderId="0" xfId="0" applyFont="1" applyFill="1" applyBorder="1" applyAlignment="1"/>
    <xf numFmtId="0" fontId="280" fillId="0" borderId="0" xfId="0" applyFont="1" applyFill="1" applyAlignment="1"/>
    <xf numFmtId="0" fontId="304" fillId="0" borderId="19" xfId="2" applyFont="1" applyFill="1" applyBorder="1" applyAlignment="1">
      <alignment horizontal="center" vertical="center" wrapText="1"/>
    </xf>
    <xf numFmtId="0" fontId="205" fillId="0" borderId="2" xfId="0" applyFont="1" applyFill="1" applyBorder="1" applyAlignment="1">
      <alignment vertical="center"/>
    </xf>
    <xf numFmtId="0" fontId="280" fillId="0" borderId="2" xfId="0" applyFont="1" applyFill="1" applyBorder="1" applyAlignment="1">
      <alignment vertical="center"/>
    </xf>
    <xf numFmtId="0" fontId="205" fillId="0" borderId="2" xfId="0" applyFont="1" applyFill="1" applyBorder="1" applyAlignment="1">
      <alignment horizontal="center" vertical="center"/>
    </xf>
    <xf numFmtId="0" fontId="305" fillId="8" borderId="2" xfId="3" applyFont="1" applyFill="1" applyBorder="1" applyAlignment="1">
      <alignment horizontal="justify" vertical="center" wrapText="1"/>
    </xf>
    <xf numFmtId="0" fontId="305" fillId="8" borderId="21" xfId="3" applyFont="1" applyFill="1" applyBorder="1" applyAlignment="1">
      <alignment horizontal="justify" vertical="center" wrapText="1"/>
    </xf>
    <xf numFmtId="0" fontId="305" fillId="8" borderId="21" xfId="3" applyFont="1" applyFill="1" applyBorder="1" applyAlignment="1">
      <alignment horizontal="center" vertical="center" wrapText="1"/>
    </xf>
    <xf numFmtId="185" fontId="205" fillId="0" borderId="2" xfId="0" applyNumberFormat="1" applyFont="1" applyFill="1" applyBorder="1" applyAlignment="1">
      <alignment horizontal="center" vertical="center" wrapText="1"/>
    </xf>
    <xf numFmtId="177" fontId="205" fillId="0" borderId="2" xfId="0" applyNumberFormat="1" applyFont="1" applyFill="1" applyBorder="1" applyAlignment="1">
      <alignment horizontal="center" vertical="center" wrapText="1"/>
    </xf>
    <xf numFmtId="177" fontId="205"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center" vertical="center" wrapText="1"/>
    </xf>
    <xf numFmtId="0" fontId="305" fillId="8" borderId="2" xfId="3" applyFont="1" applyFill="1" applyBorder="1" applyAlignment="1">
      <alignment horizontal="justify" vertical="center"/>
    </xf>
    <xf numFmtId="0" fontId="205" fillId="0" borderId="2" xfId="3" applyFont="1" applyFill="1" applyBorder="1" applyAlignment="1">
      <alignment horizontal="center" vertical="center" wrapText="1"/>
    </xf>
    <xf numFmtId="0" fontId="305" fillId="0" borderId="2" xfId="3" applyFont="1" applyFill="1" applyBorder="1" applyAlignment="1">
      <alignment horizontal="center" vertical="center" wrapText="1"/>
    </xf>
    <xf numFmtId="0" fontId="205" fillId="0" borderId="0" xfId="0" applyFont="1" applyFill="1" applyAlignment="1">
      <alignment vertical="center"/>
    </xf>
    <xf numFmtId="0" fontId="280" fillId="0" borderId="0" xfId="0" applyFont="1" applyFill="1" applyAlignment="1">
      <alignment vertical="center"/>
    </xf>
    <xf numFmtId="0" fontId="280" fillId="0" borderId="2" xfId="0" applyFont="1" applyBorder="1" applyAlignment="1">
      <alignment horizontal="center" vertical="center"/>
    </xf>
    <xf numFmtId="196" fontId="205" fillId="0" borderId="2" xfId="3" applyNumberFormat="1" applyFont="1" applyFill="1" applyBorder="1" applyAlignment="1">
      <alignment horizontal="center" vertical="center" wrapText="1"/>
    </xf>
    <xf numFmtId="0" fontId="3" fillId="0" borderId="2" xfId="3" applyFont="1" applyFill="1" applyBorder="1" applyAlignment="1">
      <alignment horizontal="center" vertical="center" wrapText="1"/>
    </xf>
    <xf numFmtId="180" fontId="305" fillId="0" borderId="2" xfId="0" applyNumberFormat="1" applyFont="1" applyFill="1" applyBorder="1" applyAlignment="1">
      <alignment horizontal="center" vertical="center" readingOrder="1"/>
    </xf>
    <xf numFmtId="180" fontId="305" fillId="0" borderId="2" xfId="0" applyNumberFormat="1" applyFont="1" applyFill="1" applyBorder="1" applyAlignment="1">
      <alignment horizontal="left" vertical="center" wrapText="1" readingOrder="1"/>
    </xf>
    <xf numFmtId="180" fontId="306" fillId="0" borderId="2" xfId="0" applyNumberFormat="1" applyFont="1" applyFill="1" applyBorder="1" applyAlignment="1">
      <alignment horizontal="center" vertical="center" wrapText="1" readingOrder="1"/>
    </xf>
    <xf numFmtId="0" fontId="305" fillId="0" borderId="2" xfId="3" applyFont="1" applyFill="1" applyBorder="1" applyAlignment="1">
      <alignment horizontal="left" vertical="center" wrapText="1"/>
    </xf>
    <xf numFmtId="0" fontId="205" fillId="0" borderId="0" xfId="0" applyFont="1" applyFill="1" applyAlignment="1">
      <alignment horizontal="center" vertical="center"/>
    </xf>
    <xf numFmtId="185" fontId="280" fillId="0" borderId="2" xfId="0" applyNumberFormat="1" applyFont="1" applyFill="1" applyBorder="1" applyAlignment="1">
      <alignment horizontal="center" vertical="center"/>
    </xf>
    <xf numFmtId="0" fontId="205" fillId="0" borderId="2" xfId="3" applyFont="1" applyFill="1" applyBorder="1" applyAlignment="1">
      <alignment vertical="center" wrapText="1"/>
    </xf>
    <xf numFmtId="177" fontId="3"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center" vertical="center" wrapText="1" readingOrder="1"/>
    </xf>
    <xf numFmtId="177" fontId="3" fillId="0" borderId="2" xfId="0" applyNumberFormat="1" applyFont="1" applyFill="1" applyBorder="1" applyAlignment="1">
      <alignment horizontal="center" vertical="center" wrapText="1"/>
    </xf>
    <xf numFmtId="0" fontId="305" fillId="0" borderId="2" xfId="3" applyFont="1" applyFill="1" applyBorder="1" applyAlignment="1">
      <alignment horizontal="justify" vertical="center" wrapText="1"/>
    </xf>
    <xf numFmtId="185" fontId="205" fillId="0" borderId="2" xfId="3" applyNumberFormat="1" applyFont="1" applyFill="1" applyBorder="1" applyAlignment="1">
      <alignment horizontal="center" vertical="center" wrapText="1"/>
    </xf>
    <xf numFmtId="0" fontId="205" fillId="24" borderId="2" xfId="3" applyFont="1" applyFill="1" applyBorder="1" applyAlignment="1">
      <alignment horizontal="center" vertical="center" wrapText="1"/>
    </xf>
    <xf numFmtId="0" fontId="205" fillId="0" borderId="2" xfId="3" applyFont="1" applyFill="1" applyBorder="1" applyAlignment="1">
      <alignment horizontal="left" vertical="center" wrapText="1"/>
    </xf>
    <xf numFmtId="0" fontId="305" fillId="0" borderId="2" xfId="3" applyFont="1" applyFill="1" applyBorder="1" applyAlignment="1">
      <alignment horizontal="justify" vertical="center"/>
    </xf>
    <xf numFmtId="0" fontId="280" fillId="0" borderId="0" xfId="0" applyFont="1">
      <alignment vertical="center"/>
    </xf>
    <xf numFmtId="0" fontId="280" fillId="0" borderId="0" xfId="0" applyFont="1" applyFill="1" applyBorder="1" applyAlignment="1">
      <alignment vertical="center"/>
    </xf>
    <xf numFmtId="0" fontId="280" fillId="0" borderId="0" xfId="0" applyFont="1" applyAlignment="1">
      <alignment vertical="center"/>
    </xf>
    <xf numFmtId="0" fontId="3" fillId="8" borderId="2" xfId="3" applyFont="1" applyFill="1" applyBorder="1" applyAlignment="1">
      <alignment horizontal="justify" vertical="center" wrapText="1"/>
    </xf>
    <xf numFmtId="0" fontId="280" fillId="6" borderId="0" xfId="0" applyFont="1" applyFill="1" applyBorder="1" applyAlignment="1">
      <alignment vertical="center"/>
    </xf>
    <xf numFmtId="0" fontId="176" fillId="0" borderId="2" xfId="0" applyFont="1" applyBorder="1" applyAlignment="1">
      <alignment horizontal="center" vertical="center" wrapText="1"/>
    </xf>
    <xf numFmtId="0" fontId="176" fillId="0" borderId="0" xfId="0" applyFont="1" applyAlignment="1">
      <alignment horizontal="center" vertical="center" wrapText="1"/>
    </xf>
    <xf numFmtId="14" fontId="176" fillId="0" borderId="2" xfId="0" applyNumberFormat="1" applyFont="1" applyBorder="1" applyAlignment="1">
      <alignment horizontal="center" vertical="center" wrapText="1"/>
    </xf>
    <xf numFmtId="10" fontId="176" fillId="0" borderId="2" xfId="0" applyNumberFormat="1" applyFont="1" applyBorder="1" applyAlignment="1">
      <alignment horizontal="center" vertical="center" wrapText="1"/>
    </xf>
    <xf numFmtId="0" fontId="176" fillId="6" borderId="2" xfId="0" applyFont="1" applyFill="1" applyBorder="1" applyAlignment="1">
      <alignment horizontal="center" vertical="center" wrapText="1"/>
    </xf>
    <xf numFmtId="14" fontId="176" fillId="6" borderId="2" xfId="0" applyNumberFormat="1" applyFont="1" applyFill="1" applyBorder="1" applyAlignment="1">
      <alignment horizontal="center" vertical="center" wrapText="1"/>
    </xf>
    <xf numFmtId="10" fontId="176" fillId="6" borderId="2" xfId="0" applyNumberFormat="1" applyFont="1" applyFill="1" applyBorder="1" applyAlignment="1">
      <alignment horizontal="center" vertical="center" wrapText="1"/>
    </xf>
    <xf numFmtId="0" fontId="176" fillId="9" borderId="2" xfId="0" applyFont="1" applyFill="1" applyBorder="1" applyAlignment="1">
      <alignment horizontal="center" vertical="center" wrapText="1"/>
    </xf>
    <xf numFmtId="14" fontId="176" fillId="9" borderId="2" xfId="0" applyNumberFormat="1" applyFont="1" applyFill="1" applyBorder="1" applyAlignment="1">
      <alignment horizontal="center" vertical="center" wrapText="1"/>
    </xf>
    <xf numFmtId="10" fontId="176" fillId="9" borderId="2" xfId="0" applyNumberFormat="1" applyFont="1" applyFill="1" applyBorder="1" applyAlignment="1">
      <alignment horizontal="center" vertical="center" wrapText="1"/>
    </xf>
    <xf numFmtId="0" fontId="307" fillId="9" borderId="2" xfId="0" applyFont="1" applyFill="1" applyBorder="1" applyAlignment="1">
      <alignment horizontal="center" vertical="center" wrapText="1"/>
    </xf>
    <xf numFmtId="14" fontId="307" fillId="9" borderId="2" xfId="0" applyNumberFormat="1" applyFont="1" applyFill="1" applyBorder="1" applyAlignment="1">
      <alignment horizontal="center" vertical="center" wrapText="1"/>
    </xf>
    <xf numFmtId="0" fontId="268" fillId="0" borderId="2" xfId="0" applyFont="1" applyBorder="1" applyAlignment="1">
      <alignment horizontal="center" vertical="center" wrapText="1"/>
    </xf>
    <xf numFmtId="14" fontId="268" fillId="0" borderId="2" xfId="0" applyNumberFormat="1" applyFont="1" applyBorder="1" applyAlignment="1">
      <alignment horizontal="center" vertical="center" wrapText="1"/>
    </xf>
    <xf numFmtId="14" fontId="176" fillId="0" borderId="0" xfId="0" applyNumberFormat="1" applyFont="1" applyAlignment="1">
      <alignment horizontal="center" vertical="center" wrapText="1"/>
    </xf>
    <xf numFmtId="10" fontId="176" fillId="0" borderId="0" xfId="0" applyNumberFormat="1" applyFont="1" applyAlignment="1">
      <alignment horizontal="center" vertical="center" wrapText="1"/>
    </xf>
    <xf numFmtId="0" fontId="176" fillId="0" borderId="10" xfId="0" applyFont="1" applyBorder="1" applyAlignment="1">
      <alignment horizontal="center" vertical="center" wrapText="1"/>
    </xf>
    <xf numFmtId="14" fontId="176" fillId="0" borderId="10" xfId="0" applyNumberFormat="1" applyFont="1" applyBorder="1" applyAlignment="1">
      <alignment horizontal="center" vertical="center" wrapText="1"/>
    </xf>
    <xf numFmtId="0" fontId="176" fillId="0" borderId="5" xfId="0" applyFont="1" applyBorder="1" applyAlignment="1">
      <alignment horizontal="center" vertical="center" wrapText="1"/>
    </xf>
    <xf numFmtId="0" fontId="176" fillId="0" borderId="21" xfId="0" applyFont="1" applyBorder="1" applyAlignment="1">
      <alignment horizontal="center" vertical="center" wrapText="1"/>
    </xf>
    <xf numFmtId="0" fontId="308" fillId="0" borderId="2" xfId="17" applyNumberFormat="1" applyFont="1" applyBorder="1" applyAlignment="1">
      <alignment horizontal="center" vertical="center" wrapText="1"/>
    </xf>
    <xf numFmtId="0" fontId="309" fillId="0" borderId="2" xfId="17" applyNumberFormat="1" applyFont="1" applyBorder="1" applyAlignment="1">
      <alignment horizontal="center" vertical="center" wrapText="1"/>
    </xf>
    <xf numFmtId="0" fontId="310" fillId="0" borderId="2" xfId="17" applyNumberFormat="1" applyFont="1" applyBorder="1" applyAlignment="1">
      <alignment horizontal="center" vertical="center" wrapText="1"/>
    </xf>
    <xf numFmtId="178" fontId="311" fillId="0" borderId="2" xfId="17" applyNumberFormat="1" applyFont="1" applyBorder="1" applyAlignment="1">
      <alignment horizontal="center" vertical="center" wrapText="1"/>
    </xf>
    <xf numFmtId="0" fontId="311" fillId="0" borderId="2" xfId="17" applyNumberFormat="1" applyFont="1" applyBorder="1" applyAlignment="1">
      <alignment horizontal="center" vertical="center" wrapText="1"/>
    </xf>
    <xf numFmtId="0" fontId="311" fillId="8" borderId="2" xfId="17" applyNumberFormat="1" applyFont="1" applyFill="1" applyBorder="1" applyAlignment="1">
      <alignment horizontal="center" vertical="center" wrapText="1"/>
    </xf>
    <xf numFmtId="0" fontId="311" fillId="0" borderId="0" xfId="17" applyNumberFormat="1" applyFont="1" applyAlignment="1">
      <alignment horizontal="center" vertical="center" wrapText="1"/>
    </xf>
    <xf numFmtId="0" fontId="311" fillId="0" borderId="0" xfId="16" applyNumberFormat="1" applyFont="1" applyFill="1" applyBorder="1" applyAlignment="1" applyProtection="1">
      <alignment horizontal="center" vertical="center" wrapText="1"/>
    </xf>
    <xf numFmtId="0" fontId="312" fillId="0" borderId="0" xfId="17" applyNumberFormat="1" applyFont="1">
      <alignment vertical="center"/>
    </xf>
    <xf numFmtId="0" fontId="313" fillId="0" borderId="0" xfId="19" applyNumberFormat="1"/>
    <xf numFmtId="0" fontId="314" fillId="0" borderId="0" xfId="20">
      <alignment vertical="center"/>
    </xf>
    <xf numFmtId="0" fontId="0" fillId="0" borderId="0" xfId="0" applyNumberFormat="1" applyAlignment="1"/>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303" fillId="0" borderId="2" xfId="0" applyFont="1" applyFill="1" applyBorder="1" applyAlignment="1">
      <alignment horizontal="center" vertical="center" wrapText="1"/>
    </xf>
    <xf numFmtId="0" fontId="303" fillId="0" borderId="2" xfId="0" applyFont="1" applyFill="1" applyBorder="1" applyAlignment="1">
      <alignment horizontal="center" vertical="center"/>
    </xf>
    <xf numFmtId="0" fontId="303" fillId="0" borderId="10" xfId="0" applyFont="1" applyFill="1" applyBorder="1" applyAlignment="1">
      <alignment horizontal="center" vertical="center" wrapText="1"/>
    </xf>
    <xf numFmtId="0" fontId="303" fillId="0" borderId="21" xfId="0" applyFont="1" applyFill="1" applyBorder="1" applyAlignment="1">
      <alignment horizontal="center" vertical="center" wrapText="1"/>
    </xf>
    <xf numFmtId="0" fontId="304" fillId="0" borderId="19" xfId="2" applyFont="1" applyFill="1" applyBorder="1" applyAlignment="1">
      <alignment horizontal="center" vertical="center" wrapText="1"/>
    </xf>
    <xf numFmtId="185" fontId="303" fillId="0" borderId="2" xfId="0" applyNumberFormat="1" applyFont="1" applyFill="1" applyBorder="1" applyAlignment="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0" fontId="311" fillId="0" borderId="5" xfId="17" applyNumberFormat="1" applyFont="1" applyBorder="1" applyAlignment="1">
      <alignment horizontal="center" vertical="center" wrapText="1"/>
    </xf>
    <xf numFmtId="0" fontId="311" fillId="0" borderId="8" xfId="17" applyNumberFormat="1" applyFont="1" applyBorder="1" applyAlignment="1">
      <alignment horizontal="center" vertical="center" wrapText="1"/>
    </xf>
    <xf numFmtId="0" fontId="311" fillId="0" borderId="9" xfId="17" applyNumberFormat="1" applyFont="1" applyBorder="1" applyAlignment="1">
      <alignment horizontal="center" vertical="center" wrapText="1"/>
    </xf>
    <xf numFmtId="0" fontId="312" fillId="0" borderId="5" xfId="17" applyNumberFormat="1" applyFont="1" applyBorder="1" applyAlignment="1">
      <alignment horizontal="center" vertical="center"/>
    </xf>
    <xf numFmtId="0" fontId="312" fillId="0" borderId="8" xfId="17" applyNumberFormat="1" applyFont="1" applyBorder="1" applyAlignment="1">
      <alignment horizontal="center" vertical="center"/>
    </xf>
    <xf numFmtId="0" fontId="312" fillId="0" borderId="9" xfId="17" applyNumberFormat="1" applyFont="1" applyBorder="1" applyAlignment="1">
      <alignment horizontal="center" vertical="center"/>
    </xf>
    <xf numFmtId="0" fontId="176" fillId="0" borderId="2" xfId="0" applyFont="1" applyBorder="1" applyAlignment="1">
      <alignment horizontal="center" vertical="center" wrapText="1"/>
    </xf>
    <xf numFmtId="0" fontId="313" fillId="0" borderId="0" xfId="19" applyNumberFormat="1"/>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15" fillId="0" borderId="2" xfId="17" applyNumberFormat="1" applyFont="1" applyBorder="1" applyAlignment="1">
      <alignment horizontal="center" vertical="center" wrapText="1"/>
    </xf>
    <xf numFmtId="0" fontId="315" fillId="0" borderId="0" xfId="17" applyNumberFormat="1" applyFont="1" applyAlignment="1">
      <alignment horizontal="center" vertical="center" wrapText="1"/>
    </xf>
    <xf numFmtId="0" fontId="315" fillId="0" borderId="0" xfId="16" applyNumberFormat="1" applyFont="1" applyFill="1" applyBorder="1" applyAlignment="1" applyProtection="1">
      <alignment horizontal="center" vertical="center" wrapText="1"/>
    </xf>
    <xf numFmtId="0" fontId="143" fillId="0" borderId="0" xfId="0" applyFont="1">
      <alignment vertical="center"/>
    </xf>
  </cellXfs>
  <cellStyles count="21">
    <cellStyle name="百分比" xfId="16" builtinId="5"/>
    <cellStyle name="百分比 2" xfId="11"/>
    <cellStyle name="常规" xfId="0" builtinId="0"/>
    <cellStyle name="常规 10" xfId="19"/>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0" builtinId="8"/>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370785</xdr:colOff>
      <xdr:row>24</xdr:row>
      <xdr:rowOff>71990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64365" cy="4461110"/>
        </a:xfrm>
        <a:prstGeom prst="rect">
          <a:avLst/>
        </a:prstGeom>
      </xdr:spPr>
    </xdr:pic>
    <xdr:clientData/>
  </xdr:twoCellAnchor>
  <xdr:twoCellAnchor editAs="oneCell">
    <xdr:from>
      <xdr:col>0</xdr:col>
      <xdr:colOff>0</xdr:colOff>
      <xdr:row>24</xdr:row>
      <xdr:rowOff>22860</xdr:rowOff>
    </xdr:from>
    <xdr:to>
      <xdr:col>15</xdr:col>
      <xdr:colOff>589686</xdr:colOff>
      <xdr:row>49</xdr:row>
      <xdr:rowOff>86456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11980"/>
          <a:ext cx="10183266" cy="4635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114300</xdr:rowOff>
    </xdr:from>
    <xdr:to>
      <xdr:col>5</xdr:col>
      <xdr:colOff>979828</xdr:colOff>
      <xdr:row>40</xdr:row>
      <xdr:rowOff>134408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50820"/>
          <a:ext cx="6306208" cy="4774988"/>
        </a:xfrm>
        <a:prstGeom prst="rect">
          <a:avLst/>
        </a:prstGeom>
      </xdr:spPr>
    </xdr:pic>
    <xdr:clientData/>
  </xdr:twoCellAnchor>
  <xdr:twoCellAnchor editAs="oneCell">
    <xdr:from>
      <xdr:col>0</xdr:col>
      <xdr:colOff>0</xdr:colOff>
      <xdr:row>45</xdr:row>
      <xdr:rowOff>7620</xdr:rowOff>
    </xdr:from>
    <xdr:to>
      <xdr:col>5</xdr:col>
      <xdr:colOff>1216895</xdr:colOff>
      <xdr:row>80</xdr:row>
      <xdr:rowOff>156983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13420"/>
          <a:ext cx="6543275" cy="6550163"/>
        </a:xfrm>
        <a:prstGeom prst="rect">
          <a:avLst/>
        </a:prstGeom>
      </xdr:spPr>
    </xdr:pic>
    <xdr:clientData/>
  </xdr:twoCellAnchor>
  <xdr:twoCellAnchor editAs="oneCell">
    <xdr:from>
      <xdr:col>0</xdr:col>
      <xdr:colOff>0</xdr:colOff>
      <xdr:row>84</xdr:row>
      <xdr:rowOff>9033</xdr:rowOff>
    </xdr:from>
    <xdr:to>
      <xdr:col>5</xdr:col>
      <xdr:colOff>792480</xdr:colOff>
      <xdr:row>105</xdr:row>
      <xdr:rowOff>45049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5447153"/>
          <a:ext cx="6118860" cy="3868876"/>
        </a:xfrm>
        <a:prstGeom prst="rect">
          <a:avLst/>
        </a:prstGeom>
      </xdr:spPr>
    </xdr:pic>
    <xdr:clientData/>
  </xdr:twoCellAnchor>
  <xdr:twoCellAnchor editAs="oneCell">
    <xdr:from>
      <xdr:col>0</xdr:col>
      <xdr:colOff>0</xdr:colOff>
      <xdr:row>106</xdr:row>
      <xdr:rowOff>21487</xdr:rowOff>
    </xdr:from>
    <xdr:to>
      <xdr:col>12</xdr:col>
      <xdr:colOff>8642</xdr:colOff>
      <xdr:row>132</xdr:row>
      <xdr:rowOff>117193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9475347"/>
          <a:ext cx="14753342" cy="4850586"/>
        </a:xfrm>
        <a:prstGeom prst="rect">
          <a:avLst/>
        </a:prstGeom>
      </xdr:spPr>
    </xdr:pic>
    <xdr:clientData/>
  </xdr:twoCellAnchor>
  <xdr:twoCellAnchor editAs="oneCell">
    <xdr:from>
      <xdr:col>0</xdr:col>
      <xdr:colOff>0</xdr:colOff>
      <xdr:row>133</xdr:row>
      <xdr:rowOff>0</xdr:rowOff>
    </xdr:from>
    <xdr:to>
      <xdr:col>24</xdr:col>
      <xdr:colOff>340100</xdr:colOff>
      <xdr:row>140</xdr:row>
      <xdr:rowOff>24602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391620"/>
          <a:ext cx="22400000" cy="1304762"/>
        </a:xfrm>
        <a:prstGeom prst="rect">
          <a:avLst/>
        </a:prstGeom>
      </xdr:spPr>
    </xdr:pic>
    <xdr:clientData/>
  </xdr:twoCellAnchor>
  <xdr:twoCellAnchor editAs="oneCell">
    <xdr:from>
      <xdr:col>0</xdr:col>
      <xdr:colOff>0</xdr:colOff>
      <xdr:row>140</xdr:row>
      <xdr:rowOff>0</xdr:rowOff>
    </xdr:from>
    <xdr:to>
      <xdr:col>24</xdr:col>
      <xdr:colOff>216290</xdr:colOff>
      <xdr:row>145</xdr:row>
      <xdr:rowOff>152267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5671780"/>
          <a:ext cx="22276190" cy="1066667"/>
        </a:xfrm>
        <a:prstGeom prst="rect">
          <a:avLst/>
        </a:prstGeom>
      </xdr:spPr>
    </xdr:pic>
    <xdr:clientData/>
  </xdr:twoCellAnchor>
  <xdr:twoCellAnchor editAs="oneCell">
    <xdr:from>
      <xdr:col>0</xdr:col>
      <xdr:colOff>0</xdr:colOff>
      <xdr:row>148</xdr:row>
      <xdr:rowOff>0</xdr:rowOff>
    </xdr:from>
    <xdr:to>
      <xdr:col>24</xdr:col>
      <xdr:colOff>425814</xdr:colOff>
      <xdr:row>200</xdr:row>
      <xdr:rowOff>52145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7134820"/>
          <a:ext cx="22485714" cy="9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236220</xdr:colOff>
      <xdr:row>0</xdr:row>
      <xdr:rowOff>0</xdr:rowOff>
    </xdr:from>
    <xdr:to>
      <xdr:col>16</xdr:col>
      <xdr:colOff>538710</xdr:colOff>
      <xdr:row>29</xdr:row>
      <xdr:rowOff>82190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 y="0"/>
          <a:ext cx="10056090" cy="53857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hyperlink" Target="http://bjjs.zjw.beijing.gov.cn/eportal/ui?pageId=320794&amp;projectID=24792819&amp;systemID=3&amp;srcId=1" TargetMode="External"/><Relationship Id="rId2" Type="http://schemas.openxmlformats.org/officeDocument/2006/relationships/hyperlink" Target="http://bjjs.zjw.beijing.gov.cn/eportal/ui?pageId=320794&amp;projectID=24548096&amp;systemID=3&amp;srcId=1" TargetMode="External"/><Relationship Id="rId1" Type="http://schemas.openxmlformats.org/officeDocument/2006/relationships/hyperlink" Target="http://bjjs.zjw.beijing.gov.cn/eportal/ui?pageId=320794&amp;projectID=24871108&amp;systemID=3&amp;srcId=1"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12896.08平方米。根据《建设工程规划许可证》[]、《出让合同》[]，估价对象规划建筑面积为32240.2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2025年6月25日（评估专业人员勘察现场之日）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根据《国有土地使用证》[]，估价对象（分摊）出让国有建设用地使用权面积为12896.08平方米。根据《建设工程规划许可证》[]、《出让合同》[]，估价对象规划建筑面积为32240.2平方米。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2025年6月25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估价期日：2025年6月25日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12896.08</v>
      </c>
    </row>
    <row r="44" spans="1:2">
      <c r="A44" s="2357" t="s">
        <v>2022</v>
      </c>
      <c r="B44" s="2358" t="str">
        <f>'预评函-2'!O3</f>
        <v>规划建筑面积/㎡</v>
      </c>
    </row>
    <row r="45" spans="1:2">
      <c r="A45" s="2357" t="s">
        <v>2004</v>
      </c>
      <c r="B45" s="2358">
        <f>'预评函-2'!O5</f>
        <v>32240.2</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20" sqref="B20"/>
    </sheetView>
  </sheetViews>
  <sheetFormatPr defaultColWidth="15.21875" defaultRowHeight="14.4"/>
  <cols>
    <col min="1" max="8" width="15.21875" style="3286"/>
    <col min="9" max="18" width="9.6640625" style="3286" customWidth="1"/>
    <col min="19" max="16384" width="15.21875" style="3286"/>
  </cols>
  <sheetData>
    <row r="1" spans="1:18">
      <c r="A1" s="3283" t="s">
        <v>2673</v>
      </c>
      <c r="B1" s="3284"/>
      <c r="C1" s="3284"/>
      <c r="D1" s="3284"/>
      <c r="E1" s="3284"/>
      <c r="F1" s="3285"/>
      <c r="I1" s="3305" t="s">
        <v>3286</v>
      </c>
      <c r="J1" s="3672"/>
      <c r="K1" s="3672"/>
      <c r="L1" s="3672"/>
      <c r="M1" s="3672"/>
      <c r="N1" s="3673"/>
      <c r="O1" s="3673"/>
      <c r="P1" s="3673"/>
      <c r="Q1" s="3673"/>
      <c r="R1" s="3673"/>
    </row>
    <row r="2" spans="1:18">
      <c r="A2" s="3287"/>
      <c r="B2" s="3288"/>
      <c r="C2" s="3288"/>
      <c r="D2" s="3288"/>
      <c r="E2" s="3288"/>
      <c r="F2" s="3289"/>
      <c r="I2" s="3795" t="s">
        <v>3287</v>
      </c>
      <c r="J2" s="3795"/>
      <c r="K2" s="3795"/>
      <c r="L2" s="3795"/>
      <c r="M2" s="3795"/>
      <c r="N2" s="3795"/>
      <c r="O2" s="3795"/>
      <c r="P2" s="3795"/>
      <c r="Q2" s="3795"/>
      <c r="R2" s="3795"/>
    </row>
    <row r="3" spans="1:18">
      <c r="A3" s="3290" t="s">
        <v>2674</v>
      </c>
      <c r="B3" s="3291">
        <f>项目基本情况!D3</f>
        <v>45833</v>
      </c>
      <c r="C3" s="3292"/>
      <c r="D3" s="3292"/>
      <c r="E3" s="3292"/>
      <c r="F3" s="3289"/>
      <c r="I3" s="3674"/>
      <c r="J3" s="3674" t="s">
        <v>3288</v>
      </c>
      <c r="K3" s="3674" t="s">
        <v>3289</v>
      </c>
      <c r="L3" s="3674" t="s">
        <v>3290</v>
      </c>
      <c r="M3" s="3674" t="s">
        <v>3291</v>
      </c>
      <c r="N3" s="3667" t="s">
        <v>3292</v>
      </c>
      <c r="O3" s="3667" t="s">
        <v>3293</v>
      </c>
      <c r="P3" s="3667" t="s">
        <v>3294</v>
      </c>
      <c r="Q3" s="3667" t="s">
        <v>3295</v>
      </c>
      <c r="R3" s="3667" t="s">
        <v>3284</v>
      </c>
    </row>
    <row r="4" spans="1:18">
      <c r="A4" s="3290" t="s">
        <v>2675</v>
      </c>
      <c r="B4" s="3293" t="s">
        <v>2676</v>
      </c>
      <c r="C4" s="3293" t="s">
        <v>2677</v>
      </c>
      <c r="D4" s="3293" t="s">
        <v>2678</v>
      </c>
      <c r="E4" s="3293" t="s">
        <v>2679</v>
      </c>
      <c r="F4" s="3289"/>
      <c r="I4" s="3674" t="s">
        <v>3296</v>
      </c>
      <c r="J4" s="3674">
        <v>80</v>
      </c>
      <c r="K4" s="3674">
        <v>70</v>
      </c>
      <c r="L4" s="3674">
        <v>20</v>
      </c>
      <c r="M4" s="3674">
        <v>30</v>
      </c>
      <c r="N4" s="3293">
        <v>45</v>
      </c>
      <c r="O4" s="3293">
        <v>60</v>
      </c>
      <c r="P4" s="3293">
        <v>50</v>
      </c>
      <c r="Q4" s="3293">
        <v>20</v>
      </c>
      <c r="R4" s="3293">
        <v>375</v>
      </c>
    </row>
    <row r="5" spans="1:18">
      <c r="A5" s="3294"/>
      <c r="B5" s="3291"/>
      <c r="C5" s="3293">
        <f>ROUNDDOWN(MIN((B5-B3)/365,A5),2)</f>
        <v>-125.56</v>
      </c>
      <c r="D5" s="3295">
        <f>IF(ISERROR(ROUND(POWER(1+E5,A5-C5)*(POWER(1+E5,C5)-1)/(POWER(1+E5,A5)-1),3)),0,ROUND(POWER(1+E5,A5-C5)*(POWER(1+E5,C5)-1)/(POWER(1+E5,A5)-1),4))</f>
        <v>0</v>
      </c>
      <c r="E5" s="3296"/>
      <c r="F5" s="3289"/>
      <c r="I5" s="3674" t="s">
        <v>3297</v>
      </c>
      <c r="J5" s="3674">
        <v>70</v>
      </c>
      <c r="K5" s="3674">
        <v>60</v>
      </c>
      <c r="L5" s="3674">
        <v>15</v>
      </c>
      <c r="M5" s="3674">
        <v>25</v>
      </c>
      <c r="N5" s="3293">
        <v>40</v>
      </c>
      <c r="O5" s="3293">
        <v>50</v>
      </c>
      <c r="P5" s="3293">
        <v>40</v>
      </c>
      <c r="Q5" s="3293">
        <v>15</v>
      </c>
      <c r="R5" s="3293">
        <v>315</v>
      </c>
    </row>
    <row r="6" spans="1:18">
      <c r="A6" s="3294"/>
      <c r="B6" s="3291"/>
      <c r="C6" s="3293">
        <f>ROUNDDOWN(MIN((B6-B3)/365,A6),2)</f>
        <v>-125.56</v>
      </c>
      <c r="D6" s="3295">
        <f>IF(ISERROR(ROUND(POWER(1+E6,A6-C6)*(POWER(1+E6,C6)-1)/(POWER(1+E6,A6)-1),3)),0,ROUND(POWER(1+E6,A6-C6)*(POWER(1+E6,C6)-1)/(POWER(1+E6,A6)-1),4))</f>
        <v>0</v>
      </c>
      <c r="E6" s="3296"/>
      <c r="F6" s="3289"/>
      <c r="I6" s="3674" t="s">
        <v>3298</v>
      </c>
      <c r="J6" s="3674">
        <v>60</v>
      </c>
      <c r="K6" s="3674">
        <v>50</v>
      </c>
      <c r="L6" s="3674">
        <v>10</v>
      </c>
      <c r="M6" s="3674">
        <v>20</v>
      </c>
      <c r="N6" s="3293">
        <v>35</v>
      </c>
      <c r="O6" s="3293">
        <v>40</v>
      </c>
      <c r="P6" s="3293">
        <v>30</v>
      </c>
      <c r="Q6" s="3293">
        <v>10</v>
      </c>
      <c r="R6" s="3293">
        <v>255</v>
      </c>
    </row>
    <row r="7" spans="1:18">
      <c r="A7" s="3294"/>
      <c r="B7" s="3291"/>
      <c r="C7" s="3293">
        <f>ROUNDDOWN(MIN((B7-B3)/365,A7),2)</f>
        <v>-125.56</v>
      </c>
      <c r="D7" s="3295">
        <f>IF(ISERROR(ROUND(POWER(1+E7,A7-C7)*(POWER(1+E7,C7)-1)/(POWER(1+E7,A7)-1),3)),0,ROUND(POWER(1+E7,A7-C7)*(POWER(1+E7,C7)-1)/(POWER(1+E7,A7)-1),4))</f>
        <v>0</v>
      </c>
      <c r="E7" s="3296"/>
      <c r="F7" s="3289"/>
    </row>
    <row r="8" spans="1:18">
      <c r="A8" s="3287"/>
      <c r="B8" s="3288"/>
      <c r="C8" s="3288"/>
      <c r="D8" s="3288"/>
      <c r="E8" s="3288"/>
      <c r="F8" s="3289"/>
    </row>
    <row r="9" spans="1:18">
      <c r="A9" s="3290" t="s">
        <v>2680</v>
      </c>
      <c r="B9" s="3293"/>
      <c r="C9" s="3293"/>
      <c r="D9" s="3293"/>
      <c r="E9" s="3293"/>
      <c r="F9" s="3297"/>
    </row>
    <row r="10" spans="1:18">
      <c r="A10" s="3290" t="s">
        <v>2681</v>
      </c>
      <c r="B10" s="3293"/>
      <c r="C10" s="3293"/>
      <c r="D10" s="3293" t="s">
        <v>2679</v>
      </c>
      <c r="E10" s="3293"/>
      <c r="F10" s="3297" t="s">
        <v>2678</v>
      </c>
    </row>
    <row r="11" spans="1:18">
      <c r="A11" s="3290" t="s">
        <v>2682</v>
      </c>
      <c r="B11" s="3298"/>
      <c r="C11" s="3293" t="s">
        <v>2683</v>
      </c>
      <c r="D11" s="3299"/>
      <c r="E11" s="3293" t="s">
        <v>2684</v>
      </c>
      <c r="F11" s="3300">
        <f>ROUND(1-(1/(POWER(1+D11,B11))),4)</f>
        <v>0</v>
      </c>
    </row>
    <row r="12" spans="1:18">
      <c r="A12" s="3290" t="s">
        <v>2685</v>
      </c>
      <c r="B12" s="3298"/>
      <c r="C12" s="3293" t="s">
        <v>2686</v>
      </c>
      <c r="D12" s="3299"/>
      <c r="E12" s="3293" t="s">
        <v>2687</v>
      </c>
      <c r="F12" s="3300">
        <f>ROUND(1-(1/(POWER(1+D12,B12))),4)</f>
        <v>0</v>
      </c>
    </row>
    <row r="13" spans="1:18">
      <c r="A13" s="3290" t="s">
        <v>2688</v>
      </c>
      <c r="B13" s="3293"/>
      <c r="C13" s="3292"/>
      <c r="D13" s="3288"/>
      <c r="E13" s="3288"/>
      <c r="F13" s="3289"/>
    </row>
    <row r="14" spans="1:18">
      <c r="A14" s="3290" t="s">
        <v>2689</v>
      </c>
      <c r="B14" s="3298"/>
      <c r="C14" s="3292"/>
      <c r="D14" s="3288"/>
      <c r="E14" s="3288"/>
      <c r="F14" s="3289"/>
    </row>
    <row r="15" spans="1:18">
      <c r="A15" s="3290" t="s">
        <v>2690</v>
      </c>
      <c r="B15" s="3293" t="e">
        <f>ROUND(B14*F12/F11,2)</f>
        <v>#DIV/0!</v>
      </c>
      <c r="C15" s="3293" t="e">
        <f>ROUND(F12/F11,4)</f>
        <v>#DIV/0!</v>
      </c>
      <c r="D15" s="3288"/>
      <c r="E15" s="3288"/>
      <c r="F15" s="3289"/>
    </row>
    <row r="16" spans="1:18">
      <c r="A16" s="3290" t="s">
        <v>2691</v>
      </c>
      <c r="B16" s="3293"/>
      <c r="C16" s="3292"/>
      <c r="D16" s="3288"/>
      <c r="E16" s="3288"/>
      <c r="F16" s="3289"/>
    </row>
    <row r="17" spans="1:14">
      <c r="A17" s="3290" t="s">
        <v>2690</v>
      </c>
      <c r="B17" s="3299"/>
      <c r="C17" s="3292"/>
      <c r="D17" s="3288"/>
      <c r="E17" s="3288"/>
      <c r="F17" s="3289"/>
    </row>
    <row r="18" spans="1:14" ht="15" thickBot="1">
      <c r="A18" s="3301" t="s">
        <v>2689</v>
      </c>
      <c r="B18" s="3302" t="e">
        <f>ROUND(B17*F11/F12,2)</f>
        <v>#DIV/0!</v>
      </c>
      <c r="C18" s="3302" t="e">
        <f>ROUND(F11/F12,4)</f>
        <v>#DIV/0!</v>
      </c>
      <c r="D18" s="3303"/>
      <c r="E18" s="3303"/>
      <c r="F18" s="3304"/>
    </row>
    <row r="19" spans="1:14" ht="15" thickBot="1"/>
    <row r="20" spans="1:14" ht="15" thickTop="1">
      <c r="A20" s="3305" t="s">
        <v>2692</v>
      </c>
      <c r="B20" s="3306"/>
      <c r="C20" s="3306"/>
      <c r="D20" s="3306"/>
      <c r="E20" s="3306"/>
      <c r="F20" s="3306"/>
      <c r="G20" s="3307"/>
      <c r="I20" s="3675" t="s">
        <v>3299</v>
      </c>
      <c r="J20" s="3675" t="s">
        <v>3300</v>
      </c>
      <c r="K20" s="3675"/>
      <c r="L20" s="3675"/>
      <c r="M20" s="3675"/>
      <c r="N20" s="3676"/>
    </row>
    <row r="21" spans="1:14">
      <c r="A21" s="3308"/>
      <c r="B21" s="3309" t="s">
        <v>2693</v>
      </c>
      <c r="C21" s="3309" t="s">
        <v>2694</v>
      </c>
      <c r="D21" s="3309" t="s">
        <v>2695</v>
      </c>
      <c r="E21" s="3309" t="s">
        <v>2696</v>
      </c>
      <c r="F21" s="3309" t="s">
        <v>2697</v>
      </c>
      <c r="G21" s="3310" t="s">
        <v>2698</v>
      </c>
      <c r="I21" s="3677">
        <v>5</v>
      </c>
      <c r="J21" s="3677">
        <v>54.2</v>
      </c>
      <c r="K21" s="3677"/>
      <c r="L21" s="3677"/>
      <c r="M21" s="3677"/>
    </row>
    <row r="22" spans="1:14">
      <c r="A22" s="3308" t="s">
        <v>2699</v>
      </c>
      <c r="B22" s="3311">
        <v>50</v>
      </c>
      <c r="C22" s="3311">
        <v>32</v>
      </c>
      <c r="D22" s="3312">
        <v>0.05</v>
      </c>
      <c r="E22" s="3309">
        <f>ROUND(POWER(1+D22,B22-C22)*(POWER(1+D22,C22)-1)/(POWER(1+D22,B22)-1),3)</f>
        <v>0.86599999999999999</v>
      </c>
      <c r="F22" s="3312">
        <v>0.6</v>
      </c>
      <c r="G22" s="3310">
        <f>ROUND(100*(1-(1-E22)*F22),1)</f>
        <v>92</v>
      </c>
      <c r="I22" s="3677">
        <v>10</v>
      </c>
      <c r="J22" s="3677">
        <v>65.400000000000006</v>
      </c>
      <c r="K22" s="3677">
        <f>J22-J21</f>
        <v>11.200000000000003</v>
      </c>
      <c r="L22" s="3677"/>
      <c r="M22" s="3677"/>
    </row>
    <row r="23" spans="1:14">
      <c r="A23" s="3313" t="s">
        <v>2700</v>
      </c>
      <c r="B23" s="3311">
        <v>50</v>
      </c>
      <c r="C23" s="3311">
        <v>35</v>
      </c>
      <c r="D23" s="3312">
        <v>0.05</v>
      </c>
      <c r="E23" s="3309">
        <f>ROUND(POWER(1+D23,B23-C23)*(POWER(1+D23,C23)-1)/(POWER(1+D23,B23)-1),3)</f>
        <v>0.89700000000000002</v>
      </c>
      <c r="F23" s="3312">
        <f>F22</f>
        <v>0.6</v>
      </c>
      <c r="G23" s="3310">
        <f>ROUND(100*(1-(1-E23)*F23),1)</f>
        <v>93.8</v>
      </c>
      <c r="I23" s="3677">
        <v>15</v>
      </c>
      <c r="J23" s="3677">
        <v>74.099999999999994</v>
      </c>
      <c r="K23" s="3677">
        <f t="shared" ref="K23:K30" si="0">J23-J22</f>
        <v>8.6999999999999886</v>
      </c>
      <c r="L23" s="3677" t="s">
        <v>3301</v>
      </c>
      <c r="M23" s="3677"/>
      <c r="N23" s="3678" t="s">
        <v>3302</v>
      </c>
    </row>
    <row r="24" spans="1:14">
      <c r="A24" s="3313" t="s">
        <v>2701</v>
      </c>
      <c r="B24" s="3311">
        <v>50</v>
      </c>
      <c r="C24" s="3311">
        <v>25</v>
      </c>
      <c r="D24" s="3312">
        <v>0.05</v>
      </c>
      <c r="E24" s="3309">
        <f>ROUND(POWER(1+D24,B24-C24)*(POWER(1+D24,C24)-1)/(POWER(1+D24,B24)-1),3)</f>
        <v>0.77200000000000002</v>
      </c>
      <c r="F24" s="3312">
        <f>F23</f>
        <v>0.6</v>
      </c>
      <c r="G24" s="3310">
        <f>ROUND(100*(1-(1-E24)*F24),1)</f>
        <v>86.3</v>
      </c>
      <c r="I24" s="3677">
        <v>20</v>
      </c>
      <c r="J24" s="3677">
        <v>81</v>
      </c>
      <c r="K24" s="3677">
        <f t="shared" si="0"/>
        <v>6.9000000000000057</v>
      </c>
      <c r="L24" s="3677" t="s">
        <v>3303</v>
      </c>
      <c r="M24" s="3677"/>
      <c r="N24" s="3678">
        <v>10</v>
      </c>
    </row>
    <row r="25" spans="1:14">
      <c r="A25" s="3313" t="s">
        <v>2702</v>
      </c>
      <c r="B25" s="3311">
        <v>50</v>
      </c>
      <c r="C25" s="3311">
        <v>40</v>
      </c>
      <c r="D25" s="3312">
        <v>0.05</v>
      </c>
      <c r="E25" s="3309">
        <f>ROUND(POWER(1+D25,B25-C25)*(POWER(1+D25,C25)-1)/(POWER(1+D25,B25)-1),3)</f>
        <v>0.94</v>
      </c>
      <c r="F25" s="3312">
        <f>F24</f>
        <v>0.6</v>
      </c>
      <c r="G25" s="3310">
        <f>ROUND(100*(1-(1-E25)*F25),1)</f>
        <v>96.4</v>
      </c>
      <c r="I25" s="3677">
        <v>25</v>
      </c>
      <c r="J25" s="3677">
        <v>86.3</v>
      </c>
      <c r="K25" s="3677">
        <f t="shared" si="0"/>
        <v>5.2999999999999972</v>
      </c>
      <c r="L25" s="3677" t="s">
        <v>3304</v>
      </c>
      <c r="M25" s="3677"/>
      <c r="N25" s="3678">
        <v>8</v>
      </c>
    </row>
    <row r="26" spans="1:14">
      <c r="A26" s="3314"/>
      <c r="B26" s="3315"/>
      <c r="C26" s="3315"/>
      <c r="D26" s="3315"/>
      <c r="E26" s="3315"/>
      <c r="F26" s="3315"/>
      <c r="G26" s="3316"/>
      <c r="I26" s="3677">
        <v>30</v>
      </c>
      <c r="J26" s="3677">
        <v>90.5</v>
      </c>
      <c r="K26" s="3677">
        <f t="shared" si="0"/>
        <v>4.2000000000000028</v>
      </c>
      <c r="L26" s="3677" t="s">
        <v>3305</v>
      </c>
      <c r="M26" s="3677"/>
      <c r="N26" s="3678">
        <v>5</v>
      </c>
    </row>
    <row r="27" spans="1:14">
      <c r="A27" s="3317" t="s">
        <v>2703</v>
      </c>
      <c r="B27" s="3318"/>
      <c r="C27" s="3318"/>
      <c r="D27" s="3318"/>
      <c r="E27" s="3318"/>
      <c r="F27" s="3318"/>
      <c r="G27" s="3319"/>
      <c r="I27" s="3677">
        <v>35</v>
      </c>
      <c r="J27" s="3677">
        <v>93.8</v>
      </c>
      <c r="K27" s="3677">
        <f t="shared" si="0"/>
        <v>3.2999999999999972</v>
      </c>
      <c r="L27" s="3677" t="s">
        <v>3306</v>
      </c>
      <c r="M27" s="3677"/>
      <c r="N27" s="3678">
        <v>3</v>
      </c>
    </row>
    <row r="28" spans="1:14">
      <c r="A28" s="3317" t="s">
        <v>2704</v>
      </c>
      <c r="B28" s="3318"/>
      <c r="C28" s="3318"/>
      <c r="D28" s="3318"/>
      <c r="E28" s="3318"/>
      <c r="F28" s="3318"/>
      <c r="G28" s="3319"/>
      <c r="I28" s="3677">
        <v>40</v>
      </c>
      <c r="J28" s="3677">
        <v>96.4</v>
      </c>
      <c r="K28" s="3677">
        <f t="shared" si="0"/>
        <v>2.6000000000000085</v>
      </c>
      <c r="L28" s="3677" t="s">
        <v>3307</v>
      </c>
      <c r="M28" s="3677"/>
      <c r="N28" s="3678">
        <v>2</v>
      </c>
    </row>
    <row r="29" spans="1:14">
      <c r="A29" s="3317" t="s">
        <v>2705</v>
      </c>
      <c r="B29" s="3318"/>
      <c r="C29" s="3318"/>
      <c r="D29" s="3318"/>
      <c r="E29" s="3318"/>
      <c r="F29" s="3318"/>
      <c r="G29" s="3319"/>
      <c r="I29" s="3677">
        <v>45</v>
      </c>
      <c r="J29" s="3677">
        <v>98.4</v>
      </c>
      <c r="K29" s="3677">
        <f t="shared" si="0"/>
        <v>2</v>
      </c>
      <c r="L29" s="3677"/>
      <c r="M29" s="3677"/>
    </row>
    <row r="30" spans="1:14">
      <c r="A30" s="3317" t="s">
        <v>2706</v>
      </c>
      <c r="B30" s="3318"/>
      <c r="C30" s="3318"/>
      <c r="D30" s="3318"/>
      <c r="E30" s="3318"/>
      <c r="F30" s="3318"/>
      <c r="G30" s="3319"/>
      <c r="I30" s="3677">
        <v>50</v>
      </c>
      <c r="J30" s="3677">
        <v>100</v>
      </c>
      <c r="K30" s="3677">
        <f t="shared" si="0"/>
        <v>1.5999999999999943</v>
      </c>
      <c r="L30" s="3677"/>
      <c r="M30" s="3677"/>
    </row>
    <row r="31" spans="1:14">
      <c r="A31" s="3317" t="s">
        <v>2707</v>
      </c>
      <c r="B31" s="3318"/>
      <c r="C31" s="3318"/>
      <c r="D31" s="3318"/>
      <c r="E31" s="3318"/>
      <c r="F31" s="3318"/>
      <c r="G31" s="3319"/>
      <c r="I31" s="3677" t="s">
        <v>3308</v>
      </c>
      <c r="J31" s="3677"/>
      <c r="K31" s="3677"/>
      <c r="L31" s="3677"/>
      <c r="M31" s="3677"/>
    </row>
    <row r="32" spans="1:14">
      <c r="A32" s="3317" t="s">
        <v>2708</v>
      </c>
      <c r="B32" s="3318"/>
      <c r="C32" s="3318"/>
      <c r="D32" s="3318"/>
      <c r="E32" s="3318"/>
      <c r="F32" s="3318"/>
      <c r="G32" s="3319"/>
      <c r="I32" s="3677"/>
      <c r="J32" s="3677"/>
      <c r="K32" s="3677"/>
      <c r="L32" s="3677"/>
      <c r="M32" s="3677"/>
    </row>
    <row r="33" spans="1:14">
      <c r="A33" s="3317" t="s">
        <v>2709</v>
      </c>
      <c r="B33" s="3318"/>
      <c r="C33" s="3318"/>
      <c r="D33" s="3318"/>
      <c r="E33" s="3318"/>
      <c r="F33" s="3318"/>
      <c r="G33" s="3319"/>
      <c r="I33" s="3677" t="s">
        <v>3299</v>
      </c>
      <c r="J33" s="3677" t="s">
        <v>3309</v>
      </c>
      <c r="K33" s="3677"/>
      <c r="L33" s="3677"/>
      <c r="M33" s="3677"/>
    </row>
    <row r="34" spans="1:14">
      <c r="A34" s="3317" t="s">
        <v>2710</v>
      </c>
      <c r="B34" s="3318"/>
      <c r="C34" s="3318"/>
      <c r="D34" s="3318"/>
      <c r="E34" s="3318"/>
      <c r="F34" s="3318"/>
      <c r="G34" s="3319"/>
      <c r="I34" s="3677">
        <v>5</v>
      </c>
      <c r="J34" s="3677">
        <v>55.1</v>
      </c>
      <c r="K34" s="3677"/>
      <c r="L34" s="3677"/>
      <c r="M34" s="3677"/>
    </row>
    <row r="35" spans="1:14">
      <c r="A35" s="3317" t="s">
        <v>2711</v>
      </c>
      <c r="B35" s="3318"/>
      <c r="C35" s="3318"/>
      <c r="D35" s="3318"/>
      <c r="E35" s="3318"/>
      <c r="F35" s="3318"/>
      <c r="G35" s="3319"/>
      <c r="I35" s="3677">
        <v>10</v>
      </c>
      <c r="J35" s="3677">
        <v>67</v>
      </c>
      <c r="K35" s="3677">
        <f>J35-J34</f>
        <v>11.899999999999999</v>
      </c>
      <c r="L35" s="3677"/>
      <c r="M35" s="3677"/>
    </row>
    <row r="36" spans="1:14">
      <c r="A36" s="3317" t="s">
        <v>2712</v>
      </c>
      <c r="B36" s="3318"/>
      <c r="C36" s="3318"/>
      <c r="D36" s="3318"/>
      <c r="E36" s="3318"/>
      <c r="F36" s="3318"/>
      <c r="G36" s="3319"/>
      <c r="I36" s="3677">
        <v>15</v>
      </c>
      <c r="J36" s="3677">
        <v>76.3</v>
      </c>
      <c r="K36" s="3677">
        <f t="shared" ref="K36:K41" si="1">J36-J35</f>
        <v>9.2999999999999972</v>
      </c>
      <c r="L36" s="3677" t="s">
        <v>3301</v>
      </c>
      <c r="M36" s="3677"/>
      <c r="N36" s="3678" t="s">
        <v>3302</v>
      </c>
    </row>
    <row r="37" spans="1:14">
      <c r="A37" s="3317" t="s">
        <v>2713</v>
      </c>
      <c r="B37" s="3318"/>
      <c r="C37" s="3318"/>
      <c r="D37" s="3318"/>
      <c r="E37" s="3318"/>
      <c r="F37" s="3318"/>
      <c r="G37" s="3319"/>
      <c r="I37" s="3677">
        <v>20</v>
      </c>
      <c r="J37" s="3677">
        <v>83.6</v>
      </c>
      <c r="K37" s="3677">
        <f t="shared" si="1"/>
        <v>7.2999999999999972</v>
      </c>
      <c r="L37" s="3677" t="s">
        <v>3303</v>
      </c>
      <c r="M37" s="3677"/>
      <c r="N37" s="3678">
        <v>10</v>
      </c>
    </row>
    <row r="38" spans="1:14">
      <c r="A38" s="3317" t="s">
        <v>2714</v>
      </c>
      <c r="B38" s="3318"/>
      <c r="C38" s="3318"/>
      <c r="D38" s="3318"/>
      <c r="E38" s="3318"/>
      <c r="F38" s="3318"/>
      <c r="G38" s="3319"/>
      <c r="I38" s="3677">
        <v>25</v>
      </c>
      <c r="J38" s="3677">
        <v>89.3</v>
      </c>
      <c r="K38" s="3677">
        <f t="shared" si="1"/>
        <v>5.7000000000000028</v>
      </c>
      <c r="L38" s="3677" t="s">
        <v>3304</v>
      </c>
      <c r="M38" s="3677"/>
      <c r="N38" s="3678">
        <v>8</v>
      </c>
    </row>
    <row r="39" spans="1:14">
      <c r="A39" s="3317"/>
      <c r="B39" s="3318"/>
      <c r="C39" s="3318"/>
      <c r="D39" s="3318"/>
      <c r="E39" s="3318"/>
      <c r="F39" s="3318"/>
      <c r="G39" s="3319"/>
      <c r="I39" s="3677">
        <v>30</v>
      </c>
      <c r="J39" s="3677">
        <v>93.8</v>
      </c>
      <c r="K39" s="3677">
        <f t="shared" si="1"/>
        <v>4.5</v>
      </c>
      <c r="L39" s="3677" t="s">
        <v>3305</v>
      </c>
      <c r="M39" s="3677"/>
      <c r="N39" s="3678">
        <v>6</v>
      </c>
    </row>
    <row r="40" spans="1:14">
      <c r="A40" s="3320" t="s">
        <v>2715</v>
      </c>
      <c r="B40" s="3321"/>
      <c r="C40" s="3321"/>
      <c r="D40" s="3321"/>
      <c r="E40" s="3321"/>
      <c r="F40" s="3321"/>
      <c r="G40" s="3322"/>
      <c r="I40" s="3677">
        <v>35</v>
      </c>
      <c r="J40" s="3677">
        <v>97.2</v>
      </c>
      <c r="K40" s="3677">
        <f t="shared" si="1"/>
        <v>3.4000000000000057</v>
      </c>
      <c r="L40" s="3677" t="s">
        <v>3306</v>
      </c>
      <c r="M40" s="3677"/>
      <c r="N40" s="3678">
        <v>3</v>
      </c>
    </row>
    <row r="41" spans="1:14">
      <c r="A41" s="3323" t="s">
        <v>2716</v>
      </c>
      <c r="B41" s="3324" t="s">
        <v>2717</v>
      </c>
      <c r="C41" s="3325" t="s">
        <v>2718</v>
      </c>
      <c r="D41" s="3325" t="s">
        <v>2719</v>
      </c>
      <c r="E41" s="3326"/>
      <c r="F41" s="3327"/>
      <c r="G41" s="3328"/>
      <c r="I41" s="3677">
        <v>40</v>
      </c>
      <c r="J41" s="3677">
        <v>100</v>
      </c>
      <c r="K41" s="3677">
        <f t="shared" si="1"/>
        <v>2.7999999999999972</v>
      </c>
      <c r="L41" s="3677"/>
      <c r="M41" s="3677"/>
    </row>
    <row r="42" spans="1:14">
      <c r="A42" s="3323" t="s">
        <v>2720</v>
      </c>
      <c r="B42" s="3324" t="s">
        <v>2721</v>
      </c>
      <c r="C42" s="3325" t="s">
        <v>2721</v>
      </c>
      <c r="D42" s="3329" t="s">
        <v>2722</v>
      </c>
      <c r="E42" s="3321" t="s">
        <v>2723</v>
      </c>
      <c r="F42" s="3321"/>
      <c r="G42" s="3322"/>
      <c r="I42" s="3677"/>
      <c r="J42" s="3677"/>
      <c r="K42" s="3677"/>
      <c r="L42" s="3677"/>
      <c r="M42" s="3677"/>
    </row>
    <row r="43" spans="1:14">
      <c r="A43" s="3323" t="s">
        <v>2724</v>
      </c>
      <c r="B43" s="3324" t="s">
        <v>2725</v>
      </c>
      <c r="C43" s="3325" t="s">
        <v>2726</v>
      </c>
      <c r="D43" s="3325" t="s">
        <v>2727</v>
      </c>
      <c r="E43" s="3326" t="s">
        <v>2728</v>
      </c>
      <c r="F43" s="3327"/>
      <c r="G43" s="3328"/>
      <c r="I43" s="3677" t="s">
        <v>3299</v>
      </c>
      <c r="J43" s="3677" t="s">
        <v>3310</v>
      </c>
      <c r="K43" s="3677"/>
      <c r="L43" s="3677"/>
      <c r="M43" s="3677"/>
    </row>
    <row r="44" spans="1:14">
      <c r="A44" s="3323" t="s">
        <v>2729</v>
      </c>
      <c r="B44" s="3324" t="s">
        <v>2730</v>
      </c>
      <c r="C44" s="3325" t="s">
        <v>2731</v>
      </c>
      <c r="D44" s="3329">
        <v>0.5</v>
      </c>
      <c r="E44" s="3326" t="s">
        <v>2732</v>
      </c>
      <c r="F44" s="3327"/>
      <c r="G44" s="3328"/>
      <c r="I44" s="3677">
        <v>30</v>
      </c>
      <c r="J44" s="3677">
        <v>81.7</v>
      </c>
      <c r="K44" s="3677"/>
      <c r="L44" s="3677"/>
      <c r="M44" s="3677"/>
    </row>
    <row r="45" spans="1:14" ht="15" thickBot="1">
      <c r="A45" s="3330" t="s">
        <v>2733</v>
      </c>
      <c r="B45" s="3331" t="s">
        <v>2721</v>
      </c>
      <c r="C45" s="3332" t="s">
        <v>2721</v>
      </c>
      <c r="D45" s="3332" t="s">
        <v>2734</v>
      </c>
      <c r="E45" s="3333" t="s">
        <v>2735</v>
      </c>
      <c r="F45" s="3333"/>
      <c r="G45" s="3334"/>
      <c r="I45" s="3677">
        <v>40</v>
      </c>
      <c r="J45" s="3677">
        <v>89.2</v>
      </c>
      <c r="K45" s="3677">
        <f>J45-J44</f>
        <v>7.5</v>
      </c>
      <c r="L45" s="3677"/>
      <c r="M45" s="3677"/>
    </row>
    <row r="46" spans="1:14">
      <c r="I46" s="3677">
        <v>50</v>
      </c>
      <c r="J46" s="3677">
        <v>94.3</v>
      </c>
      <c r="K46" s="3677">
        <f t="shared" ref="K46:K47" si="2">J46-J45</f>
        <v>5.0999999999999943</v>
      </c>
      <c r="L46" s="3677"/>
      <c r="M46" s="3677"/>
    </row>
    <row r="47" spans="1:14">
      <c r="I47" s="3677">
        <v>60</v>
      </c>
      <c r="J47" s="3677">
        <v>97.7</v>
      </c>
      <c r="K47" s="3677">
        <f t="shared" si="2"/>
        <v>3.4000000000000057</v>
      </c>
      <c r="L47" s="3677"/>
      <c r="M47" s="3677"/>
    </row>
    <row r="48" spans="1:14" ht="15" thickBot="1"/>
    <row r="49" spans="1:4">
      <c r="A49" s="3305" t="s">
        <v>3285</v>
      </c>
    </row>
    <row r="50" spans="1:4">
      <c r="A50" s="3667" t="s">
        <v>3275</v>
      </c>
      <c r="B50" s="3667" t="s">
        <v>3272</v>
      </c>
      <c r="C50" s="3667" t="s">
        <v>3273</v>
      </c>
      <c r="D50" s="3667" t="s">
        <v>3274</v>
      </c>
    </row>
    <row r="51" spans="1:4">
      <c r="A51" s="3667" t="s">
        <v>3276</v>
      </c>
      <c r="B51" s="3293">
        <f>B52+B53</f>
        <v>15000</v>
      </c>
      <c r="C51" s="3669">
        <f>D51/B51</f>
        <v>2666.6666666666665</v>
      </c>
      <c r="D51" s="3293">
        <f>D52+D53</f>
        <v>40000000</v>
      </c>
    </row>
    <row r="52" spans="1:4">
      <c r="A52" s="3668" t="s">
        <v>3277</v>
      </c>
      <c r="B52" s="3664">
        <v>10000</v>
      </c>
      <c r="C52" s="3664">
        <v>1500</v>
      </c>
      <c r="D52" s="3670">
        <f>C52*B52</f>
        <v>15000000</v>
      </c>
    </row>
    <row r="53" spans="1:4">
      <c r="A53" s="3668" t="s">
        <v>3278</v>
      </c>
      <c r="B53" s="3664">
        <v>5000</v>
      </c>
      <c r="C53" s="3664">
        <v>5000</v>
      </c>
      <c r="D53" s="3670">
        <f>C53*B53</f>
        <v>25000000</v>
      </c>
    </row>
    <row r="54" spans="1:4">
      <c r="A54" s="3667" t="s">
        <v>3279</v>
      </c>
      <c r="B54" s="3293">
        <f>B51</f>
        <v>15000</v>
      </c>
      <c r="C54" s="3299">
        <v>700</v>
      </c>
      <c r="D54" s="3293">
        <f t="shared" ref="D54:D55" si="3">C54*B54</f>
        <v>10500000</v>
      </c>
    </row>
    <row r="55" spans="1:4">
      <c r="A55" s="3667" t="s">
        <v>3280</v>
      </c>
      <c r="B55" s="3293">
        <f>B51</f>
        <v>15000</v>
      </c>
      <c r="C55" s="3299">
        <v>1500</v>
      </c>
      <c r="D55" s="3293">
        <f t="shared" si="3"/>
        <v>22500000</v>
      </c>
    </row>
    <row r="56" spans="1:4">
      <c r="A56" s="3667" t="s">
        <v>3281</v>
      </c>
      <c r="B56" s="3293">
        <f>B51</f>
        <v>15000</v>
      </c>
      <c r="C56" s="3671">
        <f>C51+C54+C55</f>
        <v>4866.6666666666661</v>
      </c>
      <c r="D56" s="3293">
        <f>D51+D54+D55</f>
        <v>73000000</v>
      </c>
    </row>
    <row r="58" spans="1:4">
      <c r="A58" s="3667" t="s">
        <v>3282</v>
      </c>
      <c r="B58" s="3665">
        <v>0.05</v>
      </c>
      <c r="C58" s="3293">
        <f>C56*(1+B58)</f>
        <v>5110</v>
      </c>
      <c r="D58" s="3293">
        <f>D56*B58</f>
        <v>3650000</v>
      </c>
    </row>
    <row r="60" spans="1:4">
      <c r="A60" s="3667" t="s">
        <v>3283</v>
      </c>
      <c r="B60" s="3299">
        <v>3500</v>
      </c>
      <c r="C60" s="3299">
        <f>C53</f>
        <v>5000</v>
      </c>
      <c r="D60" s="3293">
        <f>C60*B60</f>
        <v>17500000</v>
      </c>
    </row>
    <row r="62" spans="1:4">
      <c r="A62" s="3667" t="s">
        <v>3284</v>
      </c>
      <c r="B62" s="3299">
        <f>B51</f>
        <v>15000</v>
      </c>
      <c r="C62" s="3666">
        <f>D62/B62</f>
        <v>6276.666666666667</v>
      </c>
      <c r="D62" s="329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53:F65"/>
  <sheetViews>
    <sheetView workbookViewId="0">
      <selection activeCell="I72" sqref="I72"/>
    </sheetView>
  </sheetViews>
  <sheetFormatPr defaultRowHeight="14.4"/>
  <cols>
    <col min="2" max="2" width="15.44140625" customWidth="1"/>
  </cols>
  <sheetData>
    <row r="53" spans="1:6">
      <c r="A53" s="3689">
        <v>36373</v>
      </c>
      <c r="B53" s="2990" t="s">
        <v>3325</v>
      </c>
    </row>
    <row r="54" spans="1:6">
      <c r="B54" s="2990" t="s">
        <v>3326</v>
      </c>
      <c r="C54" s="2990" t="s">
        <v>3327</v>
      </c>
    </row>
    <row r="55" spans="1:6">
      <c r="B55" s="2990" t="s">
        <v>3328</v>
      </c>
      <c r="C55" s="2990" t="s">
        <v>3329</v>
      </c>
    </row>
    <row r="56" spans="1:6">
      <c r="B56" s="2990" t="s">
        <v>3330</v>
      </c>
      <c r="C56" s="2990" t="s">
        <v>3331</v>
      </c>
    </row>
    <row r="57" spans="1:6">
      <c r="B57" s="2990" t="s">
        <v>3332</v>
      </c>
      <c r="C57" s="2990" t="s">
        <v>3333</v>
      </c>
    </row>
    <row r="58" spans="1:6">
      <c r="B58" s="2990" t="s">
        <v>3334</v>
      </c>
      <c r="C58">
        <v>12896.08</v>
      </c>
    </row>
    <row r="60" spans="1:6">
      <c r="B60" s="2990" t="s">
        <v>3335</v>
      </c>
    </row>
    <row r="61" spans="1:6">
      <c r="B61" s="2990" t="s">
        <v>3336</v>
      </c>
      <c r="C61" s="2990" t="s">
        <v>3337</v>
      </c>
    </row>
    <row r="62" spans="1:6">
      <c r="B62" s="2990" t="s">
        <v>3338</v>
      </c>
      <c r="C62" s="2990" t="s">
        <v>3339</v>
      </c>
    </row>
    <row r="63" spans="1:6">
      <c r="B63" s="2990" t="s">
        <v>3340</v>
      </c>
      <c r="C63" s="2990" t="s">
        <v>3341</v>
      </c>
    </row>
    <row r="64" spans="1:6">
      <c r="B64" s="2990" t="s">
        <v>3342</v>
      </c>
      <c r="C64">
        <v>956000</v>
      </c>
      <c r="E64">
        <v>1.8</v>
      </c>
      <c r="F64">
        <f>C64*E64</f>
        <v>1720800</v>
      </c>
    </row>
    <row r="65" spans="2:3">
      <c r="B65" s="2990" t="s">
        <v>3343</v>
      </c>
      <c r="C65">
        <v>7000</v>
      </c>
    </row>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8" sqref="I18"/>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98" t="str">
        <f>IF(B10="北京市","北京市",C10)&amp;F10&amp;A17&amp;"国有建设用地使用权"&amp;B9&amp;"预评估"</f>
        <v>北京市划拨国有建设用地使用权市场价格预评估</v>
      </c>
      <c r="C1" s="3799"/>
      <c r="D1" s="3799"/>
      <c r="E1" s="3799"/>
      <c r="F1" s="3799"/>
      <c r="G1" s="3799"/>
      <c r="H1" s="3799"/>
      <c r="I1" s="3800"/>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v>45833</v>
      </c>
      <c r="C3" s="2739" t="s">
        <v>1513</v>
      </c>
      <c r="D3" s="1465">
        <f>B3</f>
        <v>45833</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2741</v>
      </c>
      <c r="C8" s="1474"/>
      <c r="D8" s="3804"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3318</v>
      </c>
      <c r="C9" s="1477"/>
      <c r="D9" s="3805"/>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3319</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801"/>
      <c r="C12" s="3802"/>
      <c r="D12" s="3803"/>
      <c r="E12" s="1494" t="s">
        <v>1579</v>
      </c>
      <c r="F12" s="3819" t="s">
        <v>2163</v>
      </c>
      <c r="G12" s="3820"/>
      <c r="H12" s="3820"/>
      <c r="I12" s="3821"/>
      <c r="J12" s="2816"/>
      <c r="K12" s="2799"/>
      <c r="L12" s="2795"/>
      <c r="M12" s="2795"/>
      <c r="N12" s="2796"/>
      <c r="O12" s="2797"/>
      <c r="P12" s="2796"/>
      <c r="Q12" s="2796"/>
      <c r="R12" s="2796"/>
      <c r="S12" s="2796"/>
      <c r="T12" s="2796"/>
      <c r="U12" s="2796"/>
    </row>
    <row r="13" spans="1:21">
      <c r="A13" s="1485" t="s">
        <v>1577</v>
      </c>
      <c r="B13" s="3801"/>
      <c r="C13" s="3802"/>
      <c r="D13" s="3803"/>
      <c r="E13" s="1494" t="s">
        <v>1579</v>
      </c>
      <c r="F13" s="3819" t="s">
        <v>2164</v>
      </c>
      <c r="G13" s="3820"/>
      <c r="H13" s="3820"/>
      <c r="I13" s="3821"/>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2"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3320</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v>70</v>
      </c>
      <c r="D18" s="1482"/>
      <c r="E18" s="1482"/>
      <c r="F18" s="1482"/>
      <c r="G18" s="1482"/>
      <c r="H18" s="1482"/>
      <c r="I18" s="1482">
        <v>50</v>
      </c>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0</v>
      </c>
      <c r="I19" s="1483">
        <f>IF(A17="出让",IF(I17="","",ROUNDDOWN(MIN((I17-$D$3)/365,I18),2)),I18)</f>
        <v>50</v>
      </c>
      <c r="J19" s="2816"/>
      <c r="K19" s="2799"/>
      <c r="L19" s="2795"/>
      <c r="M19" s="2795"/>
      <c r="N19" s="2796"/>
      <c r="O19" s="2797"/>
      <c r="P19" s="2796"/>
      <c r="Q19" s="2796"/>
      <c r="R19" s="2796"/>
      <c r="S19" s="2796"/>
      <c r="T19" s="2796"/>
      <c r="U19" s="2796"/>
    </row>
    <row r="20" spans="1:21">
      <c r="A20" s="1572"/>
      <c r="B20" s="1573"/>
      <c r="C20" s="1574" t="s">
        <v>1578</v>
      </c>
      <c r="D20" s="3816"/>
      <c r="E20" s="3817"/>
      <c r="F20" s="3817"/>
      <c r="G20" s="3817"/>
      <c r="H20" s="3817"/>
      <c r="I20" s="3818"/>
      <c r="J20" s="2816"/>
      <c r="K20" s="2799"/>
      <c r="L20" s="2795"/>
      <c r="M20" s="2795"/>
      <c r="N20" s="2796"/>
      <c r="O20" s="2797"/>
      <c r="P20" s="2796"/>
      <c r="Q20" s="2796"/>
      <c r="R20" s="2796"/>
      <c r="S20" s="2796"/>
      <c r="T20" s="2796"/>
      <c r="U20" s="2796"/>
    </row>
    <row r="21" spans="1:21">
      <c r="A21" s="1552" t="s">
        <v>1476</v>
      </c>
      <c r="B21" s="1553" t="s">
        <v>1477</v>
      </c>
      <c r="C21" s="1548">
        <f>'数据-汇总表'!E3</f>
        <v>32240.2</v>
      </c>
      <c r="D21" s="1549" t="s">
        <v>1478</v>
      </c>
      <c r="E21" s="3806" t="s">
        <v>1516</v>
      </c>
      <c r="F21" s="3807"/>
      <c r="G21" s="3807"/>
      <c r="H21" s="3807"/>
      <c r="I21" s="3808"/>
      <c r="J21" s="2816"/>
      <c r="K21" s="2799"/>
      <c r="L21" s="2795"/>
      <c r="M21" s="2795"/>
      <c r="N21" s="2796"/>
      <c r="O21" s="2797"/>
      <c r="P21" s="2796"/>
      <c r="Q21" s="2796"/>
      <c r="R21" s="2796"/>
      <c r="S21" s="2796"/>
      <c r="T21" s="2796"/>
      <c r="U21" s="2796"/>
    </row>
    <row r="22" spans="1:21">
      <c r="A22" s="2556" t="s">
        <v>877</v>
      </c>
      <c r="B22" s="1464" t="s">
        <v>1479</v>
      </c>
      <c r="C22" s="1484">
        <f>'数据-汇总表'!D3</f>
        <v>12896.08</v>
      </c>
      <c r="D22" s="1485" t="s">
        <v>1478</v>
      </c>
      <c r="E22" s="3806" t="s">
        <v>2165</v>
      </c>
      <c r="F22" s="3807"/>
      <c r="G22" s="3807"/>
      <c r="H22" s="3807"/>
      <c r="I22" s="3808"/>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809" t="s">
        <v>1484</v>
      </c>
      <c r="C24" s="3810"/>
      <c r="D24" s="3811" t="s">
        <v>1485</v>
      </c>
      <c r="E24" s="3812"/>
      <c r="F24" s="1502" t="s">
        <v>1486</v>
      </c>
      <c r="G24" s="2816"/>
      <c r="H24" s="2816"/>
      <c r="I24" s="2820"/>
      <c r="J24" s="2816"/>
      <c r="K24" s="379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9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9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824" t="s">
        <v>1519</v>
      </c>
      <c r="B31" s="1553" t="s">
        <v>1520</v>
      </c>
      <c r="C31" s="3822"/>
      <c r="D31" s="3823"/>
      <c r="E31" s="2816"/>
      <c r="F31" s="2816"/>
      <c r="G31" s="2816"/>
      <c r="H31" s="2816"/>
      <c r="I31" s="2820"/>
      <c r="J31" s="2816"/>
      <c r="K31" s="2802"/>
      <c r="L31" s="2796"/>
      <c r="M31" s="2796"/>
      <c r="N31" s="2796"/>
      <c r="O31" s="2796"/>
      <c r="P31" s="2796"/>
      <c r="Q31" s="2796"/>
      <c r="R31" s="2796"/>
      <c r="S31" s="2796"/>
      <c r="T31" s="2796"/>
      <c r="U31" s="2796"/>
    </row>
    <row r="32" spans="1:21">
      <c r="A32" s="382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82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825"/>
      <c r="B34" s="1464" t="s">
        <v>1523</v>
      </c>
      <c r="C34" s="3826"/>
      <c r="D34" s="3827"/>
      <c r="E34" s="2816"/>
      <c r="F34" s="2816"/>
      <c r="G34" s="2816"/>
      <c r="H34" s="2816"/>
      <c r="I34" s="2820"/>
      <c r="J34" s="2816"/>
      <c r="K34" s="2802"/>
      <c r="L34" s="2796"/>
      <c r="M34" s="2796"/>
      <c r="N34" s="2796"/>
      <c r="O34" s="2796"/>
      <c r="P34" s="2796"/>
      <c r="Q34" s="2796"/>
      <c r="R34" s="2796"/>
      <c r="S34" s="2796"/>
      <c r="T34" s="2796"/>
      <c r="U34" s="2796"/>
    </row>
    <row r="35" spans="1:28">
      <c r="A35" s="3828" t="s">
        <v>785</v>
      </c>
      <c r="B35" s="1516"/>
      <c r="C35" s="1562" t="str">
        <f>IF(B35="场地平整","——","具体情况：")</f>
        <v>具体情况：</v>
      </c>
      <c r="D35" s="3830"/>
      <c r="E35" s="3831"/>
      <c r="F35" s="3831"/>
      <c r="G35" s="3831"/>
      <c r="H35" s="3831"/>
      <c r="I35" s="3832"/>
      <c r="J35" s="2816"/>
      <c r="K35" s="2803"/>
      <c r="L35" s="2795"/>
      <c r="M35" s="2795"/>
      <c r="N35" s="2796"/>
      <c r="O35" s="2797"/>
      <c r="P35" s="2796"/>
      <c r="Q35" s="2796"/>
      <c r="R35" s="2796"/>
      <c r="S35" s="2796"/>
      <c r="T35" s="2796"/>
      <c r="U35" s="2796"/>
    </row>
    <row r="36" spans="1:28">
      <c r="A36" s="3824"/>
      <c r="B36" s="3833" t="s">
        <v>1572</v>
      </c>
      <c r="C36" s="3834"/>
      <c r="D36" s="1578"/>
      <c r="E36" s="3835"/>
      <c r="F36" s="3835"/>
      <c r="G36" s="1485" t="str">
        <f>IF(B35="场地未平整","估价结果处理","")</f>
        <v/>
      </c>
      <c r="H36" s="3836"/>
      <c r="I36" s="3836"/>
      <c r="J36" s="2816"/>
      <c r="K36" s="2803"/>
      <c r="L36" s="2795"/>
      <c r="M36" s="2795"/>
      <c r="N36" s="2796"/>
      <c r="O36" s="2797"/>
      <c r="P36" s="2796"/>
      <c r="Q36" s="2796"/>
      <c r="R36" s="2796"/>
      <c r="S36" s="2796"/>
      <c r="T36" s="2796"/>
      <c r="U36" s="2796"/>
    </row>
    <row r="37" spans="1:28" ht="31.2">
      <c r="A37" s="3824"/>
      <c r="B37" s="381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824"/>
      <c r="B38" s="3814"/>
      <c r="C38" s="1472" t="s">
        <v>788</v>
      </c>
      <c r="D38" s="1577">
        <f>ROUNDDOWN(MIN(('数据-取费表'!$B$2-D37)/365,D34),1)</f>
        <v>125.5</v>
      </c>
      <c r="E38" s="1521" t="s">
        <v>789</v>
      </c>
      <c r="F38" s="2816"/>
      <c r="G38" s="2816"/>
      <c r="H38" s="2816"/>
      <c r="I38" s="2820"/>
      <c r="J38" s="2816"/>
      <c r="K38" s="2803"/>
      <c r="L38" s="2796"/>
      <c r="M38" s="2796"/>
      <c r="N38" s="2796"/>
      <c r="O38" s="2796"/>
      <c r="P38" s="2796"/>
      <c r="Q38" s="2796"/>
      <c r="R38" s="2796"/>
      <c r="S38" s="2796"/>
      <c r="T38" s="2796"/>
      <c r="U38" s="2796"/>
    </row>
    <row r="39" spans="1:28">
      <c r="A39" s="3825"/>
      <c r="B39" s="381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96" t="s">
        <v>1503</v>
      </c>
      <c r="T40" s="1525" t="str">
        <f>NUMBERSTRING(7-K40,1)&amp;"通"</f>
        <v>七通</v>
      </c>
      <c r="U40" s="2796"/>
    </row>
    <row r="41" spans="1:28">
      <c r="A41" s="1466"/>
      <c r="B41" s="3829" t="s">
        <v>1250</v>
      </c>
      <c r="C41" s="3829"/>
      <c r="D41" s="3829"/>
      <c r="E41" s="3829"/>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96"/>
      <c r="T41" s="1527" t="str">
        <f>IF(T40="一通",L41,IF(T40="二通",M41,IF(T40="三通",N41,IF(T40="四通",O41,IF(T40="五通",P41,IF(T40="六通",Q41,R41))))))</f>
        <v>、、、、、、</v>
      </c>
      <c r="U41" s="2796"/>
    </row>
    <row r="42" spans="1:28">
      <c r="A42" s="1529"/>
      <c r="B42" s="1555" t="s">
        <v>1422</v>
      </c>
      <c r="C42" s="1555" t="s">
        <v>1423</v>
      </c>
      <c r="D42" s="1555" t="s">
        <v>1424</v>
      </c>
      <c r="E42" s="3282" t="s">
        <v>2742</v>
      </c>
      <c r="F42" s="3282"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t="s">
        <v>1145</v>
      </c>
      <c r="E43" s="1531"/>
      <c r="F43" s="1531" t="s">
        <v>1145</v>
      </c>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t="s">
        <v>1063</v>
      </c>
      <c r="E44" s="1578"/>
      <c r="F44" s="1578" t="s">
        <v>1063</v>
      </c>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6" sqref="L26"/>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12896.08</v>
      </c>
      <c r="B3" s="20">
        <f>IF(C3="否",G5-AT5,G5)</f>
        <v>32240.2</v>
      </c>
      <c r="C3" s="21" t="s">
        <v>3323</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32240.2</v>
      </c>
      <c r="H5" s="25">
        <f t="shared" ref="H5:AT5" si="0">SUM(H13:H641)</f>
        <v>32240.2</v>
      </c>
      <c r="I5" s="25">
        <f t="shared" si="0"/>
        <v>32240.2</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32240.2</v>
      </c>
      <c r="BA5" s="27">
        <f t="shared" si="1"/>
        <v>32240.2</v>
      </c>
      <c r="BB5" s="27">
        <f t="shared" si="1"/>
        <v>32240.2</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12896.08</v>
      </c>
      <c r="F6" s="25" t="s">
        <v>0</v>
      </c>
      <c r="G6" s="25" t="s">
        <v>1</v>
      </c>
      <c r="H6" s="31">
        <f>SUMIF(I$12:AB$12,"总值",I6:AB6)</f>
        <v>12896.08</v>
      </c>
      <c r="I6" s="25">
        <f t="shared" ref="I6:AB6" si="2">ROUND($A$3*I5/$B$3,2)</f>
        <v>12896.08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12896.08</v>
      </c>
      <c r="AZ6" s="25" t="s">
        <v>2</v>
      </c>
      <c r="BA6" s="25">
        <f>ROUND($AY$6*BA5/$AZ$5,2)</f>
        <v>12896.08</v>
      </c>
      <c r="BB6" s="25">
        <f>ROUND($AY$6*BB5/$AZ$5,2)</f>
        <v>12896.08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3322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851</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v>12896.08</v>
      </c>
      <c r="B13" s="2487"/>
      <c r="C13" s="2487"/>
      <c r="D13" s="2488" t="s">
        <v>3321</v>
      </c>
      <c r="E13" s="25">
        <f t="shared" ref="E13:E20" si="6">IF($C$3="是",ROUND($A$3*G13/$B$3,2),ROUND($A$3*(G13-AT13)/$B$3,2))</f>
        <v>12896.08</v>
      </c>
      <c r="F13" s="78"/>
      <c r="G13" s="79">
        <f t="shared" ref="G13:G20" si="7">H13+AC13+AT13</f>
        <v>32240.2</v>
      </c>
      <c r="H13" s="31">
        <f t="shared" ref="H13:H20" si="8">SUMIF(I$12:AB$12,"总值",I13:AB13)</f>
        <v>32240.2</v>
      </c>
      <c r="I13" s="2490">
        <f>A3*2.5</f>
        <v>32240.2</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12896.08</v>
      </c>
      <c r="AW13" s="15">
        <f t="shared" si="10"/>
        <v>0</v>
      </c>
      <c r="AX13" s="15">
        <f t="shared" si="10"/>
        <v>0</v>
      </c>
      <c r="AY13" s="958">
        <f t="shared" ref="AY13:AY20" si="11">ROUND($AY$6*AZ13/$AZ$5,2)</f>
        <v>12896.08</v>
      </c>
      <c r="AZ13" s="25">
        <f t="shared" ref="AZ13:AZ20" si="12">BA13+BL13</f>
        <v>32240.2</v>
      </c>
      <c r="BA13" s="25">
        <f t="shared" ref="BA13:BA20" si="13">SUM(BB13:BK13)</f>
        <v>32240.2</v>
      </c>
      <c r="BB13" s="25">
        <f t="shared" ref="BB13:BB20" si="14">IF($D13="是",I13-J13,0)</f>
        <v>32240.2</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23" sqref="I23"/>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46" t="s">
        <v>169</v>
      </c>
      <c r="B2" s="3846"/>
      <c r="C2" s="3846"/>
      <c r="D2" s="1729" t="s">
        <v>170</v>
      </c>
      <c r="E2" s="102" t="s">
        <v>171</v>
      </c>
      <c r="F2" s="2825"/>
      <c r="G2" s="1096"/>
      <c r="H2" s="1097"/>
      <c r="I2" s="1098" t="s">
        <v>795</v>
      </c>
      <c r="J2" s="2825"/>
      <c r="K2" s="2825"/>
      <c r="L2" s="2825"/>
      <c r="M2" s="2825"/>
      <c r="N2" s="2825"/>
      <c r="O2" s="2825"/>
      <c r="P2" s="2825"/>
    </row>
    <row r="3" spans="1:16" ht="15" thickBot="1">
      <c r="A3" s="3847" t="s">
        <v>172</v>
      </c>
      <c r="B3" s="3847"/>
      <c r="C3" s="3847"/>
      <c r="D3" s="103">
        <f>'数据-基础表'!AY6</f>
        <v>12896.08</v>
      </c>
      <c r="E3" s="103">
        <f>'数据-基础表'!AZ5</f>
        <v>32240.2</v>
      </c>
      <c r="F3" s="2825"/>
      <c r="G3" s="271" t="s">
        <v>796</v>
      </c>
      <c r="H3" s="266" t="s">
        <v>797</v>
      </c>
      <c r="I3" s="1730">
        <f>ROUND('数据-基础表'!B3/'数据-基础表'!A3,2)</f>
        <v>2.5</v>
      </c>
      <c r="J3" s="2825"/>
      <c r="K3" s="2825"/>
      <c r="L3" s="2825"/>
      <c r="M3" s="2825"/>
      <c r="N3" s="2825"/>
      <c r="O3" s="2825"/>
      <c r="P3" s="2825"/>
    </row>
    <row r="4" spans="1:16" ht="14.4">
      <c r="A4" s="3848"/>
      <c r="B4" s="3849"/>
      <c r="C4" s="3850"/>
      <c r="D4" s="104" t="s">
        <v>170</v>
      </c>
      <c r="E4" s="105" t="s">
        <v>171</v>
      </c>
      <c r="F4" s="2825"/>
      <c r="G4" s="1099"/>
      <c r="H4" s="266" t="s">
        <v>798</v>
      </c>
      <c r="I4" s="1730">
        <f>ROUND(SUMIF('数据-基础表'!I9:AS9,"地上",'数据-基础表'!I5:AS5)/'数据-基础表'!A3,2)</f>
        <v>2.5</v>
      </c>
      <c r="J4" s="2825"/>
      <c r="K4" s="2825"/>
      <c r="L4" s="2825"/>
      <c r="M4" s="2825"/>
      <c r="N4" s="2825"/>
      <c r="O4" s="2825"/>
      <c r="P4" s="2825"/>
    </row>
    <row r="5" spans="1:16" ht="14.4">
      <c r="A5" s="106" t="s">
        <v>173</v>
      </c>
      <c r="B5" s="3851" t="s">
        <v>196</v>
      </c>
      <c r="C5" s="3851"/>
      <c r="D5" s="107">
        <f>ROUND($D$3*E5/$E$3,2)</f>
        <v>12896.08</v>
      </c>
      <c r="E5" s="108">
        <f>SUMIF('数据-基础表'!$11:$11,"住宅",'数据-基础表'!$5:$5)</f>
        <v>32240.2</v>
      </c>
      <c r="F5" s="2825"/>
      <c r="G5" s="271" t="s">
        <v>799</v>
      </c>
      <c r="H5" s="266" t="s">
        <v>797</v>
      </c>
      <c r="I5" s="1730">
        <f>ROUND(E31/D31,2)</f>
        <v>2.5</v>
      </c>
      <c r="J5" s="2825"/>
      <c r="K5" s="2825"/>
      <c r="L5" s="2825"/>
      <c r="M5" s="2825"/>
      <c r="N5" s="2825"/>
      <c r="O5" s="2825"/>
      <c r="P5" s="2825"/>
    </row>
    <row r="6" spans="1:16" ht="15" thickBot="1">
      <c r="A6" s="109"/>
      <c r="B6" s="3851" t="s">
        <v>174</v>
      </c>
      <c r="C6" s="3851"/>
      <c r="D6" s="107">
        <f>ROUND($D$3*E6/$E$3,2)</f>
        <v>0</v>
      </c>
      <c r="E6" s="108">
        <f>E3-E5</f>
        <v>0</v>
      </c>
      <c r="F6" s="2825"/>
      <c r="G6" s="1099"/>
      <c r="H6" s="266" t="s">
        <v>798</v>
      </c>
      <c r="I6" s="1730">
        <f>ROUND(F31/D31,2)</f>
        <v>2.5</v>
      </c>
      <c r="J6" s="2825"/>
      <c r="K6" s="2825"/>
      <c r="L6" s="2825"/>
      <c r="M6" s="2825"/>
      <c r="N6" s="2825"/>
      <c r="O6" s="2825"/>
      <c r="P6" s="2825"/>
    </row>
    <row r="7" spans="1:16" ht="14.4">
      <c r="A7" s="3843"/>
      <c r="B7" s="3844"/>
      <c r="C7" s="3845"/>
      <c r="D7" s="104" t="s">
        <v>170</v>
      </c>
      <c r="E7" s="110" t="s">
        <v>197</v>
      </c>
      <c r="F7" s="2825"/>
      <c r="G7" s="1055" t="s">
        <v>1180</v>
      </c>
      <c r="H7" s="1056"/>
      <c r="I7" s="1631">
        <v>2</v>
      </c>
      <c r="J7" s="2825"/>
      <c r="K7" s="2825"/>
      <c r="L7" s="2825"/>
      <c r="M7" s="2825"/>
      <c r="N7" s="2825"/>
      <c r="O7" s="2825"/>
      <c r="P7" s="2825"/>
    </row>
    <row r="8" spans="1:16" ht="14.4">
      <c r="A8" s="106" t="s">
        <v>175</v>
      </c>
      <c r="B8" s="111" t="s">
        <v>176</v>
      </c>
      <c r="C8" s="107" t="s">
        <v>177</v>
      </c>
      <c r="D8" s="107">
        <f t="shared" ref="D8:D15" si="0">ROUND($D$3*E8/$E$3,2)</f>
        <v>12896.08</v>
      </c>
      <c r="E8" s="112">
        <f>SUMIF('数据-基础表'!BB10:BK10,"地上",'数据-基础表'!BB5:BK5)</f>
        <v>32240.2</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12896.08</v>
      </c>
      <c r="E16" s="116">
        <f>SUM(E8:E15)</f>
        <v>32240.2</v>
      </c>
      <c r="F16" s="2825"/>
      <c r="G16" s="2826"/>
      <c r="H16" s="930" t="s">
        <v>185</v>
      </c>
      <c r="I16" s="931"/>
      <c r="J16" s="1738"/>
      <c r="K16" s="3837" t="s">
        <v>1849</v>
      </c>
      <c r="L16" s="3838"/>
      <c r="M16" s="3838"/>
      <c r="N16" s="3838"/>
      <c r="O16" s="3838"/>
      <c r="P16" s="3839"/>
    </row>
    <row r="17" spans="1:19" ht="14.4">
      <c r="A17" s="117" t="s">
        <v>182</v>
      </c>
      <c r="B17" s="118" t="s">
        <v>183</v>
      </c>
      <c r="C17" s="2016" t="s">
        <v>1670</v>
      </c>
      <c r="D17" s="104" t="s">
        <v>170</v>
      </c>
      <c r="E17" s="120" t="s">
        <v>171</v>
      </c>
      <c r="F17" s="121"/>
      <c r="G17" s="1225"/>
      <c r="H17" s="932" t="s">
        <v>184</v>
      </c>
      <c r="I17" s="933" t="s">
        <v>1669</v>
      </c>
      <c r="J17" s="1738"/>
      <c r="K17" s="3840" t="s">
        <v>1850</v>
      </c>
      <c r="L17" s="3841"/>
      <c r="M17" s="3842"/>
      <c r="N17" s="3840" t="s">
        <v>1851</v>
      </c>
      <c r="O17" s="3841"/>
      <c r="P17" s="3842"/>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3324</v>
      </c>
      <c r="D19" s="107">
        <f t="shared" ref="D19:D26" si="1">ROUND($D$3*E19/$E$3,2)</f>
        <v>12896.08</v>
      </c>
      <c r="E19" s="130">
        <f t="shared" ref="E19:E26" si="2">SUM(F19:G19)</f>
        <v>32240.2</v>
      </c>
      <c r="F19" s="2827">
        <f>'数据-基础表'!I13</f>
        <v>32240.2</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12896.08</v>
      </c>
      <c r="S19" s="2019">
        <f t="shared" si="5"/>
        <v>32240.2</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12896.08</v>
      </c>
      <c r="E27" s="136">
        <f>IF(SUM(E19:E26)='数据-基础表'!BA5,SUM(E19:E26),IF(F27="地上面积有误","面积有误","地下面积有误"))</f>
        <v>32240.2</v>
      </c>
      <c r="F27" s="130">
        <f>IF(SUM(F19:F26)=E8,SUM(F19:F26),"地上面积有误")</f>
        <v>32240.2</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12896.08</v>
      </c>
      <c r="S27" s="266">
        <f>IF(SUM(S19:S26)=$E$3,SUM(S19:S26),SUM(S19:S26)&amp;"误差"&amp;ROUND(SUM(S19:S26)-E3,2))</f>
        <v>32240.2</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12896.08</v>
      </c>
      <c r="E31" s="1229">
        <f>E27+E30</f>
        <v>32240.2</v>
      </c>
      <c r="F31" s="1230">
        <f>F27+F30</f>
        <v>32240.2</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32240.2</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25" activePane="bottomRight" state="frozen"/>
      <selection pane="topRight" activeCell="D1" sqref="D1"/>
      <selection pane="bottomLeft" activeCell="A4" sqref="A4"/>
      <selection pane="bottomRight" activeCell="G55" sqref="G55"/>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45833</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住宅</v>
      </c>
      <c r="B6" s="2055" t="str">
        <f>IF(A6=0,"","经营性")</f>
        <v>经营性</v>
      </c>
      <c r="C6" s="166" t="s">
        <v>851</v>
      </c>
      <c r="D6" s="2026">
        <f>SUMIF(项目基本情况!C$15:I$15,C6,项目基本情况!C$18:I$18)</f>
        <v>70</v>
      </c>
      <c r="E6" s="2027">
        <f>IF(B6="","",SUMIF(项目基本情况!C$15:I$15,C6,项目基本情况!C$17:I$17))</f>
        <v>0</v>
      </c>
      <c r="F6" s="167">
        <f>SUMIF(项目基本情况!C$15:I$15,C6,项目基本情况!C$19:I$19)</f>
        <v>70</v>
      </c>
      <c r="G6" s="168">
        <f t="shared" ref="G6:G13" si="0">IF(ISERROR(ROUND(POWER(1+H6,D6-F6)*(POWER(1+H6,F6)-1)/(POWER(1+H6,D6)-1),3)),0,ROUND(POWER(1+H6,D6-F6)*(POWER(1+H6,F6)-1)/(POWER(1+H6,D6)-1),3))</f>
        <v>1</v>
      </c>
      <c r="H6" s="3687">
        <v>0.05</v>
      </c>
      <c r="I6" s="3687">
        <v>0.06</v>
      </c>
      <c r="J6" s="3688">
        <v>7.0000000000000007E-2</v>
      </c>
      <c r="K6" s="172">
        <f>SUMIF('数据-汇总表'!C$19:C$33,'数据-取费表'!A6,'数据-汇总表'!E$19:E$33)</f>
        <v>32240.2</v>
      </c>
      <c r="L6" s="2499">
        <v>4500</v>
      </c>
      <c r="M6" s="170">
        <f t="shared" ref="M6:M14" si="1">ROUND(K6*L6/10000,0)</f>
        <v>14508</v>
      </c>
      <c r="N6" s="2500">
        <v>0</v>
      </c>
      <c r="O6" s="170">
        <f>IF($N$5="成新度","——",ROUND(M6*N6,0))</f>
        <v>0</v>
      </c>
      <c r="P6" s="171">
        <f>IF($N$5="成新度","——",M6-O6)</f>
        <v>14508</v>
      </c>
      <c r="Q6" s="2501">
        <v>0.3</v>
      </c>
      <c r="R6" s="172">
        <f>SUMIF('数据-汇总表'!C$19:C$33,A6,'数据-汇总表'!R$19:R$33)</f>
        <v>12896.08</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0.96699999999999997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t="s">
        <v>2736</v>
      </c>
      <c r="D7" s="2026">
        <f>SUMIF(项目基本情况!C$15:I$15,C7,项目基本情况!C$18:I$18)</f>
        <v>50</v>
      </c>
      <c r="E7" s="2027" t="str">
        <f>IF(B7="","",SUMIF(项目基本情况!C$15:I$15,C7,项目基本情况!C$17:I$17))</f>
        <v/>
      </c>
      <c r="F7" s="167">
        <f>SUMIF(项目基本情况!C$15:I$15,C7,项目基本情况!C$19:I$19)</f>
        <v>50</v>
      </c>
      <c r="G7" s="168">
        <f t="shared" si="0"/>
        <v>1</v>
      </c>
      <c r="H7" s="3687">
        <v>0.05</v>
      </c>
      <c r="I7" s="3687">
        <v>6.5000000000000002E-2</v>
      </c>
      <c r="J7" s="3688">
        <v>7.0000000000000007E-2</v>
      </c>
      <c r="K7" s="172">
        <f>SUMIF('数据-汇总表'!C$19:C$33,'数据-取费表'!A7,'数据-汇总表'!E$19:E$33)</f>
        <v>0</v>
      </c>
      <c r="L7" s="2499">
        <v>4500</v>
      </c>
      <c r="M7" s="170">
        <f t="shared" si="1"/>
        <v>0</v>
      </c>
      <c r="N7" s="2500">
        <v>0</v>
      </c>
      <c r="O7" s="170">
        <f t="shared" ref="O7:O14" si="3">IF($N$5="成新度","——",ROUND(M7*N7,0))</f>
        <v>0</v>
      </c>
      <c r="P7" s="171">
        <f t="shared" ref="P7:P14" si="4">IF($N$5="成新度","——",M7-O7)</f>
        <v>0</v>
      </c>
      <c r="Q7" s="2501">
        <v>0</v>
      </c>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0.91300000000000003</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0.05</v>
      </c>
      <c r="I16" s="195"/>
      <c r="J16" s="195"/>
      <c r="K16" s="196">
        <f>SUM(K6:K15)</f>
        <v>32240.2</v>
      </c>
      <c r="L16" s="197">
        <f>ROUND(M16*10000/SUM(K6:K14),0)</f>
        <v>4500</v>
      </c>
      <c r="M16" s="197">
        <f>SUM(M6:M14)</f>
        <v>14508</v>
      </c>
      <c r="N16" s="198">
        <f>ROUND(SUMPRODUCT(M6:M14,N6:N14)/M16,3)</f>
        <v>0</v>
      </c>
      <c r="O16" s="197">
        <f>SUM(O6:O14)</f>
        <v>0</v>
      </c>
      <c r="P16" s="197">
        <f>SUM(P6:P14)</f>
        <v>14508</v>
      </c>
      <c r="Q16" s="199">
        <f>ROUND(SUMPRODUCT(Q6:Q13,K6:K13)/SUMPRODUCT((Q6:Q13&gt;0)*(K6:K13)),2)</f>
        <v>0.3</v>
      </c>
      <c r="R16" s="2029">
        <f>SUM(R6:R13)</f>
        <v>12896.08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0.96699999999999997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0</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v>160</v>
      </c>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v>100</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0.05</v>
      </c>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0.1</v>
      </c>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0.03</v>
      </c>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0.03</v>
      </c>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0.03</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18</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1145</v>
      </c>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f>C56</f>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52" t="s">
        <v>1198</v>
      </c>
      <c r="B1" s="3853"/>
      <c r="C1" s="3853"/>
      <c r="D1" s="3853"/>
      <c r="E1" s="3853"/>
      <c r="F1" s="3853"/>
      <c r="G1" s="3853"/>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98" t="str">
        <f>项目基本情况!K2</f>
        <v>北京市划拨国有建设用地使用权</v>
      </c>
      <c r="B2" s="3899"/>
      <c r="C2" s="3900"/>
      <c r="D2" s="3900"/>
      <c r="E2" s="3900"/>
      <c r="F2" s="3900"/>
      <c r="G2" s="3899"/>
      <c r="H2" s="3899"/>
      <c r="I2" s="3901"/>
      <c r="J2" s="1753"/>
      <c r="K2" s="1752"/>
      <c r="L2" s="1752"/>
      <c r="M2" s="1752"/>
      <c r="N2" s="1752"/>
      <c r="O2" s="1752"/>
      <c r="P2" s="1752"/>
      <c r="Q2" s="1752"/>
      <c r="R2" s="1752"/>
      <c r="S2" s="1752"/>
      <c r="T2" s="1752"/>
      <c r="U2" s="1752"/>
      <c r="V2" s="1752"/>
    </row>
    <row r="3" spans="1:22" ht="13.8">
      <c r="A3" s="3909" t="s">
        <v>264</v>
      </c>
      <c r="B3" s="3910"/>
      <c r="C3" s="3910"/>
      <c r="D3" s="3910"/>
      <c r="E3" s="3910"/>
      <c r="F3" s="3910"/>
      <c r="G3" s="3910"/>
      <c r="H3" s="3910"/>
      <c r="I3" s="3910"/>
      <c r="J3" s="1753"/>
      <c r="K3" s="1752"/>
      <c r="L3" s="1752"/>
      <c r="M3" s="1752"/>
      <c r="N3" s="1752"/>
      <c r="O3" s="1752"/>
      <c r="P3" s="1752"/>
      <c r="Q3" s="1752"/>
      <c r="R3" s="1752"/>
      <c r="S3" s="1752"/>
      <c r="T3" s="1752"/>
      <c r="U3" s="1752"/>
      <c r="V3" s="1752"/>
    </row>
    <row r="4" spans="1:22" ht="14.4">
      <c r="A4" s="249" t="s">
        <v>265</v>
      </c>
      <c r="B4" s="250" t="s">
        <v>266</v>
      </c>
      <c r="C4" s="251"/>
      <c r="D4" s="251"/>
      <c r="E4" s="3873" t="s">
        <v>267</v>
      </c>
      <c r="F4" s="3915"/>
      <c r="G4" s="3915"/>
      <c r="H4" s="3915"/>
      <c r="I4" s="3874"/>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902" t="s">
        <v>268</v>
      </c>
      <c r="B5" s="3903">
        <v>25</v>
      </c>
      <c r="C5" s="3911"/>
      <c r="D5" s="3914"/>
      <c r="E5" s="252" t="s">
        <v>269</v>
      </c>
      <c r="F5" s="253"/>
      <c r="G5" s="253"/>
      <c r="H5" s="253"/>
      <c r="I5" s="254"/>
      <c r="J5" s="1753"/>
      <c r="K5" s="1752"/>
      <c r="L5" s="1752"/>
      <c r="M5" s="1752"/>
      <c r="N5" s="1752"/>
      <c r="O5" s="1752"/>
      <c r="P5" s="1752"/>
      <c r="Q5" s="1752"/>
      <c r="R5" s="1752"/>
      <c r="S5" s="1752"/>
      <c r="T5" s="1752"/>
      <c r="U5" s="1752"/>
      <c r="V5" s="1752"/>
    </row>
    <row r="6" spans="1:22" ht="13.8">
      <c r="A6" s="3902"/>
      <c r="B6" s="3903"/>
      <c r="C6" s="3912"/>
      <c r="D6" s="3914"/>
      <c r="E6" s="252" t="s">
        <v>270</v>
      </c>
      <c r="F6" s="253"/>
      <c r="G6" s="253"/>
      <c r="H6" s="253"/>
      <c r="I6" s="254"/>
      <c r="J6" s="1753"/>
      <c r="K6" s="1752"/>
      <c r="L6" s="1752"/>
      <c r="M6" s="1752"/>
      <c r="N6" s="1752"/>
      <c r="O6" s="1752"/>
      <c r="P6" s="1752"/>
      <c r="Q6" s="1752"/>
      <c r="R6" s="1752"/>
      <c r="S6" s="1752"/>
      <c r="T6" s="1752"/>
      <c r="U6" s="1752"/>
      <c r="V6" s="1752"/>
    </row>
    <row r="7" spans="1:22" ht="13.8">
      <c r="A7" s="3902"/>
      <c r="B7" s="3903"/>
      <c r="C7" s="3913"/>
      <c r="D7" s="3914"/>
      <c r="E7" s="252" t="s">
        <v>271</v>
      </c>
      <c r="F7" s="253"/>
      <c r="G7" s="253"/>
      <c r="H7" s="253"/>
      <c r="I7" s="254"/>
      <c r="J7" s="1753"/>
      <c r="K7" s="1752"/>
      <c r="L7" s="1752"/>
      <c r="M7" s="1752"/>
      <c r="N7" s="1752"/>
      <c r="O7" s="1752"/>
      <c r="P7" s="1752"/>
      <c r="Q7" s="1752"/>
      <c r="R7" s="1752"/>
      <c r="S7" s="1752"/>
      <c r="T7" s="1752"/>
      <c r="U7" s="1752"/>
      <c r="V7" s="1752"/>
    </row>
    <row r="8" spans="1:22" ht="13.8">
      <c r="A8" s="3902" t="s">
        <v>272</v>
      </c>
      <c r="B8" s="3903">
        <v>15</v>
      </c>
      <c r="C8" s="3911"/>
      <c r="D8" s="3914"/>
      <c r="E8" s="252" t="s">
        <v>273</v>
      </c>
      <c r="F8" s="253"/>
      <c r="G8" s="253"/>
      <c r="H8" s="253"/>
      <c r="I8" s="254"/>
      <c r="J8" s="1753"/>
      <c r="K8" s="1752"/>
      <c r="L8" s="1752"/>
      <c r="M8" s="1752"/>
      <c r="N8" s="1752"/>
      <c r="O8" s="1752"/>
      <c r="P8" s="1752"/>
      <c r="Q8" s="1752"/>
      <c r="R8" s="1752"/>
      <c r="S8" s="1752"/>
      <c r="T8" s="1752"/>
      <c r="U8" s="1752"/>
      <c r="V8" s="1752"/>
    </row>
    <row r="9" spans="1:22" ht="13.8">
      <c r="A9" s="3902"/>
      <c r="B9" s="3903"/>
      <c r="C9" s="3913"/>
      <c r="D9" s="3914"/>
      <c r="E9" s="252" t="s">
        <v>274</v>
      </c>
      <c r="F9" s="253"/>
      <c r="G9" s="253"/>
      <c r="H9" s="253"/>
      <c r="I9" s="254"/>
      <c r="J9" s="1753"/>
      <c r="K9" s="1752"/>
      <c r="L9" s="1752"/>
      <c r="M9" s="1752"/>
      <c r="N9" s="1752"/>
      <c r="O9" s="1752"/>
      <c r="P9" s="1752"/>
      <c r="Q9" s="1752"/>
      <c r="R9" s="1752"/>
      <c r="S9" s="1752"/>
      <c r="T9" s="1752"/>
      <c r="U9" s="1752"/>
      <c r="V9" s="1752"/>
    </row>
    <row r="10" spans="1:22" ht="13.8">
      <c r="A10" s="3902" t="s">
        <v>275</v>
      </c>
      <c r="B10" s="3903">
        <v>15</v>
      </c>
      <c r="C10" s="3911"/>
      <c r="D10" s="3914"/>
      <c r="E10" s="252" t="s">
        <v>276</v>
      </c>
      <c r="F10" s="253"/>
      <c r="G10" s="253"/>
      <c r="H10" s="253"/>
      <c r="I10" s="254"/>
      <c r="J10" s="1753"/>
      <c r="K10" s="1752"/>
      <c r="L10" s="1752"/>
      <c r="M10" s="1752"/>
      <c r="N10" s="1752"/>
      <c r="O10" s="1752"/>
      <c r="P10" s="1752"/>
      <c r="Q10" s="1752"/>
      <c r="R10" s="1752"/>
      <c r="S10" s="1752"/>
      <c r="T10" s="1752"/>
      <c r="U10" s="1752"/>
      <c r="V10" s="1752"/>
    </row>
    <row r="11" spans="1:22" ht="13.8">
      <c r="A11" s="3902"/>
      <c r="B11" s="3903"/>
      <c r="C11" s="3913"/>
      <c r="D11" s="3914"/>
      <c r="E11" s="252" t="s">
        <v>277</v>
      </c>
      <c r="F11" s="253"/>
      <c r="G11" s="253"/>
      <c r="H11" s="253"/>
      <c r="I11" s="254"/>
      <c r="J11" s="1753"/>
      <c r="K11" s="1752"/>
      <c r="L11" s="1752"/>
      <c r="M11" s="1752"/>
      <c r="N11" s="1752"/>
      <c r="O11" s="1752"/>
      <c r="P11" s="1752"/>
      <c r="Q11" s="1752"/>
      <c r="R11" s="1752"/>
      <c r="S11" s="1752"/>
      <c r="T11" s="1752"/>
      <c r="U11" s="1752"/>
      <c r="V11" s="1752"/>
    </row>
    <row r="12" spans="1:22" ht="13.8">
      <c r="A12" s="3902" t="s">
        <v>278</v>
      </c>
      <c r="B12" s="3903">
        <v>15</v>
      </c>
      <c r="C12" s="3911"/>
      <c r="D12" s="3914"/>
      <c r="E12" s="252" t="s">
        <v>279</v>
      </c>
      <c r="F12" s="253"/>
      <c r="G12" s="253"/>
      <c r="H12" s="253"/>
      <c r="I12" s="254"/>
      <c r="J12" s="1753"/>
      <c r="K12" s="1752"/>
      <c r="L12" s="1752"/>
      <c r="M12" s="1752"/>
      <c r="N12" s="1752"/>
      <c r="O12" s="1752"/>
      <c r="P12" s="1752"/>
      <c r="Q12" s="1752"/>
      <c r="R12" s="1752"/>
      <c r="S12" s="1752"/>
      <c r="T12" s="1752"/>
      <c r="U12" s="1752"/>
      <c r="V12" s="1752"/>
    </row>
    <row r="13" spans="1:22" ht="13.8">
      <c r="A13" s="3902"/>
      <c r="B13" s="3903"/>
      <c r="C13" s="3913"/>
      <c r="D13" s="3914"/>
      <c r="E13" s="252" t="s">
        <v>280</v>
      </c>
      <c r="F13" s="253"/>
      <c r="G13" s="253"/>
      <c r="H13" s="253"/>
      <c r="I13" s="254"/>
      <c r="J13" s="1753"/>
      <c r="K13" s="1752"/>
      <c r="L13" s="1752"/>
      <c r="M13" s="1752"/>
      <c r="N13" s="1752"/>
      <c r="O13" s="1752"/>
      <c r="P13" s="1752"/>
      <c r="Q13" s="1752"/>
      <c r="R13" s="1752"/>
      <c r="S13" s="1752"/>
      <c r="T13" s="1752"/>
      <c r="U13" s="1752"/>
      <c r="V13" s="1752"/>
    </row>
    <row r="14" spans="1:22" ht="13.8">
      <c r="A14" s="3902" t="s">
        <v>281</v>
      </c>
      <c r="B14" s="3903">
        <v>30</v>
      </c>
      <c r="C14" s="3911"/>
      <c r="D14" s="3914"/>
      <c r="E14" s="252" t="s">
        <v>282</v>
      </c>
      <c r="F14" s="253"/>
      <c r="G14" s="253"/>
      <c r="H14" s="253"/>
      <c r="I14" s="254"/>
      <c r="J14" s="1753"/>
      <c r="K14" s="1752"/>
      <c r="L14" s="1752"/>
      <c r="M14" s="1752"/>
      <c r="N14" s="1752"/>
      <c r="O14" s="1752"/>
      <c r="P14" s="1752"/>
      <c r="Q14" s="1752"/>
      <c r="R14" s="1752"/>
      <c r="S14" s="1752"/>
      <c r="T14" s="1752"/>
      <c r="U14" s="1752"/>
      <c r="V14" s="1752"/>
    </row>
    <row r="15" spans="1:22" ht="13.8">
      <c r="A15" s="3902"/>
      <c r="B15" s="3903"/>
      <c r="C15" s="3912"/>
      <c r="D15" s="3914"/>
      <c r="E15" s="252" t="s">
        <v>283</v>
      </c>
      <c r="F15" s="253"/>
      <c r="G15" s="253"/>
      <c r="H15" s="253"/>
      <c r="I15" s="254"/>
      <c r="J15" s="1753"/>
      <c r="K15" s="1752"/>
      <c r="L15" s="1752"/>
      <c r="M15" s="1752"/>
      <c r="N15" s="1752"/>
      <c r="O15" s="1752"/>
      <c r="P15" s="1752"/>
      <c r="Q15" s="1752"/>
      <c r="R15" s="1752"/>
      <c r="S15" s="1752"/>
      <c r="T15" s="1752"/>
      <c r="U15" s="1752"/>
      <c r="V15" s="1752"/>
    </row>
    <row r="16" spans="1:22" ht="13.8">
      <c r="A16" s="3902"/>
      <c r="B16" s="3903"/>
      <c r="C16" s="3913"/>
      <c r="D16" s="3914"/>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916" t="s">
        <v>2254</v>
      </c>
      <c r="F18" s="3917"/>
      <c r="G18" s="3917"/>
      <c r="H18" s="3917"/>
      <c r="I18" s="3917"/>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7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922"/>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918" t="s">
        <v>2256</v>
      </c>
      <c r="B31" s="3918"/>
      <c r="C31" s="3918"/>
      <c r="D31" s="3918"/>
      <c r="E31" s="3918"/>
      <c r="F31" s="3918"/>
      <c r="G31" s="3918"/>
      <c r="H31" s="3918"/>
      <c r="I31" s="391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87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87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877"/>
      <c r="F35" s="292" t="s">
        <v>308</v>
      </c>
      <c r="G35" s="944"/>
      <c r="H35" s="943" t="s">
        <v>309</v>
      </c>
      <c r="I35" s="302"/>
      <c r="J35" s="1752"/>
      <c r="K35" s="3881" t="s">
        <v>316</v>
      </c>
      <c r="L35" s="3881" t="s">
        <v>317</v>
      </c>
      <c r="M35" s="1133" t="s">
        <v>318</v>
      </c>
      <c r="N35" s="3881" t="s">
        <v>319</v>
      </c>
      <c r="O35" s="3881" t="s">
        <v>320</v>
      </c>
      <c r="P35" s="1752"/>
      <c r="V35" s="1752"/>
    </row>
    <row r="36" spans="1:26" ht="16.5" customHeight="1">
      <c r="A36" s="294" t="s">
        <v>310</v>
      </c>
      <c r="B36" s="295" t="s">
        <v>299</v>
      </c>
      <c r="C36" s="296" t="s">
        <v>311</v>
      </c>
      <c r="D36" s="296" t="s">
        <v>312</v>
      </c>
      <c r="E36" s="297" t="s">
        <v>313</v>
      </c>
      <c r="F36" s="302"/>
      <c r="G36" s="302"/>
      <c r="H36" s="302"/>
      <c r="I36" s="302"/>
      <c r="J36" s="1754"/>
      <c r="K36" s="3882"/>
      <c r="L36" s="3882"/>
      <c r="M36" s="1135" t="s">
        <v>321</v>
      </c>
      <c r="N36" s="3882"/>
      <c r="O36" s="3882"/>
      <c r="P36" s="1752"/>
      <c r="V36" s="1752"/>
    </row>
    <row r="37" spans="1:26" ht="16.5" customHeight="1" thickBot="1">
      <c r="A37" s="1129" t="s">
        <v>314</v>
      </c>
      <c r="B37" s="298"/>
      <c r="C37" s="285"/>
      <c r="D37" s="285"/>
      <c r="E37" s="286"/>
      <c r="F37" s="302"/>
      <c r="G37" s="302"/>
      <c r="H37" s="302"/>
      <c r="I37" s="302"/>
      <c r="J37" s="1754"/>
      <c r="K37" s="3883"/>
      <c r="L37" s="3883"/>
      <c r="M37" s="1136"/>
      <c r="N37" s="3883"/>
      <c r="O37" s="3883"/>
      <c r="P37" s="1752"/>
      <c r="V37" s="1752"/>
    </row>
    <row r="38" spans="1:26" ht="16.5" customHeight="1" thickBot="1">
      <c r="A38" s="1129" t="s">
        <v>315</v>
      </c>
      <c r="B38" s="298"/>
      <c r="C38" s="285"/>
      <c r="D38" s="285"/>
      <c r="E38" s="286"/>
      <c r="F38" s="302"/>
      <c r="G38" s="302"/>
      <c r="H38" s="302"/>
      <c r="I38" s="302"/>
      <c r="J38" s="1754"/>
      <c r="K38" s="1137">
        <f>'数据-汇总表'!D3</f>
        <v>12896.08</v>
      </c>
      <c r="L38" s="1138">
        <f>'数据-汇总表'!E3</f>
        <v>32240.2</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94" t="str">
        <f>MID(A44,3,LEN(A44)-2)</f>
        <v/>
      </c>
      <c r="L39" s="3895"/>
      <c r="M39" s="3895"/>
      <c r="N39" s="3896"/>
      <c r="O39" s="1247" t="str">
        <f>C44</f>
        <v>——</v>
      </c>
      <c r="P39" s="1752"/>
      <c r="V39" s="1752"/>
    </row>
    <row r="40" spans="1:26" ht="18" thickBot="1">
      <c r="A40" s="100" t="s">
        <v>810</v>
      </c>
      <c r="B40" s="302"/>
      <c r="C40" s="302"/>
      <c r="D40" s="302"/>
      <c r="E40" s="302"/>
      <c r="F40" s="302"/>
      <c r="G40" s="302"/>
      <c r="H40" s="302"/>
      <c r="I40" s="302"/>
      <c r="J40" s="1754"/>
      <c r="K40" s="3894" t="str">
        <f>MID(A45,3,LEN(A45)-2)</f>
        <v/>
      </c>
      <c r="L40" s="3895"/>
      <c r="M40" s="3895"/>
      <c r="N40" s="3896"/>
      <c r="O40" s="1247" t="str">
        <f>C45</f>
        <v>——</v>
      </c>
      <c r="P40" s="1752"/>
      <c r="V40" s="1752"/>
    </row>
    <row r="41" spans="1:26" ht="16.2" thickBot="1">
      <c r="A41" s="303" t="s">
        <v>322</v>
      </c>
      <c r="B41" s="304"/>
      <c r="C41" s="305" t="s">
        <v>323</v>
      </c>
      <c r="D41" s="306" t="s">
        <v>324</v>
      </c>
      <c r="E41" s="306" t="s">
        <v>325</v>
      </c>
      <c r="F41" s="307" t="s">
        <v>326</v>
      </c>
      <c r="G41" s="302"/>
      <c r="H41" s="302"/>
      <c r="I41" s="302"/>
      <c r="J41" s="1754"/>
      <c r="K41" s="3894" t="str">
        <f>MID(A46,3,LEN(A46)-2)</f>
        <v/>
      </c>
      <c r="L41" s="3895"/>
      <c r="M41" s="3895"/>
      <c r="N41" s="3896"/>
      <c r="O41" s="1247" t="str">
        <f>C46</f>
        <v>——</v>
      </c>
      <c r="P41" s="1752"/>
      <c r="V41" s="1752"/>
    </row>
    <row r="42" spans="1:26" ht="31.2">
      <c r="A42" s="3923" t="s">
        <v>1585</v>
      </c>
      <c r="B42" s="3924"/>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933" t="s">
        <v>2012</v>
      </c>
      <c r="B43" s="3934"/>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923" t="str">
        <f>IF(OR(项目基本情况!E8="抵押价格",项目基本情况!E8="已注销及未注销"),"3.抵押价格","——")</f>
        <v>——</v>
      </c>
      <c r="B44" s="3924"/>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928" t="str">
        <f>IF(项目基本情况!E8="已注销及未注销","4.抵押担保权已注销时的抵押价格",IF(项目基本情况!E8="已注销","3.抵押担保权已注销时的抵押价格","——"))</f>
        <v>——</v>
      </c>
      <c r="B45" s="392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925" t="str">
        <f>IF(项目基本情况!E9="抵押净值",IF(A45="——","4.抵押净值","5.抵押净值"),"——")</f>
        <v>——</v>
      </c>
      <c r="B46" s="392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86" t="s">
        <v>340</v>
      </c>
      <c r="B63" s="3887"/>
      <c r="C63" s="3888"/>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930" t="s">
        <v>344</v>
      </c>
      <c r="B64" s="3931"/>
      <c r="C64" s="3931"/>
      <c r="D64" s="3931"/>
      <c r="E64" s="3931"/>
      <c r="F64" s="3931"/>
      <c r="G64" s="393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927" t="s">
        <v>352</v>
      </c>
      <c r="B66" s="3893"/>
      <c r="C66" s="3893"/>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54" t="s">
        <v>351</v>
      </c>
      <c r="M66" s="3855"/>
      <c r="N66" s="2110"/>
      <c r="O66" s="2111"/>
      <c r="P66" s="2112"/>
      <c r="Q66" s="1752"/>
      <c r="R66" s="1752"/>
      <c r="S66" s="1752"/>
      <c r="T66" s="1752"/>
      <c r="U66" s="1752"/>
      <c r="V66" s="1752"/>
    </row>
    <row r="67" spans="1:22" ht="25.5" customHeight="1">
      <c r="A67" s="343" t="s">
        <v>355</v>
      </c>
      <c r="B67" s="3905" t="s">
        <v>356</v>
      </c>
      <c r="C67" s="3905"/>
      <c r="D67" s="344">
        <v>0</v>
      </c>
      <c r="E67" s="39" t="s">
        <v>357</v>
      </c>
      <c r="F67" s="60" t="s">
        <v>15</v>
      </c>
      <c r="G67" s="3889"/>
      <c r="H67" s="2749" t="s">
        <v>2257</v>
      </c>
      <c r="I67" s="2751"/>
      <c r="J67" s="1759"/>
      <c r="K67" s="1731">
        <v>2</v>
      </c>
      <c r="L67" s="3859" t="s">
        <v>354</v>
      </c>
      <c r="M67" s="3859"/>
      <c r="N67" s="1194">
        <f>'数据-取费表'!B2</f>
        <v>45833</v>
      </c>
      <c r="O67" s="1194"/>
      <c r="P67" s="1194"/>
      <c r="Q67" s="1752"/>
      <c r="R67" s="1752"/>
      <c r="S67" s="1752"/>
      <c r="T67" s="1752"/>
      <c r="U67" s="1752"/>
      <c r="V67" s="1752"/>
    </row>
    <row r="68" spans="1:22" ht="25.5" customHeight="1">
      <c r="A68" s="345"/>
      <c r="B68" s="3905" t="s">
        <v>359</v>
      </c>
      <c r="C68" s="3905"/>
      <c r="D68" s="346"/>
      <c r="E68" s="75"/>
      <c r="F68" s="347"/>
      <c r="G68" s="3890"/>
      <c r="H68" s="2750" t="s">
        <v>2258</v>
      </c>
      <c r="I68" s="2751"/>
      <c r="J68" s="1759"/>
      <c r="K68" s="1731">
        <v>3</v>
      </c>
      <c r="L68" s="3859" t="s">
        <v>358</v>
      </c>
      <c r="M68" s="3859"/>
      <c r="N68" s="1162" t="e">
        <f ca="1">C42</f>
        <v>#REF!</v>
      </c>
      <c r="O68" s="1162"/>
      <c r="P68" s="1162"/>
      <c r="Q68" s="1752"/>
      <c r="R68" s="1752"/>
      <c r="S68" s="1752"/>
      <c r="T68" s="1752"/>
      <c r="U68" s="1752"/>
      <c r="V68" s="1752"/>
    </row>
    <row r="69" spans="1:22" ht="23.4" customHeight="1">
      <c r="A69" s="348"/>
      <c r="B69" s="3905" t="s">
        <v>360</v>
      </c>
      <c r="C69" s="3905"/>
      <c r="D69" s="349"/>
      <c r="E69" s="71"/>
      <c r="F69" s="347"/>
      <c r="G69" s="3891"/>
      <c r="H69" s="2750" t="s">
        <v>2259</v>
      </c>
      <c r="I69" s="2751"/>
      <c r="J69" s="1759"/>
      <c r="K69" s="1163">
        <v>4</v>
      </c>
      <c r="L69" s="3860" t="s">
        <v>2157</v>
      </c>
      <c r="M69" s="3861"/>
      <c r="N69" s="1164" t="str">
        <f>C44</f>
        <v>——</v>
      </c>
      <c r="O69" s="1164"/>
      <c r="P69" s="1164"/>
      <c r="Q69" s="1752"/>
      <c r="R69" s="1752"/>
      <c r="S69" s="1752"/>
      <c r="T69" s="1752"/>
      <c r="U69" s="1752"/>
      <c r="V69" s="1752"/>
    </row>
    <row r="70" spans="1:22" ht="24" customHeight="1">
      <c r="A70" s="350" t="s">
        <v>361</v>
      </c>
      <c r="B70" s="3905" t="s">
        <v>362</v>
      </c>
      <c r="C70" s="3905"/>
      <c r="D70" s="349" t="e">
        <f ca="1">ROUND(D63*'数据-取费表'!B41/(1+'数据-取费表'!C42),0)</f>
        <v>#REF!</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904" t="s">
        <v>2282</v>
      </c>
      <c r="C71" s="3921"/>
      <c r="D71" s="349" t="e">
        <f ca="1">ROUND(D63*'数据-取费表'!B41/(1+'数据-取费表'!C42),0)</f>
        <v>#REF!</v>
      </c>
      <c r="E71" s="15" t="s">
        <v>363</v>
      </c>
      <c r="F71" s="351">
        <f>'数据-取费表'!B41</f>
        <v>5.6000000000000001E-2</v>
      </c>
      <c r="G71" s="352"/>
      <c r="H71" s="302"/>
      <c r="I71" s="1161"/>
      <c r="J71" s="1759"/>
      <c r="K71" s="2521" t="s">
        <v>364</v>
      </c>
      <c r="L71" s="3862" t="s">
        <v>365</v>
      </c>
      <c r="M71" s="3862"/>
      <c r="N71" s="2521" t="s">
        <v>366</v>
      </c>
      <c r="O71" s="2521" t="s">
        <v>367</v>
      </c>
      <c r="P71" s="2521" t="s">
        <v>368</v>
      </c>
      <c r="Q71" s="1752"/>
      <c r="R71" s="1752"/>
      <c r="S71" s="1752"/>
      <c r="T71" s="1752"/>
      <c r="U71" s="1752"/>
      <c r="V71" s="1752"/>
    </row>
    <row r="72" spans="1:22" ht="12" customHeight="1">
      <c r="A72" s="350" t="s">
        <v>371</v>
      </c>
      <c r="B72" s="3904" t="s">
        <v>2283</v>
      </c>
      <c r="C72" s="3921"/>
      <c r="D72" s="349" t="e">
        <f ca="1">C86</f>
        <v>#REF!</v>
      </c>
      <c r="E72" s="71" t="s">
        <v>372</v>
      </c>
      <c r="F72" s="351">
        <f>'数据-取费表'!B41</f>
        <v>5.6000000000000001E-2</v>
      </c>
      <c r="G72" s="352"/>
      <c r="H72" s="1167"/>
      <c r="I72" s="1161"/>
      <c r="J72" s="1759"/>
      <c r="K72" s="1731">
        <v>1</v>
      </c>
      <c r="L72" s="3858" t="s">
        <v>370</v>
      </c>
      <c r="M72" s="3858"/>
      <c r="N72" s="1165" t="b">
        <f>D66</f>
        <v>0</v>
      </c>
      <c r="O72" s="1636" t="str">
        <f>E66</f>
        <v>销售额×税（费）率</v>
      </c>
      <c r="P72" s="1166">
        <f>F66</f>
        <v>5.6000000000000001E-2</v>
      </c>
      <c r="Q72" s="1752"/>
      <c r="R72" s="1752"/>
      <c r="S72" s="1752"/>
      <c r="T72" s="1752"/>
      <c r="U72" s="1752"/>
      <c r="V72" s="1752"/>
    </row>
    <row r="73" spans="1:22" ht="24" customHeight="1">
      <c r="A73" s="3892" t="s">
        <v>374</v>
      </c>
      <c r="B73" s="3893"/>
      <c r="C73" s="3893"/>
      <c r="D73" s="353" t="e">
        <f ca="1">IF(H73="个人住宅",0,ROUND(D63*I73,0))</f>
        <v>#REF!</v>
      </c>
      <c r="E73" s="15" t="s">
        <v>375</v>
      </c>
      <c r="F73" s="351" t="str">
        <f>IF(H73="正常",I73,"免征")</f>
        <v>免征</v>
      </c>
      <c r="G73" s="352"/>
      <c r="H73" s="184"/>
      <c r="I73" s="351">
        <f>'数据-取费表'!B49</f>
        <v>5.0000000000000001E-4</v>
      </c>
      <c r="J73" s="1759"/>
      <c r="K73" s="1731">
        <v>2</v>
      </c>
      <c r="L73" s="3858" t="s">
        <v>373</v>
      </c>
      <c r="M73" s="3858"/>
      <c r="N73" s="1165" t="e">
        <f t="shared" ref="N73:P74" ca="1" si="0">D73</f>
        <v>#REF!</v>
      </c>
      <c r="O73" s="1636" t="str">
        <f t="shared" si="0"/>
        <v>销售额×税（费）率</v>
      </c>
      <c r="P73" s="1166" t="str">
        <f t="shared" si="0"/>
        <v>免征</v>
      </c>
      <c r="Q73" s="1752"/>
      <c r="R73" s="1752"/>
      <c r="S73" s="1752"/>
      <c r="T73" s="1752"/>
      <c r="U73" s="1752"/>
      <c r="V73" s="1752"/>
    </row>
    <row r="74" spans="1:22" ht="25.2">
      <c r="A74" s="3892" t="s">
        <v>377</v>
      </c>
      <c r="B74" s="3893"/>
      <c r="C74" s="3893"/>
      <c r="D74" s="353" t="e">
        <f ca="1">IF(H74="个人住宅",D75,D76)</f>
        <v>#REF!</v>
      </c>
      <c r="E74" s="15" t="s">
        <v>378</v>
      </c>
      <c r="F74" s="351" t="str">
        <f>IF(H74="正常",F76,"免征")</f>
        <v>免征</v>
      </c>
      <c r="G74" s="945" t="s">
        <v>379</v>
      </c>
      <c r="H74" s="354"/>
      <c r="I74" s="40"/>
      <c r="J74" s="1759"/>
      <c r="K74" s="1731">
        <v>3</v>
      </c>
      <c r="L74" s="3858" t="s">
        <v>376</v>
      </c>
      <c r="M74" s="3858"/>
      <c r="N74" s="1165" t="e">
        <f t="shared" ca="1" si="0"/>
        <v>#REF!</v>
      </c>
      <c r="O74" s="1636" t="str">
        <f t="shared" si="0"/>
        <v>增值额×税（费）率</v>
      </c>
      <c r="P74" s="1168" t="str">
        <f t="shared" si="0"/>
        <v>免征</v>
      </c>
      <c r="Q74" s="1752"/>
      <c r="R74" s="1752"/>
      <c r="S74" s="1752"/>
      <c r="T74" s="1752"/>
      <c r="U74" s="1752"/>
      <c r="V74" s="1752"/>
    </row>
    <row r="75" spans="1:22" ht="13.2">
      <c r="A75" s="350" t="s">
        <v>380</v>
      </c>
      <c r="B75" s="3873" t="s">
        <v>381</v>
      </c>
      <c r="C75" s="3874"/>
      <c r="D75" s="355">
        <v>0</v>
      </c>
      <c r="E75" s="39" t="s">
        <v>382</v>
      </c>
      <c r="F75" s="356"/>
      <c r="G75" s="352"/>
      <c r="H75" s="40"/>
      <c r="I75" s="40"/>
      <c r="J75" s="1759"/>
      <c r="K75" s="2515">
        <f>IF(H77="非个人房产","",4)</f>
        <v>4</v>
      </c>
      <c r="L75" s="3858" t="str">
        <f>IF(H77="非个人房产","——","个人所得税")</f>
        <v>个人所得税</v>
      </c>
      <c r="M75" s="3858"/>
      <c r="N75" s="1169">
        <f>D77</f>
        <v>0</v>
      </c>
      <c r="O75" s="1637" t="str">
        <f>E77</f>
        <v>差额计税</v>
      </c>
      <c r="P75" s="1170">
        <f>F77</f>
        <v>0.01</v>
      </c>
      <c r="Q75" s="1752"/>
      <c r="R75" s="1752"/>
      <c r="S75" s="1752"/>
      <c r="T75" s="1752"/>
      <c r="U75" s="1752"/>
      <c r="V75" s="1752"/>
    </row>
    <row r="76" spans="1:22" ht="25.2">
      <c r="A76" s="350" t="s">
        <v>361</v>
      </c>
      <c r="B76" s="3873" t="s">
        <v>384</v>
      </c>
      <c r="C76" s="3915"/>
      <c r="D76" s="353" t="e">
        <f ca="1">IF(H76="转让取得",C99,C115)</f>
        <v>#REF!</v>
      </c>
      <c r="E76" s="15" t="s">
        <v>385</v>
      </c>
      <c r="F76" s="51" t="s">
        <v>15</v>
      </c>
      <c r="G76" s="352"/>
      <c r="H76" s="354"/>
      <c r="I76" s="40"/>
      <c r="J76" s="1759"/>
      <c r="K76" s="2515" t="str">
        <f>IF(项目基本情况!K6="上海银行",IF(K75="",4,K75+1),"")</f>
        <v/>
      </c>
      <c r="L76" s="3869" t="str">
        <f>IF(项目基本情况!K6="上海银行","其他处置费用","")</f>
        <v/>
      </c>
      <c r="M76" s="3870"/>
      <c r="N76" s="1165" t="str">
        <f>IF(项目基本情况!K6="上海银行",N89,"")</f>
        <v/>
      </c>
      <c r="O76" s="3871" t="str">
        <f>IF(项目基本情况!K6="上海银行","包含处置中涉及的律师、诉讼、拍卖、评估等费用","")</f>
        <v/>
      </c>
      <c r="P76" s="3872"/>
      <c r="Q76" s="1752"/>
      <c r="R76" s="1752"/>
      <c r="S76" s="1752"/>
      <c r="T76" s="1752"/>
      <c r="U76" s="1752"/>
      <c r="V76" s="1752"/>
    </row>
    <row r="77" spans="1:22" ht="24.6" thickBot="1">
      <c r="A77" s="3884" t="s">
        <v>387</v>
      </c>
      <c r="B77" s="3885"/>
      <c r="C77" s="3885"/>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80">
        <f>IF(AND(K75="",K76=""),4,IF(项目基本情况!K6="上海银行",K76+1,K75+1))</f>
        <v>5</v>
      </c>
      <c r="L77" s="3858"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80"/>
      <c r="L78" s="3858"/>
      <c r="M78" s="2520" t="s">
        <v>386</v>
      </c>
      <c r="N78" s="1171"/>
      <c r="O78" s="1172" t="str">
        <f ca="1">NUMBERSTRING(INT(O77*10000),2)&amp;"元整"</f>
        <v>零元整</v>
      </c>
      <c r="P78" s="1173"/>
      <c r="Q78" s="1752"/>
      <c r="R78" s="1752"/>
      <c r="S78" s="1752"/>
      <c r="T78" s="1752"/>
      <c r="U78" s="1752"/>
      <c r="V78" s="1752"/>
    </row>
    <row r="79" spans="1:22" ht="13.8" thickBot="1">
      <c r="A79" s="3935" t="s">
        <v>388</v>
      </c>
      <c r="B79" s="3935"/>
      <c r="C79" s="3935"/>
      <c r="D79" s="3935"/>
      <c r="E79" s="3935"/>
      <c r="F79" s="40"/>
      <c r="G79" s="40"/>
      <c r="H79" s="965"/>
      <c r="I79" s="302"/>
      <c r="J79" s="1759"/>
      <c r="K79" s="3856">
        <f>K77+1</f>
        <v>6</v>
      </c>
      <c r="L79" s="3858" t="s">
        <v>2159</v>
      </c>
      <c r="M79" s="2520" t="s">
        <v>383</v>
      </c>
      <c r="N79" s="1171"/>
      <c r="O79" s="1172" t="e">
        <f ca="1">N69-O77</f>
        <v>#VALUE!</v>
      </c>
      <c r="P79" s="1173"/>
      <c r="Q79" s="1752"/>
      <c r="R79" s="1752"/>
      <c r="S79" s="1752"/>
      <c r="T79" s="1752"/>
      <c r="U79" s="1752"/>
      <c r="V79" s="1752"/>
    </row>
    <row r="80" spans="1:22" ht="13.2">
      <c r="A80" s="3866" t="s">
        <v>389</v>
      </c>
      <c r="B80" s="3867"/>
      <c r="C80" s="956"/>
      <c r="D80" s="956" t="s">
        <v>390</v>
      </c>
      <c r="E80" s="357" t="s">
        <v>391</v>
      </c>
      <c r="F80" s="40"/>
      <c r="G80" s="40"/>
      <c r="H80" s="965"/>
      <c r="I80" s="302"/>
      <c r="J80" s="1752"/>
      <c r="K80" s="3857"/>
      <c r="L80" s="3858"/>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5">
        <f>K79+1</f>
        <v>7</v>
      </c>
      <c r="L81" s="3878" t="s">
        <v>2160</v>
      </c>
      <c r="M81" s="3879"/>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68"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68"/>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868"/>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5.6000000000000001E-2</v>
      </c>
      <c r="E86" s="377"/>
      <c r="F86" s="40"/>
      <c r="G86" s="40"/>
      <c r="H86" s="965"/>
      <c r="I86" s="302"/>
      <c r="J86" s="1752"/>
      <c r="K86" s="3868"/>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68"/>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907" t="s">
        <v>398</v>
      </c>
      <c r="B88" s="3908"/>
      <c r="C88" s="3908"/>
      <c r="D88" s="3908"/>
      <c r="E88" s="3908"/>
      <c r="F88" s="3908"/>
      <c r="G88" s="3908"/>
      <c r="H88" s="3908"/>
      <c r="I88" s="1184"/>
      <c r="J88" s="1760"/>
      <c r="K88" s="3868"/>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66" t="s">
        <v>389</v>
      </c>
      <c r="B89" s="3867"/>
      <c r="C89" s="956"/>
      <c r="D89" s="956" t="s">
        <v>390</v>
      </c>
      <c r="E89" s="378" t="s">
        <v>399</v>
      </c>
      <c r="F89" s="379"/>
      <c r="G89" s="379"/>
      <c r="H89" s="380"/>
      <c r="I89" s="1185"/>
      <c r="J89" s="1762"/>
      <c r="K89" s="3868"/>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904" t="s">
        <v>407</v>
      </c>
      <c r="F94" s="3905"/>
      <c r="G94" s="3905"/>
      <c r="H94" s="3906"/>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6.000000000000001E-3</v>
      </c>
      <c r="E96" s="3863" t="s">
        <v>1780</v>
      </c>
      <c r="F96" s="3864"/>
      <c r="G96" s="3864"/>
      <c r="H96" s="386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907" t="s">
        <v>414</v>
      </c>
      <c r="B101" s="3908"/>
      <c r="C101" s="3908"/>
      <c r="D101" s="3908"/>
      <c r="E101" s="3908"/>
      <c r="F101" s="3908"/>
      <c r="G101" s="3908"/>
      <c r="H101" s="3908"/>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66" t="s">
        <v>389</v>
      </c>
      <c r="B102" s="386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919" t="s">
        <v>2252</v>
      </c>
      <c r="H108" s="3920"/>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97" t="s">
        <v>422</v>
      </c>
      <c r="F109" s="3864"/>
      <c r="G109" s="386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97" t="s">
        <v>424</v>
      </c>
      <c r="F110" s="3864"/>
      <c r="G110" s="3864"/>
      <c r="H110" s="3865"/>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6.000000000000001E-3</v>
      </c>
      <c r="E111" s="3863" t="s">
        <v>1780</v>
      </c>
      <c r="F111" s="3864"/>
      <c r="G111" s="3864"/>
      <c r="H111" s="386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97" t="s">
        <v>1799</v>
      </c>
      <c r="F112" s="3864"/>
      <c r="G112" s="3864"/>
      <c r="H112" s="386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workbookViewId="0">
      <selection activeCell="E29" sqref="E29"/>
    </sheetView>
  </sheetViews>
  <sheetFormatPr defaultRowHeight="14.4"/>
  <cols>
    <col min="1" max="66" width="22.21875" style="3763" customWidth="1"/>
    <col min="67" max="16384" width="8.88671875" style="3763"/>
  </cols>
  <sheetData>
    <row r="1" spans="1:65">
      <c r="A1" s="3763" t="s">
        <v>3426</v>
      </c>
      <c r="B1" s="3763" t="s">
        <v>3536</v>
      </c>
      <c r="C1" s="3763" t="s">
        <v>3427</v>
      </c>
      <c r="D1" s="3763" t="s">
        <v>3357</v>
      </c>
      <c r="E1" s="3763" t="s">
        <v>3516</v>
      </c>
      <c r="F1" s="3763" t="s">
        <v>3537</v>
      </c>
      <c r="G1" s="3763" t="s">
        <v>3428</v>
      </c>
      <c r="H1" s="3763" t="s">
        <v>3538</v>
      </c>
      <c r="I1" s="3763" t="s">
        <v>3430</v>
      </c>
      <c r="J1" s="3763" t="s">
        <v>3431</v>
      </c>
      <c r="K1" s="3763" t="s">
        <v>3539</v>
      </c>
      <c r="L1" s="3763" t="s">
        <v>3540</v>
      </c>
      <c r="M1" s="3763" t="s">
        <v>3541</v>
      </c>
      <c r="N1" s="3763" t="s">
        <v>3542</v>
      </c>
      <c r="O1" s="3763" t="s">
        <v>3429</v>
      </c>
      <c r="P1" s="3763" t="s">
        <v>3432</v>
      </c>
      <c r="Q1" s="3763" t="s">
        <v>3543</v>
      </c>
      <c r="R1" s="3763" t="s">
        <v>3544</v>
      </c>
      <c r="S1" s="3763" t="s">
        <v>1550</v>
      </c>
      <c r="T1" s="3763" t="s">
        <v>3545</v>
      </c>
      <c r="U1" s="3763" t="s">
        <v>3546</v>
      </c>
      <c r="V1" s="3763" t="s">
        <v>3547</v>
      </c>
      <c r="W1" s="3763" t="s">
        <v>3548</v>
      </c>
      <c r="X1" s="3763" t="s">
        <v>3358</v>
      </c>
      <c r="Y1" s="3763" t="s">
        <v>3433</v>
      </c>
      <c r="Z1" s="3763" t="s">
        <v>3549</v>
      </c>
      <c r="AA1" s="3763" t="s">
        <v>3550</v>
      </c>
      <c r="AB1" s="3763" t="s">
        <v>3551</v>
      </c>
      <c r="AC1" s="3763" t="s">
        <v>3552</v>
      </c>
      <c r="AD1" s="3763" t="s">
        <v>3553</v>
      </c>
      <c r="AE1" s="3763" t="s">
        <v>3554</v>
      </c>
      <c r="AF1" s="3763" t="s">
        <v>3555</v>
      </c>
      <c r="AG1" s="3763" t="s">
        <v>3556</v>
      </c>
      <c r="AH1" s="3763" t="s">
        <v>3557</v>
      </c>
      <c r="AI1" s="3763" t="s">
        <v>3558</v>
      </c>
      <c r="AJ1" s="3763" t="s">
        <v>3437</v>
      </c>
      <c r="AK1" s="3763" t="s">
        <v>3559</v>
      </c>
      <c r="AL1" s="3763" t="s">
        <v>3560</v>
      </c>
      <c r="AM1" s="3763" t="s">
        <v>3561</v>
      </c>
      <c r="AN1" s="3763" t="s">
        <v>3438</v>
      </c>
      <c r="AO1" s="3763" t="s">
        <v>3439</v>
      </c>
      <c r="AP1" s="3763" t="s">
        <v>3440</v>
      </c>
      <c r="AQ1" s="3763" t="s">
        <v>3441</v>
      </c>
      <c r="AR1" s="3763" t="s">
        <v>3562</v>
      </c>
      <c r="AS1" s="3763" t="s">
        <v>3563</v>
      </c>
      <c r="AT1" s="3763" t="s">
        <v>3564</v>
      </c>
      <c r="AU1" s="3763" t="s">
        <v>3565</v>
      </c>
      <c r="AV1" s="3763" t="s">
        <v>3566</v>
      </c>
      <c r="AW1" s="3763" t="s">
        <v>3442</v>
      </c>
      <c r="AX1" s="3763" t="s">
        <v>3567</v>
      </c>
      <c r="AY1" s="3763" t="s">
        <v>3568</v>
      </c>
      <c r="AZ1" s="3763" t="s">
        <v>3443</v>
      </c>
      <c r="BA1" s="3763" t="s">
        <v>3569</v>
      </c>
      <c r="BB1" s="3763" t="s">
        <v>3570</v>
      </c>
      <c r="BC1" s="3763" t="s">
        <v>3571</v>
      </c>
      <c r="BD1" s="3763" t="s">
        <v>3572</v>
      </c>
      <c r="BE1" s="3763" t="s">
        <v>3573</v>
      </c>
      <c r="BF1" s="3763" t="s">
        <v>3574</v>
      </c>
      <c r="BG1" s="3763" t="s">
        <v>3575</v>
      </c>
      <c r="BH1" s="3763" t="s">
        <v>3512</v>
      </c>
      <c r="BI1" s="3763" t="s">
        <v>3359</v>
      </c>
      <c r="BJ1" s="3763" t="s">
        <v>3576</v>
      </c>
      <c r="BK1" s="3763" t="s">
        <v>3577</v>
      </c>
      <c r="BL1" s="3763" t="s">
        <v>3578</v>
      </c>
      <c r="BM1" s="3763" t="s">
        <v>3579</v>
      </c>
    </row>
    <row r="2" spans="1:65">
      <c r="A2" s="3763" t="s">
        <v>3580</v>
      </c>
      <c r="B2" s="3763" t="s">
        <v>3581</v>
      </c>
      <c r="C2" s="3763" t="s">
        <v>1465</v>
      </c>
      <c r="D2" s="3763" t="s">
        <v>3370</v>
      </c>
      <c r="E2" s="3763" t="s">
        <v>3582</v>
      </c>
      <c r="F2" s="3763" t="s">
        <v>3583</v>
      </c>
      <c r="G2" s="3763" t="s">
        <v>3583</v>
      </c>
      <c r="H2" s="3763" t="s">
        <v>3584</v>
      </c>
      <c r="I2" s="3763">
        <v>19800</v>
      </c>
      <c r="J2" s="3763">
        <v>55440</v>
      </c>
      <c r="K2" s="3763" t="s">
        <v>3522</v>
      </c>
      <c r="L2" s="3763" t="s">
        <v>3522</v>
      </c>
      <c r="M2" s="3763">
        <v>0</v>
      </c>
      <c r="N2" s="3763">
        <v>0</v>
      </c>
      <c r="O2" s="3763" t="s">
        <v>3585</v>
      </c>
      <c r="P2" s="3763" t="s">
        <v>3586</v>
      </c>
      <c r="Q2" s="3763" t="s">
        <v>3587</v>
      </c>
      <c r="R2" s="3763" t="s">
        <v>3588</v>
      </c>
      <c r="S2" s="3763" t="s">
        <v>3589</v>
      </c>
      <c r="T2" s="3763">
        <v>2.8</v>
      </c>
      <c r="U2" s="3763" t="s">
        <v>3522</v>
      </c>
      <c r="V2" s="3763">
        <v>0.3</v>
      </c>
      <c r="W2" s="3763">
        <v>60</v>
      </c>
      <c r="X2" s="3763" t="s">
        <v>3590</v>
      </c>
      <c r="Y2" s="3763" t="s">
        <v>3522</v>
      </c>
      <c r="Z2" s="3763" t="s">
        <v>3591</v>
      </c>
      <c r="AA2" s="3763" t="s">
        <v>3592</v>
      </c>
      <c r="AB2" s="3763" t="s">
        <v>3522</v>
      </c>
      <c r="AC2" s="3763" t="s">
        <v>3522</v>
      </c>
      <c r="AD2" s="3763" t="s">
        <v>3593</v>
      </c>
      <c r="AE2" s="3763" t="s">
        <v>3594</v>
      </c>
      <c r="AF2" s="3763" t="s">
        <v>3595</v>
      </c>
      <c r="AG2" s="3763" t="s">
        <v>3595</v>
      </c>
      <c r="AH2" s="3763" t="s">
        <v>3596</v>
      </c>
      <c r="AI2" s="3763" t="s">
        <v>3597</v>
      </c>
      <c r="AJ2" s="3763" t="s">
        <v>3598</v>
      </c>
      <c r="AK2" s="3763" t="s">
        <v>3599</v>
      </c>
      <c r="AL2" s="3763" t="s">
        <v>3600</v>
      </c>
      <c r="AM2" s="3763" t="s">
        <v>3522</v>
      </c>
      <c r="AN2" s="3763">
        <v>250000</v>
      </c>
      <c r="AO2" s="3763">
        <v>50000</v>
      </c>
      <c r="AP2" s="3763" t="s">
        <v>3601</v>
      </c>
      <c r="AQ2" s="3763">
        <v>287500</v>
      </c>
      <c r="AR2" s="3763">
        <v>126262.62</v>
      </c>
      <c r="AS2" s="3763">
        <v>145202.01999999999</v>
      </c>
      <c r="AT2" s="3763">
        <v>8417.51</v>
      </c>
      <c r="AU2" s="3763">
        <v>9680.1299999999992</v>
      </c>
      <c r="AV2" s="3763">
        <v>45094</v>
      </c>
      <c r="AW2" s="3763">
        <v>51858</v>
      </c>
      <c r="AX2" s="3763" t="s">
        <v>3522</v>
      </c>
      <c r="AY2" s="3763" t="s">
        <v>3522</v>
      </c>
      <c r="AZ2" s="3763">
        <v>15</v>
      </c>
      <c r="BA2" s="3763">
        <v>287500</v>
      </c>
      <c r="BB2" s="3763" t="s">
        <v>3602</v>
      </c>
      <c r="BC2" s="3763">
        <v>78000</v>
      </c>
      <c r="BD2" s="3763">
        <v>78000</v>
      </c>
      <c r="BE2" s="3763">
        <v>51858</v>
      </c>
      <c r="BF2" s="3763">
        <v>15</v>
      </c>
      <c r="BG2" s="3763">
        <v>26142</v>
      </c>
      <c r="BH2" s="3763" t="s">
        <v>3603</v>
      </c>
      <c r="BI2" s="3763" t="s">
        <v>3604</v>
      </c>
      <c r="BJ2" s="3763" t="s">
        <v>3321</v>
      </c>
      <c r="BK2" s="3763" t="s">
        <v>3584</v>
      </c>
      <c r="BL2" s="3763" t="s">
        <v>3605</v>
      </c>
      <c r="BM2" s="3763">
        <v>287500</v>
      </c>
    </row>
    <row r="3" spans="1:65">
      <c r="A3" s="3763" t="s">
        <v>3606</v>
      </c>
      <c r="B3" s="3763" t="s">
        <v>3581</v>
      </c>
      <c r="C3" s="3763" t="s">
        <v>1465</v>
      </c>
      <c r="D3" s="3763" t="s">
        <v>3370</v>
      </c>
      <c r="E3" s="3763" t="s">
        <v>3607</v>
      </c>
      <c r="F3" s="3763" t="s">
        <v>3608</v>
      </c>
      <c r="G3" s="3763" t="s">
        <v>3608</v>
      </c>
      <c r="H3" s="3763" t="s">
        <v>3609</v>
      </c>
      <c r="I3" s="3763">
        <v>24387.06</v>
      </c>
      <c r="J3" s="3763">
        <v>58528.94</v>
      </c>
      <c r="K3" s="3763" t="s">
        <v>3522</v>
      </c>
      <c r="L3" s="3763" t="s">
        <v>3522</v>
      </c>
      <c r="M3" s="3763">
        <v>0</v>
      </c>
      <c r="N3" s="3763">
        <v>0</v>
      </c>
      <c r="O3" s="3763" t="s">
        <v>3585</v>
      </c>
      <c r="P3" s="3763" t="s">
        <v>3375</v>
      </c>
      <c r="Q3" s="3763" t="s">
        <v>3375</v>
      </c>
      <c r="R3" s="3763" t="s">
        <v>3610</v>
      </c>
      <c r="S3" s="3763" t="s">
        <v>3611</v>
      </c>
      <c r="T3" s="3763">
        <v>2.4</v>
      </c>
      <c r="U3" s="3763" t="s">
        <v>3522</v>
      </c>
      <c r="V3" s="3763" t="s">
        <v>3522</v>
      </c>
      <c r="W3" s="3763">
        <v>60</v>
      </c>
      <c r="X3" s="3763" t="s">
        <v>3590</v>
      </c>
      <c r="Y3" s="3763" t="s">
        <v>3522</v>
      </c>
      <c r="Z3" s="3763" t="s">
        <v>3612</v>
      </c>
      <c r="AA3" s="3763" t="s">
        <v>3592</v>
      </c>
      <c r="AB3" s="3763" t="s">
        <v>3522</v>
      </c>
      <c r="AC3" s="3763" t="s">
        <v>3522</v>
      </c>
      <c r="AD3" s="3763" t="s">
        <v>3613</v>
      </c>
      <c r="AE3" s="3763" t="s">
        <v>3614</v>
      </c>
      <c r="AF3" s="3763" t="s">
        <v>3615</v>
      </c>
      <c r="AG3" s="3763" t="s">
        <v>3615</v>
      </c>
      <c r="AH3" s="3763" t="s">
        <v>3596</v>
      </c>
      <c r="AI3" s="3763" t="s">
        <v>3597</v>
      </c>
      <c r="AJ3" s="3763" t="s">
        <v>3616</v>
      </c>
      <c r="AK3" s="3763" t="s">
        <v>3617</v>
      </c>
      <c r="AL3" s="3763" t="s">
        <v>3618</v>
      </c>
      <c r="AM3" s="3763" t="s">
        <v>3522</v>
      </c>
      <c r="AN3" s="3763">
        <v>315000</v>
      </c>
      <c r="AO3" s="3763">
        <v>63000</v>
      </c>
      <c r="AP3" s="3763" t="s">
        <v>3522</v>
      </c>
      <c r="AQ3" s="3763">
        <v>332000</v>
      </c>
      <c r="AR3" s="3763">
        <v>129166.86</v>
      </c>
      <c r="AS3" s="3763">
        <v>136137.76999999999</v>
      </c>
      <c r="AT3" s="3763">
        <v>8611.1200000000008</v>
      </c>
      <c r="AU3" s="3763">
        <v>9075.85</v>
      </c>
      <c r="AV3" s="3763">
        <v>53820</v>
      </c>
      <c r="AW3" s="3763">
        <v>56724</v>
      </c>
      <c r="AX3" s="3763" t="s">
        <v>3522</v>
      </c>
      <c r="AY3" s="3763" t="s">
        <v>3522</v>
      </c>
      <c r="AZ3" s="3763">
        <v>5.4</v>
      </c>
      <c r="BA3" s="3763">
        <v>362250</v>
      </c>
      <c r="BB3" s="3763" t="s">
        <v>3619</v>
      </c>
      <c r="BC3" s="3763">
        <v>86000</v>
      </c>
      <c r="BD3" s="3763">
        <v>86000</v>
      </c>
      <c r="BE3" s="3763">
        <v>61892</v>
      </c>
      <c r="BF3" s="3763">
        <v>15</v>
      </c>
      <c r="BG3" s="3763">
        <v>29275</v>
      </c>
      <c r="BH3" s="3763" t="s">
        <v>3620</v>
      </c>
      <c r="BI3" s="3763" t="s">
        <v>3621</v>
      </c>
      <c r="BJ3" s="3763" t="s">
        <v>3321</v>
      </c>
      <c r="BK3" s="3763" t="s">
        <v>3622</v>
      </c>
      <c r="BL3" s="3763" t="s">
        <v>3623</v>
      </c>
      <c r="BM3" s="3763">
        <v>332000</v>
      </c>
    </row>
    <row r="4" spans="1:65">
      <c r="A4" s="3763" t="s">
        <v>3624</v>
      </c>
      <c r="B4" s="3763" t="s">
        <v>3581</v>
      </c>
      <c r="C4" s="3763" t="s">
        <v>1465</v>
      </c>
      <c r="D4" s="3763" t="s">
        <v>3370</v>
      </c>
      <c r="E4" s="3763" t="s">
        <v>3625</v>
      </c>
      <c r="F4" s="3763" t="s">
        <v>3626</v>
      </c>
      <c r="G4" s="3763" t="s">
        <v>3627</v>
      </c>
      <c r="H4" s="3763" t="s">
        <v>3628</v>
      </c>
      <c r="I4" s="3763">
        <v>61455.11</v>
      </c>
      <c r="J4" s="3763">
        <v>92183</v>
      </c>
      <c r="K4" s="3763" t="s">
        <v>3522</v>
      </c>
      <c r="L4" s="3763" t="s">
        <v>3522</v>
      </c>
      <c r="M4" s="3763">
        <v>0</v>
      </c>
      <c r="N4" s="3763">
        <v>0</v>
      </c>
      <c r="O4" s="3763" t="s">
        <v>3585</v>
      </c>
      <c r="P4" s="3763" t="s">
        <v>3375</v>
      </c>
      <c r="Q4" s="3763" t="s">
        <v>3375</v>
      </c>
      <c r="R4" s="3763" t="s">
        <v>3629</v>
      </c>
      <c r="S4" s="3763" t="s">
        <v>3630</v>
      </c>
      <c r="T4" s="3763">
        <v>1.5</v>
      </c>
      <c r="U4" s="3763" t="s">
        <v>3522</v>
      </c>
      <c r="V4" s="3763">
        <v>0.3</v>
      </c>
      <c r="W4" s="3763">
        <v>18</v>
      </c>
      <c r="X4" s="3763" t="s">
        <v>3590</v>
      </c>
      <c r="Y4" s="3763" t="s">
        <v>3522</v>
      </c>
      <c r="Z4" s="3763" t="s">
        <v>3612</v>
      </c>
      <c r="AA4" s="3763" t="s">
        <v>3631</v>
      </c>
      <c r="AB4" s="3763" t="s">
        <v>3522</v>
      </c>
      <c r="AC4" s="3763" t="s">
        <v>3522</v>
      </c>
      <c r="AD4" s="3763" t="s">
        <v>3632</v>
      </c>
      <c r="AE4" s="3763" t="s">
        <v>3633</v>
      </c>
      <c r="AF4" s="3763" t="s">
        <v>3634</v>
      </c>
      <c r="AG4" s="3763" t="s">
        <v>3634</v>
      </c>
      <c r="AH4" s="3763" t="s">
        <v>3596</v>
      </c>
      <c r="AI4" s="3763" t="s">
        <v>3597</v>
      </c>
      <c r="AJ4" s="3763" t="s">
        <v>3635</v>
      </c>
      <c r="AK4" s="3763" t="s">
        <v>3636</v>
      </c>
      <c r="AL4" s="3763" t="s">
        <v>3637</v>
      </c>
      <c r="AM4" s="3763" t="s">
        <v>3522</v>
      </c>
      <c r="AN4" s="3763">
        <v>404000</v>
      </c>
      <c r="AO4" s="3763">
        <v>81000</v>
      </c>
      <c r="AP4" s="3763" t="s">
        <v>3638</v>
      </c>
      <c r="AQ4" s="3763">
        <v>404000</v>
      </c>
      <c r="AR4" s="3763">
        <v>65739.039999999994</v>
      </c>
      <c r="AS4" s="3763">
        <v>65739.039999999994</v>
      </c>
      <c r="AT4" s="3763">
        <v>4382.6000000000004</v>
      </c>
      <c r="AU4" s="3763">
        <v>4382.6000000000004</v>
      </c>
      <c r="AV4" s="3763">
        <v>43826</v>
      </c>
      <c r="AW4" s="3763">
        <v>43826</v>
      </c>
      <c r="AX4" s="3763" t="s">
        <v>3522</v>
      </c>
      <c r="AY4" s="3763" t="s">
        <v>3522</v>
      </c>
      <c r="AZ4" s="3763">
        <v>0</v>
      </c>
      <c r="BA4" s="3763">
        <v>464600</v>
      </c>
      <c r="BB4" s="3763" t="s">
        <v>3619</v>
      </c>
      <c r="BC4" s="3763">
        <v>79800</v>
      </c>
      <c r="BD4" s="3763">
        <v>79800</v>
      </c>
      <c r="BE4" s="3763">
        <v>50400</v>
      </c>
      <c r="BF4" s="3763">
        <v>15</v>
      </c>
      <c r="BG4" s="3763">
        <v>35974</v>
      </c>
      <c r="BH4" s="3763" t="s">
        <v>3639</v>
      </c>
      <c r="BI4" s="3763" t="s">
        <v>3640</v>
      </c>
      <c r="BJ4" s="3763" t="s">
        <v>3321</v>
      </c>
      <c r="BK4" s="3763" t="s">
        <v>3624</v>
      </c>
      <c r="BL4" s="3763" t="s">
        <v>3641</v>
      </c>
      <c r="BM4" s="3763">
        <v>404000</v>
      </c>
    </row>
    <row r="5" spans="1:65">
      <c r="A5" s="3763" t="s">
        <v>3642</v>
      </c>
      <c r="B5" s="3763" t="s">
        <v>3581</v>
      </c>
      <c r="C5" s="3763" t="s">
        <v>1465</v>
      </c>
      <c r="D5" s="3763" t="s">
        <v>3370</v>
      </c>
      <c r="E5" s="3763" t="s">
        <v>3643</v>
      </c>
      <c r="F5" s="3763" t="s">
        <v>3644</v>
      </c>
      <c r="G5" s="3763" t="s">
        <v>3644</v>
      </c>
      <c r="H5" s="3763" t="s">
        <v>3645</v>
      </c>
      <c r="I5" s="3763">
        <v>12060.05</v>
      </c>
      <c r="J5" s="3763">
        <v>30150</v>
      </c>
      <c r="K5" s="3763" t="s">
        <v>3522</v>
      </c>
      <c r="L5" s="3763" t="s">
        <v>3522</v>
      </c>
      <c r="M5" s="3763">
        <v>0</v>
      </c>
      <c r="N5" s="3763">
        <v>0</v>
      </c>
      <c r="O5" s="3763" t="s">
        <v>3585</v>
      </c>
      <c r="P5" s="3763" t="s">
        <v>3375</v>
      </c>
      <c r="Q5" s="3763" t="s">
        <v>3375</v>
      </c>
      <c r="R5" s="3763" t="s">
        <v>3610</v>
      </c>
      <c r="S5" s="3763" t="s">
        <v>3646</v>
      </c>
      <c r="T5" s="3763">
        <v>2.5</v>
      </c>
      <c r="U5" s="3763" t="s">
        <v>3522</v>
      </c>
      <c r="V5" s="3763">
        <v>0.3</v>
      </c>
      <c r="W5" s="3763">
        <v>60</v>
      </c>
      <c r="X5" s="3763" t="s">
        <v>3590</v>
      </c>
      <c r="Y5" s="3763" t="s">
        <v>3647</v>
      </c>
      <c r="Z5" s="3763" t="s">
        <v>3612</v>
      </c>
      <c r="AA5" s="3763" t="s">
        <v>3592</v>
      </c>
      <c r="AB5" s="3763" t="s">
        <v>3522</v>
      </c>
      <c r="AC5" s="3763" t="s">
        <v>3522</v>
      </c>
      <c r="AD5" s="3763" t="s">
        <v>3648</v>
      </c>
      <c r="AE5" s="3763" t="s">
        <v>3649</v>
      </c>
      <c r="AF5" s="3763" t="s">
        <v>3650</v>
      </c>
      <c r="AG5" s="3763" t="s">
        <v>3651</v>
      </c>
      <c r="AH5" s="3763" t="s">
        <v>3596</v>
      </c>
      <c r="AI5" s="3763" t="s">
        <v>3597</v>
      </c>
      <c r="AJ5" s="3763" t="s">
        <v>3652</v>
      </c>
      <c r="AK5" s="3763" t="s">
        <v>3653</v>
      </c>
      <c r="AL5" s="3763" t="s">
        <v>3637</v>
      </c>
      <c r="AM5" s="3763" t="s">
        <v>3522</v>
      </c>
      <c r="AN5" s="3763">
        <v>124000</v>
      </c>
      <c r="AO5" s="3763">
        <v>25000</v>
      </c>
      <c r="AP5" s="3763" t="s">
        <v>3654</v>
      </c>
      <c r="AQ5" s="3763">
        <v>142600</v>
      </c>
      <c r="AR5" s="3763">
        <v>102818.81</v>
      </c>
      <c r="AS5" s="3763">
        <v>118241.63</v>
      </c>
      <c r="AT5" s="3763">
        <v>6854.59</v>
      </c>
      <c r="AU5" s="3763">
        <v>7882.78</v>
      </c>
      <c r="AV5" s="3763">
        <v>41128</v>
      </c>
      <c r="AW5" s="3763">
        <v>47297</v>
      </c>
      <c r="AX5" s="3763" t="s">
        <v>3522</v>
      </c>
      <c r="AY5" s="3763" t="s">
        <v>3522</v>
      </c>
      <c r="AZ5" s="3763">
        <v>15</v>
      </c>
      <c r="BA5" s="3763">
        <v>142600</v>
      </c>
      <c r="BB5" s="3763" t="s">
        <v>3602</v>
      </c>
      <c r="BC5" s="3763">
        <v>80000</v>
      </c>
      <c r="BD5" s="3763">
        <v>80000</v>
      </c>
      <c r="BE5" s="3763">
        <v>47297</v>
      </c>
      <c r="BF5" s="3763">
        <v>15</v>
      </c>
      <c r="BG5" s="3763">
        <v>32703</v>
      </c>
      <c r="BH5" s="3763" t="s">
        <v>3603</v>
      </c>
      <c r="BI5" s="3763" t="s">
        <v>3655</v>
      </c>
      <c r="BJ5" s="3763" t="s">
        <v>3323</v>
      </c>
      <c r="BK5" s="3763" t="s">
        <v>3522</v>
      </c>
      <c r="BL5" s="3763" t="s">
        <v>3656</v>
      </c>
      <c r="BM5" s="3763">
        <v>142600</v>
      </c>
    </row>
    <row r="6" spans="1:65">
      <c r="A6" s="3763" t="s">
        <v>3657</v>
      </c>
      <c r="B6" s="3763" t="s">
        <v>3581</v>
      </c>
      <c r="C6" s="3763" t="s">
        <v>1465</v>
      </c>
      <c r="D6" s="3763" t="s">
        <v>3370</v>
      </c>
      <c r="E6" s="3763" t="s">
        <v>3658</v>
      </c>
      <c r="F6" s="3763" t="s">
        <v>3659</v>
      </c>
      <c r="G6" s="3763" t="s">
        <v>3659</v>
      </c>
      <c r="H6" s="3763" t="s">
        <v>3660</v>
      </c>
      <c r="I6" s="3763">
        <v>18681.22</v>
      </c>
      <c r="J6" s="3763">
        <v>46703.06</v>
      </c>
      <c r="K6" s="3763" t="s">
        <v>3522</v>
      </c>
      <c r="L6" s="3763" t="s">
        <v>3522</v>
      </c>
      <c r="M6" s="3763">
        <v>0</v>
      </c>
      <c r="N6" s="3763">
        <v>0</v>
      </c>
      <c r="O6" s="3763" t="s">
        <v>3585</v>
      </c>
      <c r="P6" s="3763" t="s">
        <v>3375</v>
      </c>
      <c r="Q6" s="3763" t="s">
        <v>3375</v>
      </c>
      <c r="R6" s="3763" t="s">
        <v>3629</v>
      </c>
      <c r="S6" s="3763" t="s">
        <v>3646</v>
      </c>
      <c r="T6" s="3763">
        <v>2.5</v>
      </c>
      <c r="U6" s="3763" t="s">
        <v>3522</v>
      </c>
      <c r="V6" s="3763">
        <v>0.3</v>
      </c>
      <c r="W6" s="3763" t="s">
        <v>3522</v>
      </c>
      <c r="X6" s="3763" t="s">
        <v>3590</v>
      </c>
      <c r="Y6" s="3763" t="s">
        <v>3661</v>
      </c>
      <c r="Z6" s="3763" t="s">
        <v>3591</v>
      </c>
      <c r="AA6" s="3763" t="s">
        <v>3662</v>
      </c>
      <c r="AB6" s="3763" t="s">
        <v>3522</v>
      </c>
      <c r="AC6" s="3763" t="s">
        <v>3522</v>
      </c>
      <c r="AD6" s="3763" t="s">
        <v>3663</v>
      </c>
      <c r="AE6" s="3763" t="s">
        <v>3664</v>
      </c>
      <c r="AF6" s="3763" t="s">
        <v>3665</v>
      </c>
      <c r="AG6" s="3763" t="s">
        <v>3666</v>
      </c>
      <c r="AH6" s="3763" t="s">
        <v>3596</v>
      </c>
      <c r="AI6" s="3763" t="s">
        <v>3597</v>
      </c>
      <c r="AJ6" s="3763" t="s">
        <v>3667</v>
      </c>
      <c r="AK6" s="3763" t="s">
        <v>3668</v>
      </c>
      <c r="AL6" s="3763" t="s">
        <v>3669</v>
      </c>
      <c r="AM6" s="3763" t="s">
        <v>3670</v>
      </c>
      <c r="AN6" s="3763">
        <v>212000</v>
      </c>
      <c r="AO6" s="3763">
        <v>43000</v>
      </c>
      <c r="AP6" s="3763" t="s">
        <v>3671</v>
      </c>
      <c r="AQ6" s="3763">
        <v>243800</v>
      </c>
      <c r="AR6" s="3763">
        <v>113482.95</v>
      </c>
      <c r="AS6" s="3763">
        <v>130505.4</v>
      </c>
      <c r="AT6" s="3763">
        <v>7565.53</v>
      </c>
      <c r="AU6" s="3763">
        <v>8700.36</v>
      </c>
      <c r="AV6" s="3763">
        <v>45393</v>
      </c>
      <c r="AW6" s="3763">
        <v>52202</v>
      </c>
      <c r="AX6" s="3763" t="s">
        <v>3522</v>
      </c>
      <c r="AY6" s="3763" t="s">
        <v>3522</v>
      </c>
      <c r="AZ6" s="3763">
        <v>15</v>
      </c>
      <c r="BA6" s="3763">
        <v>243800</v>
      </c>
      <c r="BB6" s="3763" t="s">
        <v>3602</v>
      </c>
      <c r="BC6" s="3763">
        <v>85000</v>
      </c>
      <c r="BD6" s="3763">
        <v>85000</v>
      </c>
      <c r="BE6" s="3763">
        <v>52202</v>
      </c>
      <c r="BF6" s="3763">
        <v>15</v>
      </c>
      <c r="BG6" s="3763">
        <v>32797</v>
      </c>
      <c r="BH6" s="3763" t="s">
        <v>3620</v>
      </c>
      <c r="BI6" s="3763" t="s">
        <v>3672</v>
      </c>
      <c r="BJ6" s="3763" t="s">
        <v>3323</v>
      </c>
      <c r="BK6" s="3763" t="s">
        <v>3522</v>
      </c>
      <c r="BL6" s="3763" t="s">
        <v>3666</v>
      </c>
      <c r="BM6" s="3763">
        <v>243800</v>
      </c>
    </row>
    <row r="7" spans="1:65">
      <c r="A7" s="3763" t="s">
        <v>3673</v>
      </c>
      <c r="B7" s="3763" t="s">
        <v>3581</v>
      </c>
      <c r="C7" s="3763" t="s">
        <v>1465</v>
      </c>
      <c r="D7" s="3763" t="s">
        <v>3370</v>
      </c>
      <c r="E7" s="3763" t="s">
        <v>3658</v>
      </c>
      <c r="F7" s="3763" t="s">
        <v>3674</v>
      </c>
      <c r="G7" s="3763" t="s">
        <v>3674</v>
      </c>
      <c r="H7" s="3763" t="s">
        <v>3660</v>
      </c>
      <c r="I7" s="3763">
        <v>19603.849999999999</v>
      </c>
      <c r="J7" s="3763">
        <v>49009.63</v>
      </c>
      <c r="K7" s="3763" t="s">
        <v>3522</v>
      </c>
      <c r="L7" s="3763" t="s">
        <v>3522</v>
      </c>
      <c r="M7" s="3763">
        <v>0</v>
      </c>
      <c r="N7" s="3763">
        <v>0</v>
      </c>
      <c r="O7" s="3763" t="s">
        <v>3585</v>
      </c>
      <c r="P7" s="3763" t="s">
        <v>3375</v>
      </c>
      <c r="Q7" s="3763" t="s">
        <v>3375</v>
      </c>
      <c r="R7" s="3763" t="s">
        <v>3629</v>
      </c>
      <c r="S7" s="3763" t="s">
        <v>3646</v>
      </c>
      <c r="T7" s="3763">
        <v>2.5</v>
      </c>
      <c r="U7" s="3763" t="s">
        <v>3522</v>
      </c>
      <c r="V7" s="3763">
        <v>0.3</v>
      </c>
      <c r="W7" s="3763" t="s">
        <v>3522</v>
      </c>
      <c r="X7" s="3763" t="s">
        <v>3590</v>
      </c>
      <c r="Y7" s="3763" t="s">
        <v>3661</v>
      </c>
      <c r="Z7" s="3763" t="s">
        <v>3591</v>
      </c>
      <c r="AA7" s="3763" t="s">
        <v>3662</v>
      </c>
      <c r="AB7" s="3763" t="s">
        <v>3522</v>
      </c>
      <c r="AC7" s="3763" t="s">
        <v>3522</v>
      </c>
      <c r="AD7" s="3763" t="s">
        <v>3663</v>
      </c>
      <c r="AE7" s="3763" t="s">
        <v>3664</v>
      </c>
      <c r="AF7" s="3763" t="s">
        <v>3665</v>
      </c>
      <c r="AG7" s="3763" t="s">
        <v>3665</v>
      </c>
      <c r="AH7" s="3763" t="s">
        <v>3596</v>
      </c>
      <c r="AI7" s="3763" t="s">
        <v>3597</v>
      </c>
      <c r="AJ7" s="3763" t="s">
        <v>3675</v>
      </c>
      <c r="AK7" s="3763" t="s">
        <v>3676</v>
      </c>
      <c r="AL7" s="3763" t="s">
        <v>3618</v>
      </c>
      <c r="AM7" s="3763" t="s">
        <v>3677</v>
      </c>
      <c r="AN7" s="3763">
        <v>222000</v>
      </c>
      <c r="AO7" s="3763">
        <v>45000</v>
      </c>
      <c r="AP7" s="3763" t="s">
        <v>3671</v>
      </c>
      <c r="AQ7" s="3763">
        <v>255300</v>
      </c>
      <c r="AR7" s="3763">
        <v>113243.06</v>
      </c>
      <c r="AS7" s="3763">
        <v>130229.52</v>
      </c>
      <c r="AT7" s="3763">
        <v>7549.54</v>
      </c>
      <c r="AU7" s="3763">
        <v>8681.9699999999993</v>
      </c>
      <c r="AV7" s="3763">
        <v>45297</v>
      </c>
      <c r="AW7" s="3763">
        <v>52092</v>
      </c>
      <c r="AX7" s="3763" t="s">
        <v>3522</v>
      </c>
      <c r="AY7" s="3763" t="s">
        <v>3522</v>
      </c>
      <c r="AZ7" s="3763">
        <v>15</v>
      </c>
      <c r="BA7" s="3763">
        <v>255300</v>
      </c>
      <c r="BB7" s="3763" t="s">
        <v>3602</v>
      </c>
      <c r="BC7" s="3763">
        <v>85000</v>
      </c>
      <c r="BD7" s="3763">
        <v>85000</v>
      </c>
      <c r="BE7" s="3763">
        <v>52092</v>
      </c>
      <c r="BF7" s="3763">
        <v>15</v>
      </c>
      <c r="BG7" s="3763">
        <v>32908</v>
      </c>
      <c r="BH7" s="3763" t="s">
        <v>3620</v>
      </c>
      <c r="BI7" s="3763" t="s">
        <v>3678</v>
      </c>
      <c r="BJ7" s="3763" t="s">
        <v>3323</v>
      </c>
      <c r="BK7" s="3763" t="s">
        <v>3522</v>
      </c>
      <c r="BL7" s="3763" t="s">
        <v>3679</v>
      </c>
      <c r="BM7" s="3763">
        <v>255300</v>
      </c>
    </row>
    <row r="8" spans="1:65">
      <c r="A8" s="3763" t="s">
        <v>3680</v>
      </c>
      <c r="B8" s="3763" t="s">
        <v>3581</v>
      </c>
      <c r="C8" s="3763" t="s">
        <v>1465</v>
      </c>
      <c r="D8" s="3763" t="s">
        <v>3370</v>
      </c>
      <c r="E8" s="3763" t="s">
        <v>3681</v>
      </c>
      <c r="F8" s="3763" t="s">
        <v>3682</v>
      </c>
      <c r="G8" s="3763" t="s">
        <v>3682</v>
      </c>
      <c r="H8" s="3763" t="s">
        <v>3683</v>
      </c>
      <c r="I8" s="3763">
        <v>31920.74</v>
      </c>
      <c r="J8" s="3763">
        <v>70864</v>
      </c>
      <c r="K8" s="3763" t="s">
        <v>3522</v>
      </c>
      <c r="L8" s="3763" t="s">
        <v>3522</v>
      </c>
      <c r="M8" s="3763">
        <v>0</v>
      </c>
      <c r="N8" s="3763">
        <v>0</v>
      </c>
      <c r="O8" s="3763" t="s">
        <v>3585</v>
      </c>
      <c r="P8" s="3763" t="s">
        <v>3375</v>
      </c>
      <c r="Q8" s="3763" t="s">
        <v>3375</v>
      </c>
      <c r="R8" s="3763" t="s">
        <v>3629</v>
      </c>
      <c r="S8" s="3763" t="s">
        <v>3684</v>
      </c>
      <c r="T8" s="3763">
        <v>2.2200000000000002</v>
      </c>
      <c r="U8" s="3763" t="s">
        <v>3522</v>
      </c>
      <c r="V8" s="3763">
        <v>0.25</v>
      </c>
      <c r="W8" s="3763">
        <v>60</v>
      </c>
      <c r="X8" s="3763" t="s">
        <v>3590</v>
      </c>
      <c r="Y8" s="3763" t="s">
        <v>3661</v>
      </c>
      <c r="Z8" s="3763" t="s">
        <v>3591</v>
      </c>
      <c r="AA8" s="3763" t="s">
        <v>3662</v>
      </c>
      <c r="AB8" s="3763" t="s">
        <v>3522</v>
      </c>
      <c r="AC8" s="3763" t="s">
        <v>3522</v>
      </c>
      <c r="AD8" s="3763" t="s">
        <v>3663</v>
      </c>
      <c r="AE8" s="3763" t="s">
        <v>3664</v>
      </c>
      <c r="AF8" s="3763" t="s">
        <v>3665</v>
      </c>
      <c r="AG8" s="3763" t="s">
        <v>3666</v>
      </c>
      <c r="AH8" s="3763" t="s">
        <v>3596</v>
      </c>
      <c r="AI8" s="3763" t="s">
        <v>3597</v>
      </c>
      <c r="AJ8" s="3763" t="s">
        <v>3685</v>
      </c>
      <c r="AK8" s="3763" t="s">
        <v>3686</v>
      </c>
      <c r="AL8" s="3763" t="s">
        <v>3669</v>
      </c>
      <c r="AM8" s="3763" t="s">
        <v>3522</v>
      </c>
      <c r="AN8" s="3763">
        <v>281000</v>
      </c>
      <c r="AO8" s="3763">
        <v>57000</v>
      </c>
      <c r="AP8" s="3763" t="s">
        <v>3671</v>
      </c>
      <c r="AQ8" s="3763">
        <v>323150</v>
      </c>
      <c r="AR8" s="3763">
        <v>88030.54</v>
      </c>
      <c r="AS8" s="3763">
        <v>101235.12</v>
      </c>
      <c r="AT8" s="3763">
        <v>5868.7</v>
      </c>
      <c r="AU8" s="3763">
        <v>6749.01</v>
      </c>
      <c r="AV8" s="3763">
        <v>39653</v>
      </c>
      <c r="AW8" s="3763">
        <v>45601</v>
      </c>
      <c r="AX8" s="3763" t="s">
        <v>3522</v>
      </c>
      <c r="AY8" s="3763" t="s">
        <v>3522</v>
      </c>
      <c r="AZ8" s="3763">
        <v>15</v>
      </c>
      <c r="BA8" s="3763">
        <v>323150</v>
      </c>
      <c r="BB8" s="3763" t="s">
        <v>3602</v>
      </c>
      <c r="BC8" s="3763">
        <v>85000</v>
      </c>
      <c r="BD8" s="3763">
        <v>85000</v>
      </c>
      <c r="BE8" s="3763">
        <v>45601</v>
      </c>
      <c r="BF8" s="3763">
        <v>15</v>
      </c>
      <c r="BG8" s="3763">
        <v>38240</v>
      </c>
      <c r="BH8" s="3763" t="s">
        <v>3687</v>
      </c>
      <c r="BI8" s="3763" t="s">
        <v>3688</v>
      </c>
      <c r="BJ8" s="3763" t="s">
        <v>3323</v>
      </c>
      <c r="BK8" s="3763" t="s">
        <v>3522</v>
      </c>
      <c r="BL8" s="3763" t="s">
        <v>3679</v>
      </c>
      <c r="BM8" s="3763">
        <v>323150</v>
      </c>
    </row>
    <row r="9" spans="1:65">
      <c r="A9" s="3763" t="s">
        <v>3689</v>
      </c>
      <c r="B9" s="3763" t="s">
        <v>3581</v>
      </c>
      <c r="C9" s="3763" t="s">
        <v>1465</v>
      </c>
      <c r="D9" s="3763" t="s">
        <v>3370</v>
      </c>
      <c r="E9" s="3763" t="s">
        <v>3681</v>
      </c>
      <c r="F9" s="3763" t="s">
        <v>3690</v>
      </c>
      <c r="G9" s="3763" t="s">
        <v>3690</v>
      </c>
      <c r="H9" s="3763" t="s">
        <v>3683</v>
      </c>
      <c r="I9" s="3763">
        <v>40508.61</v>
      </c>
      <c r="J9" s="3763">
        <v>56712</v>
      </c>
      <c r="K9" s="3763" t="s">
        <v>3522</v>
      </c>
      <c r="L9" s="3763" t="s">
        <v>3522</v>
      </c>
      <c r="M9" s="3763">
        <v>0</v>
      </c>
      <c r="N9" s="3763">
        <v>0</v>
      </c>
      <c r="O9" s="3763" t="s">
        <v>3585</v>
      </c>
      <c r="P9" s="3763" t="s">
        <v>3375</v>
      </c>
      <c r="Q9" s="3763" t="s">
        <v>3375</v>
      </c>
      <c r="R9" s="3763" t="s">
        <v>3691</v>
      </c>
      <c r="S9" s="3763" t="s">
        <v>3692</v>
      </c>
      <c r="T9" s="3763">
        <v>1.4</v>
      </c>
      <c r="U9" s="3763" t="s">
        <v>3522</v>
      </c>
      <c r="V9" s="3763" t="s">
        <v>3522</v>
      </c>
      <c r="W9" s="3763">
        <v>30</v>
      </c>
      <c r="X9" s="3763" t="s">
        <v>3590</v>
      </c>
      <c r="Y9" s="3763" t="s">
        <v>3693</v>
      </c>
      <c r="Z9" s="3763" t="s">
        <v>3694</v>
      </c>
      <c r="AA9" s="3763" t="s">
        <v>3695</v>
      </c>
      <c r="AB9" s="3763" t="s">
        <v>3522</v>
      </c>
      <c r="AC9" s="3763" t="s">
        <v>3522</v>
      </c>
      <c r="AD9" s="3763" t="s">
        <v>3696</v>
      </c>
      <c r="AE9" s="3763" t="s">
        <v>3697</v>
      </c>
      <c r="AF9" s="3763" t="s">
        <v>3698</v>
      </c>
      <c r="AG9" s="3763" t="s">
        <v>3698</v>
      </c>
      <c r="AH9" s="3763" t="s">
        <v>3596</v>
      </c>
      <c r="AI9" s="3763" t="s">
        <v>3597</v>
      </c>
      <c r="AJ9" s="3763" t="s">
        <v>3635</v>
      </c>
      <c r="AK9" s="3763" t="s">
        <v>3636</v>
      </c>
      <c r="AL9" s="3763" t="s">
        <v>3637</v>
      </c>
      <c r="AM9" s="3763" t="s">
        <v>3522</v>
      </c>
      <c r="AN9" s="3763">
        <v>263000</v>
      </c>
      <c r="AO9" s="3763">
        <v>53000</v>
      </c>
      <c r="AP9" s="3763" t="s">
        <v>3699</v>
      </c>
      <c r="AQ9" s="3763">
        <v>298000</v>
      </c>
      <c r="AR9" s="3763">
        <v>64924.47</v>
      </c>
      <c r="AS9" s="3763">
        <v>73564.61</v>
      </c>
      <c r="AT9" s="3763">
        <v>4328.3</v>
      </c>
      <c r="AU9" s="3763">
        <v>4904.3100000000004</v>
      </c>
      <c r="AV9" s="3763">
        <v>46375</v>
      </c>
      <c r="AW9" s="3763">
        <v>52546</v>
      </c>
      <c r="AX9" s="3763" t="s">
        <v>3522</v>
      </c>
      <c r="AY9" s="3763" t="s">
        <v>3522</v>
      </c>
      <c r="AZ9" s="3763">
        <v>13.31</v>
      </c>
      <c r="BA9" s="3763">
        <v>302450</v>
      </c>
      <c r="BB9" s="3763" t="s">
        <v>3619</v>
      </c>
      <c r="BC9" s="3763">
        <v>89000</v>
      </c>
      <c r="BD9" s="3763">
        <v>89000</v>
      </c>
      <c r="BE9" s="3763">
        <v>53331</v>
      </c>
      <c r="BF9" s="3763">
        <v>15</v>
      </c>
      <c r="BG9" s="3763">
        <v>36453</v>
      </c>
      <c r="BH9" s="3763" t="s">
        <v>3687</v>
      </c>
      <c r="BI9" s="3763" t="s">
        <v>3700</v>
      </c>
      <c r="BJ9" s="3763" t="s">
        <v>3323</v>
      </c>
      <c r="BK9" s="3763" t="s">
        <v>3522</v>
      </c>
      <c r="BL9" s="3763" t="s">
        <v>3701</v>
      </c>
      <c r="BM9" s="3763">
        <v>298000</v>
      </c>
    </row>
    <row r="10" spans="1:65">
      <c r="A10" s="3763" t="s">
        <v>3702</v>
      </c>
      <c r="B10" s="3763" t="s">
        <v>3581</v>
      </c>
      <c r="C10" s="3763" t="s">
        <v>1465</v>
      </c>
      <c r="D10" s="3763" t="s">
        <v>3370</v>
      </c>
      <c r="E10" s="3763" t="s">
        <v>3582</v>
      </c>
      <c r="F10" s="3763" t="s">
        <v>3703</v>
      </c>
      <c r="G10" s="3763" t="s">
        <v>3703</v>
      </c>
      <c r="H10" s="3763" t="s">
        <v>3584</v>
      </c>
      <c r="I10" s="3763">
        <v>34502.36</v>
      </c>
      <c r="J10" s="3763">
        <v>86256</v>
      </c>
      <c r="K10" s="3763" t="s">
        <v>3522</v>
      </c>
      <c r="L10" s="3763" t="s">
        <v>3522</v>
      </c>
      <c r="M10" s="3763">
        <v>0</v>
      </c>
      <c r="N10" s="3763">
        <v>0</v>
      </c>
      <c r="O10" s="3763" t="s">
        <v>3585</v>
      </c>
      <c r="P10" s="3763" t="s">
        <v>3375</v>
      </c>
      <c r="Q10" s="3763" t="s">
        <v>3375</v>
      </c>
      <c r="R10" s="3763" t="s">
        <v>3691</v>
      </c>
      <c r="S10" s="3763" t="s">
        <v>3704</v>
      </c>
      <c r="T10" s="3763">
        <v>2.5</v>
      </c>
      <c r="U10" s="3763" t="s">
        <v>3522</v>
      </c>
      <c r="V10" s="3763" t="s">
        <v>3522</v>
      </c>
      <c r="W10" s="3763">
        <v>60</v>
      </c>
      <c r="X10" s="3763" t="s">
        <v>3590</v>
      </c>
      <c r="Y10" s="3763" t="s">
        <v>3693</v>
      </c>
      <c r="Z10" s="3763" t="s">
        <v>3705</v>
      </c>
      <c r="AA10" s="3763" t="s">
        <v>3695</v>
      </c>
      <c r="AB10" s="3763" t="s">
        <v>3522</v>
      </c>
      <c r="AC10" s="3763" t="s">
        <v>3522</v>
      </c>
      <c r="AD10" s="3763" t="s">
        <v>3696</v>
      </c>
      <c r="AE10" s="3763" t="s">
        <v>3697</v>
      </c>
      <c r="AF10" s="3763" t="s">
        <v>3698</v>
      </c>
      <c r="AG10" s="3763" t="s">
        <v>3698</v>
      </c>
      <c r="AH10" s="3763" t="s">
        <v>3596</v>
      </c>
      <c r="AI10" s="3763" t="s">
        <v>3597</v>
      </c>
      <c r="AJ10" s="3763" t="s">
        <v>3706</v>
      </c>
      <c r="AK10" s="3763" t="s">
        <v>3707</v>
      </c>
      <c r="AL10" s="3763" t="s">
        <v>3708</v>
      </c>
      <c r="AM10" s="3763" t="s">
        <v>3709</v>
      </c>
      <c r="AN10" s="3763">
        <v>388000</v>
      </c>
      <c r="AO10" s="3763">
        <v>78000</v>
      </c>
      <c r="AP10" s="3763" t="s">
        <v>3699</v>
      </c>
      <c r="AQ10" s="3763">
        <v>388000</v>
      </c>
      <c r="AR10" s="3763">
        <v>112456.08</v>
      </c>
      <c r="AS10" s="3763">
        <v>112456.08</v>
      </c>
      <c r="AT10" s="3763">
        <v>7497.07</v>
      </c>
      <c r="AU10" s="3763">
        <v>7497.07</v>
      </c>
      <c r="AV10" s="3763">
        <v>44982</v>
      </c>
      <c r="AW10" s="3763">
        <v>44982</v>
      </c>
      <c r="AX10" s="3763" t="s">
        <v>3522</v>
      </c>
      <c r="AY10" s="3763" t="s">
        <v>3522</v>
      </c>
      <c r="AZ10" s="3763">
        <v>0</v>
      </c>
      <c r="BA10" s="3763">
        <v>446200</v>
      </c>
      <c r="BB10" s="3763" t="s">
        <v>3619</v>
      </c>
      <c r="BC10" s="3763">
        <v>75000</v>
      </c>
      <c r="BD10" s="3763">
        <v>75000</v>
      </c>
      <c r="BE10" s="3763">
        <v>51730</v>
      </c>
      <c r="BF10" s="3763">
        <v>15</v>
      </c>
      <c r="BG10" s="3763">
        <v>30017</v>
      </c>
      <c r="BH10" s="3763" t="s">
        <v>3603</v>
      </c>
      <c r="BI10" s="3763" t="s">
        <v>3710</v>
      </c>
      <c r="BJ10" s="3763" t="s">
        <v>3323</v>
      </c>
      <c r="BK10" s="3763" t="s">
        <v>3522</v>
      </c>
      <c r="BL10" s="3763" t="s">
        <v>3711</v>
      </c>
      <c r="BM10" s="3763">
        <v>388000</v>
      </c>
    </row>
    <row r="11" spans="1:65">
      <c r="A11" s="3763" t="s">
        <v>3712</v>
      </c>
      <c r="B11" s="3763" t="s">
        <v>3581</v>
      </c>
      <c r="C11" s="3763" t="s">
        <v>1465</v>
      </c>
      <c r="D11" s="3763" t="s">
        <v>3370</v>
      </c>
      <c r="E11" s="3763" t="s">
        <v>3713</v>
      </c>
      <c r="F11" s="3763" t="s">
        <v>3714</v>
      </c>
      <c r="G11" s="3763" t="s">
        <v>3714</v>
      </c>
      <c r="H11" s="3763" t="s">
        <v>3715</v>
      </c>
      <c r="I11" s="3763">
        <v>27039.75</v>
      </c>
      <c r="J11" s="3763">
        <v>75711.3</v>
      </c>
      <c r="K11" s="3763" t="s">
        <v>3522</v>
      </c>
      <c r="L11" s="3763" t="s">
        <v>3522</v>
      </c>
      <c r="M11" s="3763">
        <v>0</v>
      </c>
      <c r="N11" s="3763">
        <v>0</v>
      </c>
      <c r="O11" s="3763" t="s">
        <v>3585</v>
      </c>
      <c r="P11" s="3763" t="s">
        <v>3375</v>
      </c>
      <c r="Q11" s="3763" t="s">
        <v>3375</v>
      </c>
      <c r="R11" s="3763" t="s">
        <v>3691</v>
      </c>
      <c r="S11" s="3763" t="s">
        <v>3716</v>
      </c>
      <c r="T11" s="3763">
        <v>2.8</v>
      </c>
      <c r="U11" s="3763" t="s">
        <v>3522</v>
      </c>
      <c r="V11" s="3763" t="s">
        <v>3522</v>
      </c>
      <c r="W11" s="3763">
        <v>80</v>
      </c>
      <c r="X11" s="3763" t="s">
        <v>3590</v>
      </c>
      <c r="Y11" s="3763" t="s">
        <v>3693</v>
      </c>
      <c r="Z11" s="3763" t="s">
        <v>3717</v>
      </c>
      <c r="AA11" s="3763" t="s">
        <v>3717</v>
      </c>
      <c r="AB11" s="3763" t="s">
        <v>3522</v>
      </c>
      <c r="AC11" s="3763" t="s">
        <v>3522</v>
      </c>
      <c r="AD11" s="3763" t="s">
        <v>3696</v>
      </c>
      <c r="AE11" s="3763" t="s">
        <v>3697</v>
      </c>
      <c r="AF11" s="3763" t="s">
        <v>3698</v>
      </c>
      <c r="AG11" s="3763" t="s">
        <v>3718</v>
      </c>
      <c r="AH11" s="3763" t="s">
        <v>3596</v>
      </c>
      <c r="AI11" s="3763" t="s">
        <v>3597</v>
      </c>
      <c r="AJ11" s="3763" t="s">
        <v>3719</v>
      </c>
      <c r="AK11" s="3763" t="s">
        <v>3720</v>
      </c>
      <c r="AL11" s="3763" t="s">
        <v>3637</v>
      </c>
      <c r="AM11" s="3763" t="s">
        <v>3522</v>
      </c>
      <c r="AN11" s="3763">
        <v>581000</v>
      </c>
      <c r="AO11" s="3763">
        <v>116200</v>
      </c>
      <c r="AP11" s="3763" t="s">
        <v>3699</v>
      </c>
      <c r="AQ11" s="3763">
        <v>668150</v>
      </c>
      <c r="AR11" s="3763">
        <v>214868.84</v>
      </c>
      <c r="AS11" s="3763">
        <v>247099.17</v>
      </c>
      <c r="AT11" s="3763">
        <v>14324.59</v>
      </c>
      <c r="AU11" s="3763">
        <v>16473.28</v>
      </c>
      <c r="AV11" s="3763">
        <v>76739</v>
      </c>
      <c r="AW11" s="3763">
        <v>88250</v>
      </c>
      <c r="AX11" s="3763" t="s">
        <v>3522</v>
      </c>
      <c r="AY11" s="3763" t="s">
        <v>3522</v>
      </c>
      <c r="AZ11" s="3763">
        <v>15</v>
      </c>
      <c r="BA11" s="3763">
        <v>668150</v>
      </c>
      <c r="BB11" s="3763" t="s">
        <v>3602</v>
      </c>
      <c r="BC11" s="3763">
        <v>130000</v>
      </c>
      <c r="BD11" s="3763">
        <v>130000</v>
      </c>
      <c r="BE11" s="3763">
        <v>88250</v>
      </c>
      <c r="BF11" s="3763">
        <v>15</v>
      </c>
      <c r="BG11" s="3763">
        <v>41750</v>
      </c>
      <c r="BH11" s="3763" t="s">
        <v>3721</v>
      </c>
      <c r="BI11" s="3763" t="s">
        <v>3722</v>
      </c>
      <c r="BJ11" s="3763" t="s">
        <v>3323</v>
      </c>
      <c r="BK11" s="3763" t="s">
        <v>3522</v>
      </c>
      <c r="BL11" s="3763" t="s">
        <v>3701</v>
      </c>
      <c r="BM11" s="3763">
        <v>668150</v>
      </c>
    </row>
    <row r="12" spans="1:65">
      <c r="A12" s="3763" t="s">
        <v>3723</v>
      </c>
      <c r="B12" s="3763" t="s">
        <v>3581</v>
      </c>
      <c r="C12" s="3763" t="s">
        <v>1465</v>
      </c>
      <c r="D12" s="3763" t="s">
        <v>3370</v>
      </c>
      <c r="E12" s="3763" t="s">
        <v>3724</v>
      </c>
      <c r="F12" s="3763" t="s">
        <v>3725</v>
      </c>
      <c r="G12" s="3763" t="s">
        <v>3725</v>
      </c>
      <c r="H12" s="3763" t="s">
        <v>3726</v>
      </c>
      <c r="I12" s="3763">
        <v>36848.99</v>
      </c>
      <c r="J12" s="3763">
        <v>92122</v>
      </c>
      <c r="K12" s="3763" t="s">
        <v>3522</v>
      </c>
      <c r="L12" s="3763" t="s">
        <v>3522</v>
      </c>
      <c r="M12" s="3763">
        <v>0</v>
      </c>
      <c r="N12" s="3763">
        <v>0</v>
      </c>
      <c r="O12" s="3763" t="s">
        <v>3585</v>
      </c>
      <c r="P12" s="3763" t="s">
        <v>3375</v>
      </c>
      <c r="Q12" s="3763" t="s">
        <v>3375</v>
      </c>
      <c r="R12" s="3763" t="s">
        <v>3588</v>
      </c>
      <c r="S12" s="3763" t="s">
        <v>3646</v>
      </c>
      <c r="T12" s="3763">
        <v>2.5</v>
      </c>
      <c r="U12" s="3763" t="s">
        <v>3522</v>
      </c>
      <c r="V12" s="3763" t="s">
        <v>3522</v>
      </c>
      <c r="W12" s="3763">
        <v>45</v>
      </c>
      <c r="X12" s="3763" t="s">
        <v>3590</v>
      </c>
      <c r="Y12" s="3763" t="s">
        <v>3727</v>
      </c>
      <c r="Z12" s="3763" t="s">
        <v>3728</v>
      </c>
      <c r="AA12" s="3763" t="s">
        <v>3695</v>
      </c>
      <c r="AB12" s="3763" t="s">
        <v>3522</v>
      </c>
      <c r="AC12" s="3763" t="s">
        <v>3522</v>
      </c>
      <c r="AD12" s="3763" t="s">
        <v>3729</v>
      </c>
      <c r="AE12" s="3763" t="s">
        <v>3730</v>
      </c>
      <c r="AF12" s="3763" t="s">
        <v>3731</v>
      </c>
      <c r="AG12" s="3763" t="s">
        <v>3732</v>
      </c>
      <c r="AH12" s="3763" t="s">
        <v>3596</v>
      </c>
      <c r="AI12" s="3763" t="s">
        <v>3597</v>
      </c>
      <c r="AJ12" s="3763" t="s">
        <v>3733</v>
      </c>
      <c r="AK12" s="3763" t="s">
        <v>3734</v>
      </c>
      <c r="AL12" s="3763" t="s">
        <v>3735</v>
      </c>
      <c r="AM12" s="3763" t="s">
        <v>3522</v>
      </c>
      <c r="AN12" s="3763">
        <v>392000</v>
      </c>
      <c r="AO12" s="3763">
        <v>78500</v>
      </c>
      <c r="AP12" s="3763" t="s">
        <v>3736</v>
      </c>
      <c r="AQ12" s="3763">
        <v>424000</v>
      </c>
      <c r="AR12" s="3763">
        <v>106380.12</v>
      </c>
      <c r="AS12" s="3763">
        <v>115064.21</v>
      </c>
      <c r="AT12" s="3763">
        <v>7092.01</v>
      </c>
      <c r="AU12" s="3763">
        <v>7670.95</v>
      </c>
      <c r="AV12" s="3763">
        <v>42552</v>
      </c>
      <c r="AW12" s="3763">
        <v>46026</v>
      </c>
      <c r="AX12" s="3763" t="s">
        <v>3522</v>
      </c>
      <c r="AY12" s="3763" t="s">
        <v>3522</v>
      </c>
      <c r="AZ12" s="3763">
        <v>8.16</v>
      </c>
      <c r="BA12" s="3763">
        <v>431200</v>
      </c>
      <c r="BB12" s="3763" t="s">
        <v>3619</v>
      </c>
      <c r="BC12" s="3763">
        <v>71000</v>
      </c>
      <c r="BD12" s="3763">
        <v>71000</v>
      </c>
      <c r="BE12" s="3763">
        <v>46807</v>
      </c>
      <c r="BF12" s="3763">
        <v>10</v>
      </c>
      <c r="BG12" s="3763">
        <v>24974</v>
      </c>
      <c r="BH12" s="3763" t="s">
        <v>3620</v>
      </c>
      <c r="BI12" s="3763" t="s">
        <v>3737</v>
      </c>
      <c r="BJ12" s="3763" t="s">
        <v>3323</v>
      </c>
      <c r="BK12" s="3763" t="s">
        <v>3522</v>
      </c>
      <c r="BL12" s="3763" t="s">
        <v>3738</v>
      </c>
      <c r="BM12" s="3763">
        <v>424000</v>
      </c>
    </row>
    <row r="13" spans="1:65">
      <c r="A13" s="3763" t="s">
        <v>3739</v>
      </c>
      <c r="B13" s="3763" t="s">
        <v>3581</v>
      </c>
      <c r="C13" s="3763" t="s">
        <v>1465</v>
      </c>
      <c r="D13" s="3763" t="s">
        <v>3370</v>
      </c>
      <c r="E13" s="3763" t="s">
        <v>3607</v>
      </c>
      <c r="F13" s="3763" t="s">
        <v>3740</v>
      </c>
      <c r="G13" s="3763" t="s">
        <v>3740</v>
      </c>
      <c r="H13" s="3763" t="s">
        <v>3741</v>
      </c>
      <c r="I13" s="3763">
        <v>57220.14</v>
      </c>
      <c r="J13" s="3763">
        <v>132000</v>
      </c>
      <c r="K13" s="3763" t="s">
        <v>3522</v>
      </c>
      <c r="L13" s="3763">
        <v>20000</v>
      </c>
      <c r="M13" s="3763">
        <v>0</v>
      </c>
      <c r="N13" s="3763">
        <v>0</v>
      </c>
      <c r="O13" s="3763" t="s">
        <v>3585</v>
      </c>
      <c r="P13" s="3763" t="s">
        <v>3375</v>
      </c>
      <c r="Q13" s="3763" t="s">
        <v>3375</v>
      </c>
      <c r="R13" s="3763" t="s">
        <v>3742</v>
      </c>
      <c r="S13" s="3763" t="s">
        <v>3743</v>
      </c>
      <c r="T13" s="3763">
        <v>2.2999999999999998</v>
      </c>
      <c r="U13" s="3763" t="s">
        <v>3522</v>
      </c>
      <c r="V13" s="3763" t="s">
        <v>3522</v>
      </c>
      <c r="W13" s="3763">
        <v>80</v>
      </c>
      <c r="X13" s="3763" t="s">
        <v>3590</v>
      </c>
      <c r="Y13" s="3763" t="s">
        <v>3744</v>
      </c>
      <c r="Z13" s="3763" t="s">
        <v>3745</v>
      </c>
      <c r="AA13" s="3763" t="s">
        <v>3695</v>
      </c>
      <c r="AB13" s="3763" t="s">
        <v>3746</v>
      </c>
      <c r="AC13" s="3763" t="s">
        <v>3747</v>
      </c>
      <c r="AD13" s="3763" t="s">
        <v>3748</v>
      </c>
      <c r="AE13" s="3763" t="s">
        <v>3749</v>
      </c>
      <c r="AF13" s="3763" t="s">
        <v>3750</v>
      </c>
      <c r="AG13" s="3763" t="s">
        <v>3750</v>
      </c>
      <c r="AH13" s="3763" t="s">
        <v>3596</v>
      </c>
      <c r="AI13" s="3763" t="s">
        <v>3597</v>
      </c>
      <c r="AJ13" s="3763" t="s">
        <v>3751</v>
      </c>
      <c r="AK13" s="3763" t="s">
        <v>3752</v>
      </c>
      <c r="AL13" s="3763" t="s">
        <v>3708</v>
      </c>
      <c r="AM13" s="3763" t="s">
        <v>3677</v>
      </c>
      <c r="AN13" s="3763">
        <v>561000</v>
      </c>
      <c r="AO13" s="3763">
        <v>112200</v>
      </c>
      <c r="AP13" s="3763" t="s">
        <v>3753</v>
      </c>
      <c r="AQ13" s="3763">
        <v>561000</v>
      </c>
      <c r="AR13" s="3763">
        <v>98042.41</v>
      </c>
      <c r="AS13" s="3763">
        <v>98042.41</v>
      </c>
      <c r="AT13" s="3763">
        <v>6536.16</v>
      </c>
      <c r="AU13" s="3763">
        <v>6536.16</v>
      </c>
      <c r="AV13" s="3763">
        <v>42500</v>
      </c>
      <c r="AW13" s="3763">
        <v>42500</v>
      </c>
      <c r="AX13" s="3763" t="s">
        <v>3522</v>
      </c>
      <c r="AY13" s="3763">
        <v>50089</v>
      </c>
      <c r="AZ13" s="3763">
        <v>0</v>
      </c>
      <c r="BA13" s="3763">
        <v>589050</v>
      </c>
      <c r="BB13" s="3763" t="s">
        <v>3619</v>
      </c>
      <c r="BC13" s="3763">
        <v>81000</v>
      </c>
      <c r="BD13" s="3763">
        <v>81000</v>
      </c>
      <c r="BE13" s="3763">
        <v>44625</v>
      </c>
      <c r="BF13" s="3763">
        <v>5</v>
      </c>
      <c r="BG13" s="3763">
        <v>30910</v>
      </c>
      <c r="BH13" s="3763" t="s">
        <v>3620</v>
      </c>
      <c r="BI13" s="3763" t="s">
        <v>3754</v>
      </c>
      <c r="BJ13" s="3763" t="s">
        <v>3323</v>
      </c>
      <c r="BK13" s="3763" t="s">
        <v>3522</v>
      </c>
      <c r="BL13" s="3763" t="s">
        <v>3755</v>
      </c>
      <c r="BM13" s="3763">
        <v>561000</v>
      </c>
    </row>
    <row r="14" spans="1:65">
      <c r="A14" s="3763" t="s">
        <v>3756</v>
      </c>
      <c r="B14" s="3763" t="s">
        <v>3581</v>
      </c>
      <c r="C14" s="3763" t="s">
        <v>1465</v>
      </c>
      <c r="D14" s="3763" t="s">
        <v>3370</v>
      </c>
      <c r="E14" s="3763" t="s">
        <v>3607</v>
      </c>
      <c r="F14" s="3763" t="s">
        <v>3757</v>
      </c>
      <c r="G14" s="3763" t="s">
        <v>3757</v>
      </c>
      <c r="H14" s="3763" t="s">
        <v>3741</v>
      </c>
      <c r="I14" s="3763">
        <v>76681.88</v>
      </c>
      <c r="J14" s="3763">
        <v>137000</v>
      </c>
      <c r="K14" s="3763" t="s">
        <v>3522</v>
      </c>
      <c r="L14" s="3763" t="s">
        <v>3522</v>
      </c>
      <c r="M14" s="3763">
        <v>0</v>
      </c>
      <c r="N14" s="3763">
        <v>0</v>
      </c>
      <c r="O14" s="3763" t="s">
        <v>3585</v>
      </c>
      <c r="P14" s="3763" t="s">
        <v>3375</v>
      </c>
      <c r="Q14" s="3763" t="s">
        <v>3375</v>
      </c>
      <c r="R14" s="3763" t="s">
        <v>3758</v>
      </c>
      <c r="S14" s="3763" t="s">
        <v>3759</v>
      </c>
      <c r="T14" s="3763">
        <v>1.8</v>
      </c>
      <c r="U14" s="3763" t="s">
        <v>3522</v>
      </c>
      <c r="V14" s="3763" t="s">
        <v>3522</v>
      </c>
      <c r="W14" s="3763">
        <v>80</v>
      </c>
      <c r="X14" s="3763" t="s">
        <v>3590</v>
      </c>
      <c r="Y14" s="3763" t="s">
        <v>3744</v>
      </c>
      <c r="Z14" s="3763" t="s">
        <v>3745</v>
      </c>
      <c r="AA14" s="3763" t="s">
        <v>3695</v>
      </c>
      <c r="AB14" s="3763" t="s">
        <v>3522</v>
      </c>
      <c r="AC14" s="3763" t="s">
        <v>3522</v>
      </c>
      <c r="AD14" s="3763" t="s">
        <v>3748</v>
      </c>
      <c r="AE14" s="3763" t="s">
        <v>3749</v>
      </c>
      <c r="AF14" s="3763" t="s">
        <v>3750</v>
      </c>
      <c r="AG14" s="3763" t="s">
        <v>3750</v>
      </c>
      <c r="AH14" s="3763" t="s">
        <v>3596</v>
      </c>
      <c r="AI14" s="3763" t="s">
        <v>3760</v>
      </c>
      <c r="AJ14" s="3763" t="s">
        <v>3751</v>
      </c>
      <c r="AK14" s="3763" t="s">
        <v>3761</v>
      </c>
      <c r="AL14" s="3763" t="s">
        <v>3708</v>
      </c>
      <c r="AM14" s="3763" t="s">
        <v>3709</v>
      </c>
      <c r="AN14" s="3763">
        <v>707000</v>
      </c>
      <c r="AO14" s="3763">
        <v>142000</v>
      </c>
      <c r="AP14" s="3763" t="s">
        <v>3753</v>
      </c>
      <c r="AQ14" s="3763">
        <v>707000</v>
      </c>
      <c r="AR14" s="3763">
        <v>92199.09</v>
      </c>
      <c r="AS14" s="3763">
        <v>92199.09</v>
      </c>
      <c r="AT14" s="3763">
        <v>6146.61</v>
      </c>
      <c r="AU14" s="3763">
        <v>6146.61</v>
      </c>
      <c r="AV14" s="3763">
        <v>51606</v>
      </c>
      <c r="AW14" s="3763">
        <v>51606</v>
      </c>
      <c r="AX14" s="3763" t="s">
        <v>3522</v>
      </c>
      <c r="AY14" s="3763" t="s">
        <v>3522</v>
      </c>
      <c r="AZ14" s="3763">
        <v>0</v>
      </c>
      <c r="BA14" s="3763">
        <v>742350</v>
      </c>
      <c r="BB14" s="3763" t="s">
        <v>3619</v>
      </c>
      <c r="BC14" s="3763">
        <v>86000</v>
      </c>
      <c r="BD14" s="3763">
        <v>86000</v>
      </c>
      <c r="BE14" s="3763">
        <v>54186</v>
      </c>
      <c r="BF14" s="3763">
        <v>5</v>
      </c>
      <c r="BG14" s="3763">
        <v>34394</v>
      </c>
      <c r="BH14" s="3763" t="s">
        <v>3620</v>
      </c>
      <c r="BI14" s="3763" t="s">
        <v>3522</v>
      </c>
      <c r="BJ14" s="3763" t="s">
        <v>3323</v>
      </c>
      <c r="BK14" s="3763" t="s">
        <v>3522</v>
      </c>
      <c r="BL14" s="3763" t="s">
        <v>3755</v>
      </c>
      <c r="BM14" s="3763">
        <v>707000</v>
      </c>
    </row>
    <row r="15" spans="1:65">
      <c r="A15" s="3763" t="s">
        <v>3762</v>
      </c>
      <c r="B15" s="3763" t="s">
        <v>3581</v>
      </c>
      <c r="C15" s="3763" t="s">
        <v>1465</v>
      </c>
      <c r="D15" s="3763" t="s">
        <v>3370</v>
      </c>
      <c r="E15" s="3763" t="s">
        <v>3763</v>
      </c>
      <c r="F15" s="3763" t="s">
        <v>3764</v>
      </c>
      <c r="G15" s="3763" t="s">
        <v>3764</v>
      </c>
      <c r="H15" s="3763" t="s">
        <v>3765</v>
      </c>
      <c r="I15" s="3763">
        <v>21711.13</v>
      </c>
      <c r="J15" s="3763">
        <v>47764</v>
      </c>
      <c r="K15" s="3763" t="s">
        <v>3522</v>
      </c>
      <c r="L15" s="3763" t="s">
        <v>3522</v>
      </c>
      <c r="M15" s="3763">
        <v>0</v>
      </c>
      <c r="N15" s="3763">
        <v>0</v>
      </c>
      <c r="O15" s="3763" t="s">
        <v>3585</v>
      </c>
      <c r="P15" s="3763" t="s">
        <v>3375</v>
      </c>
      <c r="Q15" s="3763" t="s">
        <v>3375</v>
      </c>
      <c r="R15" s="3763" t="s">
        <v>3766</v>
      </c>
      <c r="S15" s="3763" t="s">
        <v>3767</v>
      </c>
      <c r="T15" s="3763">
        <v>2.2000000000000002</v>
      </c>
      <c r="U15" s="3763" t="s">
        <v>3522</v>
      </c>
      <c r="V15" s="3763" t="s">
        <v>3522</v>
      </c>
      <c r="W15" s="3763">
        <v>45</v>
      </c>
      <c r="X15" s="3763" t="s">
        <v>3590</v>
      </c>
      <c r="Y15" s="3763" t="s">
        <v>3744</v>
      </c>
      <c r="Z15" s="3763" t="s">
        <v>3745</v>
      </c>
      <c r="AA15" s="3763" t="s">
        <v>3695</v>
      </c>
      <c r="AB15" s="3763" t="s">
        <v>3522</v>
      </c>
      <c r="AC15" s="3763" t="s">
        <v>3522</v>
      </c>
      <c r="AD15" s="3763" t="s">
        <v>3748</v>
      </c>
      <c r="AE15" s="3763" t="s">
        <v>3749</v>
      </c>
      <c r="AF15" s="3763" t="s">
        <v>3750</v>
      </c>
      <c r="AG15" s="3763" t="s">
        <v>3750</v>
      </c>
      <c r="AH15" s="3763" t="s">
        <v>3596</v>
      </c>
      <c r="AI15" s="3763" t="s">
        <v>3597</v>
      </c>
      <c r="AJ15" s="3763" t="s">
        <v>3768</v>
      </c>
      <c r="AK15" s="3763" t="s">
        <v>3769</v>
      </c>
      <c r="AL15" s="3763" t="s">
        <v>3770</v>
      </c>
      <c r="AM15" s="3763" t="s">
        <v>3522</v>
      </c>
      <c r="AN15" s="3763">
        <v>208000</v>
      </c>
      <c r="AO15" s="3763">
        <v>42000</v>
      </c>
      <c r="AP15" s="3763" t="s">
        <v>3753</v>
      </c>
      <c r="AQ15" s="3763">
        <v>208000</v>
      </c>
      <c r="AR15" s="3763">
        <v>95803.4</v>
      </c>
      <c r="AS15" s="3763">
        <v>95803.4</v>
      </c>
      <c r="AT15" s="3763">
        <v>6386.89</v>
      </c>
      <c r="AU15" s="3763">
        <v>6386.89</v>
      </c>
      <c r="AV15" s="3763">
        <v>43547</v>
      </c>
      <c r="AW15" s="3763">
        <v>43547</v>
      </c>
      <c r="AX15" s="3763" t="s">
        <v>3522</v>
      </c>
      <c r="AY15" s="3763" t="s">
        <v>3522</v>
      </c>
      <c r="AZ15" s="3763">
        <v>0</v>
      </c>
      <c r="BA15" s="3763">
        <v>218400</v>
      </c>
      <c r="BB15" s="3763" t="s">
        <v>3619</v>
      </c>
      <c r="BC15" s="3763">
        <v>69800</v>
      </c>
      <c r="BD15" s="3763">
        <v>69800</v>
      </c>
      <c r="BE15" s="3763">
        <v>45725</v>
      </c>
      <c r="BF15" s="3763">
        <v>5</v>
      </c>
      <c r="BG15" s="3763">
        <v>26252</v>
      </c>
      <c r="BH15" s="3763" t="s">
        <v>3687</v>
      </c>
      <c r="BI15" s="3763" t="s">
        <v>3771</v>
      </c>
      <c r="BJ15" s="3763" t="s">
        <v>3323</v>
      </c>
      <c r="BK15" s="3763" t="s">
        <v>3522</v>
      </c>
      <c r="BL15" s="3763" t="s">
        <v>3755</v>
      </c>
      <c r="BM15" s="3763">
        <v>208000</v>
      </c>
    </row>
    <row r="16" spans="1:65">
      <c r="A16" s="3763" t="s">
        <v>3772</v>
      </c>
      <c r="B16" s="3763" t="s">
        <v>3581</v>
      </c>
      <c r="C16" s="3763" t="s">
        <v>1465</v>
      </c>
      <c r="D16" s="3763" t="s">
        <v>3370</v>
      </c>
      <c r="E16" s="3763" t="s">
        <v>3607</v>
      </c>
      <c r="F16" s="3763" t="s">
        <v>3773</v>
      </c>
      <c r="G16" s="3763" t="s">
        <v>3773</v>
      </c>
      <c r="H16" s="3763" t="s">
        <v>3741</v>
      </c>
      <c r="I16" s="3763">
        <v>63959.72</v>
      </c>
      <c r="J16" s="3763">
        <v>94000</v>
      </c>
      <c r="K16" s="3763" t="s">
        <v>3522</v>
      </c>
      <c r="L16" s="3763" t="s">
        <v>3522</v>
      </c>
      <c r="M16" s="3763">
        <v>0</v>
      </c>
      <c r="N16" s="3763">
        <v>0</v>
      </c>
      <c r="O16" s="3763" t="s">
        <v>3585</v>
      </c>
      <c r="P16" s="3763" t="s">
        <v>3375</v>
      </c>
      <c r="Q16" s="3763" t="s">
        <v>3375</v>
      </c>
      <c r="R16" s="3763" t="s">
        <v>3774</v>
      </c>
      <c r="S16" s="3763" t="s">
        <v>3775</v>
      </c>
      <c r="T16" s="3763">
        <v>1.47</v>
      </c>
      <c r="U16" s="3763" t="s">
        <v>3522</v>
      </c>
      <c r="V16" s="3763" t="s">
        <v>3522</v>
      </c>
      <c r="W16" s="3763">
        <v>80</v>
      </c>
      <c r="X16" s="3763" t="s">
        <v>3590</v>
      </c>
      <c r="Y16" s="3763" t="s">
        <v>3744</v>
      </c>
      <c r="Z16" s="3763" t="s">
        <v>3745</v>
      </c>
      <c r="AA16" s="3763" t="s">
        <v>3695</v>
      </c>
      <c r="AB16" s="3763" t="s">
        <v>3522</v>
      </c>
      <c r="AC16" s="3763" t="s">
        <v>3522</v>
      </c>
      <c r="AD16" s="3763" t="s">
        <v>3748</v>
      </c>
      <c r="AE16" s="3763" t="s">
        <v>3749</v>
      </c>
      <c r="AF16" s="3763" t="s">
        <v>3750</v>
      </c>
      <c r="AG16" s="3763" t="s">
        <v>3750</v>
      </c>
      <c r="AH16" s="3763" t="s">
        <v>3596</v>
      </c>
      <c r="AI16" s="3763" t="s">
        <v>3597</v>
      </c>
      <c r="AJ16" s="3763" t="s">
        <v>3751</v>
      </c>
      <c r="AK16" s="3763" t="s">
        <v>3761</v>
      </c>
      <c r="AL16" s="3763" t="s">
        <v>3708</v>
      </c>
      <c r="AM16" s="3763" t="s">
        <v>3709</v>
      </c>
      <c r="AN16" s="3763">
        <v>485000</v>
      </c>
      <c r="AO16" s="3763">
        <v>97000</v>
      </c>
      <c r="AP16" s="3763" t="s">
        <v>3753</v>
      </c>
      <c r="AQ16" s="3763">
        <v>485000</v>
      </c>
      <c r="AR16" s="3763">
        <v>75828.98</v>
      </c>
      <c r="AS16" s="3763">
        <v>75828.98</v>
      </c>
      <c r="AT16" s="3763">
        <v>5055.26</v>
      </c>
      <c r="AU16" s="3763">
        <v>5055.26</v>
      </c>
      <c r="AV16" s="3763">
        <v>51596</v>
      </c>
      <c r="AW16" s="3763">
        <v>51596</v>
      </c>
      <c r="AX16" s="3763" t="s">
        <v>3522</v>
      </c>
      <c r="AY16" s="3763" t="s">
        <v>3522</v>
      </c>
      <c r="AZ16" s="3763">
        <v>0</v>
      </c>
      <c r="BA16" s="3763">
        <v>509250</v>
      </c>
      <c r="BB16" s="3763" t="s">
        <v>3619</v>
      </c>
      <c r="BC16" s="3763">
        <v>86000</v>
      </c>
      <c r="BD16" s="3763">
        <v>86000</v>
      </c>
      <c r="BE16" s="3763">
        <v>54176</v>
      </c>
      <c r="BF16" s="3763">
        <v>5</v>
      </c>
      <c r="BG16" s="3763">
        <v>34404</v>
      </c>
      <c r="BH16" s="3763" t="s">
        <v>3620</v>
      </c>
      <c r="BI16" s="3763" t="s">
        <v>3522</v>
      </c>
      <c r="BJ16" s="3763" t="s">
        <v>3323</v>
      </c>
      <c r="BK16" s="3763" t="s">
        <v>3522</v>
      </c>
      <c r="BL16" s="3763" t="s">
        <v>3755</v>
      </c>
      <c r="BM16" s="3763">
        <v>485000</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90" zoomScaleNormal="60" zoomScaleSheetLayoutView="90" workbookViewId="0">
      <selection activeCell="I30" sqref="I3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12896.08</v>
      </c>
      <c r="E1" s="1261" t="s">
        <v>1779</v>
      </c>
      <c r="F1" s="2105">
        <f>'数据-基础表'!A3</f>
        <v>12896.08</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42727</v>
      </c>
      <c r="C2" s="1262" t="s">
        <v>849</v>
      </c>
      <c r="D2" s="1263" t="s">
        <v>850</v>
      </c>
      <c r="E2" s="1264" t="s">
        <v>851</v>
      </c>
      <c r="F2" s="1263" t="s">
        <v>852</v>
      </c>
      <c r="G2" s="1457" t="str">
        <f>IF(E2="商业",项目基本情况!B43,IF(E2="办公",项目基本情况!C43,IF(E2="住宅",项目基本情况!D43,IF(E2="工业",项目基本情况!E43,项目基本情况!F43))))</f>
        <v>三级</v>
      </c>
      <c r="H2" s="1263" t="s">
        <v>854</v>
      </c>
      <c r="I2" s="1458" t="str">
        <f>IF(E2="商业",项目基本情况!B44,IF(E2="办公",项目基本情况!C44,IF(E2="住宅",项目基本情况!D44,IF(E2="工业",项目基本情况!E44,项目基本情况!F44))))</f>
        <v>Ⅲ—13</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49761</v>
      </c>
      <c r="U2" s="2406"/>
      <c r="V2" s="2416">
        <f>ROUND(T2*U2/10000,0)</f>
        <v>0</v>
      </c>
      <c r="W2" s="1911"/>
      <c r="X2" s="1911"/>
      <c r="Y2" s="1911"/>
      <c r="Z2" s="1911"/>
      <c r="AA2" s="1911"/>
      <c r="AB2" s="1911"/>
      <c r="AC2" s="1912"/>
    </row>
    <row r="3" spans="1:39" ht="15.6">
      <c r="A3" s="1266" t="s">
        <v>1220</v>
      </c>
      <c r="B3" s="991">
        <f>ROUND(B2*10000/D1,0)</f>
        <v>33132</v>
      </c>
      <c r="C3" s="1262" t="s">
        <v>855</v>
      </c>
      <c r="D3" s="1263" t="s">
        <v>856</v>
      </c>
      <c r="E3" s="1267" t="s">
        <v>3344</v>
      </c>
      <c r="F3" s="1268" t="s">
        <v>3345</v>
      </c>
      <c r="G3" s="992">
        <f>IF(F3="宗地容积率",'数据-汇总表'!I4,IF(F3="估价对象容积率",'数据-汇总表'!I6,'数据-汇总表'!I7))</f>
        <v>2.5</v>
      </c>
      <c r="H3" s="1269" t="s">
        <v>857</v>
      </c>
      <c r="I3" s="993"/>
      <c r="J3" s="1265" t="s">
        <v>858</v>
      </c>
      <c r="K3" s="2975"/>
      <c r="L3" s="1641" t="s">
        <v>1599</v>
      </c>
      <c r="M3" s="1642">
        <f>SUMPRODUCT((区片价!B30:B54=I2)*(区片价!C3:G3=E2)*(区片价!C30:G54))</f>
        <v>24350</v>
      </c>
      <c r="N3" s="1643">
        <f>SUMPRODUCT((因素修正幅度!B30:B54=I2)*(因素修正幅度!C3:G3=E2)*(因素修正幅度!C30:G54))</f>
        <v>7.1999999999999995E-2</v>
      </c>
      <c r="O3" s="2975"/>
      <c r="P3" s="1911"/>
      <c r="Q3" s="1911"/>
      <c r="R3" s="2416">
        <v>2</v>
      </c>
      <c r="S3" s="2416">
        <f>ROUND(SUMPRODUCT((B107:B111=R3)*(C106:N106=G2)*(C107:N111)),4)</f>
        <v>1.1838</v>
      </c>
      <c r="T3" s="2416">
        <f t="shared" ref="T3:T16" si="0">ROUND($C$5*$C$22*$C$23*$C$24*S3*$C$28,0)</f>
        <v>39222</v>
      </c>
      <c r="U3" s="2406"/>
      <c r="V3" s="2416">
        <f t="shared" ref="V3:V16" si="1">ROUND(T3*U3/10000,0)</f>
        <v>0</v>
      </c>
      <c r="W3" s="1911"/>
      <c r="X3" s="1911"/>
      <c r="Y3" s="1911"/>
      <c r="Z3" s="1911"/>
      <c r="AA3" s="1911"/>
      <c r="AB3" s="1911"/>
      <c r="AC3" s="1912"/>
    </row>
    <row r="4" spans="1:39" ht="31.2">
      <c r="A4" s="1647" t="s">
        <v>1638</v>
      </c>
      <c r="B4" s="2106">
        <f>ROUND(B2*10000/F1,0)</f>
        <v>33132</v>
      </c>
      <c r="C4" s="1650" t="s">
        <v>1613</v>
      </c>
      <c r="D4" s="1650">
        <f>ROUND(B2/(F1/666.67),0)</f>
        <v>2209</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33149</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29532</v>
      </c>
      <c r="D5" s="2548">
        <f>ROUND(C6*C17+C20,0)</f>
        <v>24350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29236</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24350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28096</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3191</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三级</v>
      </c>
      <c r="Y7" s="2407" t="s">
        <v>2047</v>
      </c>
      <c r="Z7" s="2408">
        <f>G3</f>
        <v>2.5</v>
      </c>
      <c r="AA7" s="1914"/>
      <c r="AB7" s="1914"/>
      <c r="AC7" s="1915"/>
      <c r="AD7" s="2409"/>
      <c r="AE7" s="2409"/>
      <c r="AF7" s="2409"/>
      <c r="AG7" s="2409"/>
      <c r="AH7" s="2409"/>
      <c r="AI7" s="2409"/>
      <c r="AJ7" s="2410"/>
    </row>
    <row r="8" spans="1:39" ht="15">
      <c r="A8" s="3532"/>
      <c r="B8" s="1269" t="s">
        <v>862</v>
      </c>
      <c r="C8" s="3533"/>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44" t="s">
        <v>2060</v>
      </c>
      <c r="X8" s="394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43"/>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43"/>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3192</v>
      </c>
      <c r="B12" s="3507" t="s">
        <v>3193</v>
      </c>
      <c r="C12" s="3513">
        <v>1</v>
      </c>
      <c r="D12" s="3508" t="s">
        <v>3194</v>
      </c>
      <c r="E12" s="3509" t="s">
        <v>3195</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3196</v>
      </c>
      <c r="B13" s="1283" t="s">
        <v>874</v>
      </c>
      <c r="C13" s="3527">
        <f>ROUND(C16*D16*E16*F16*G16*H16*I16*J16,4)</f>
        <v>1.2128000000000001</v>
      </c>
      <c r="D13" s="3545" t="s">
        <v>3197</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3198</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3346</v>
      </c>
      <c r="D15" s="3553" t="s">
        <v>3346</v>
      </c>
      <c r="E15" s="3554" t="s">
        <v>3347</v>
      </c>
      <c r="F15" s="3554"/>
      <c r="G15" s="3516" t="s">
        <v>3199</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1.1000000000000001</v>
      </c>
      <c r="D16" s="3514">
        <v>1.05</v>
      </c>
      <c r="E16" s="3514">
        <v>1.05</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3200</v>
      </c>
      <c r="B17" s="3557" t="s">
        <v>3201</v>
      </c>
      <c r="C17" s="3565">
        <f>ROUND(IF(OR(E2="工业",E2="公共服务"),1,IF(AND(E18=0,E19=0),1,IF(AND(E18=J24,E19=G19),0.8,IF(E19=0,1+E17*(-0.2),1+E17*G17*(-0.2))))),4)</f>
        <v>1</v>
      </c>
      <c r="D17" s="3558" t="s">
        <v>3202</v>
      </c>
      <c r="E17" s="3565">
        <f>ROUND(G18/I18,2)</f>
        <v>0</v>
      </c>
      <c r="F17" s="3558" t="s">
        <v>3205</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3203</v>
      </c>
      <c r="E18" s="3564"/>
      <c r="F18" s="3561" t="s">
        <v>3206</v>
      </c>
      <c r="G18" s="3563">
        <f>ROUND(1-(1/(POWER(1+G24,E18))),4)</f>
        <v>0</v>
      </c>
      <c r="H18" s="3561" t="s">
        <v>3208</v>
      </c>
      <c r="I18" s="3563">
        <f>ROUND(1-(1/(POWER(1+G24,J24))),4)</f>
        <v>0.96709999999999996</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3204</v>
      </c>
      <c r="E19" s="3566"/>
      <c r="F19" s="3562" t="s">
        <v>3207</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37" t="s">
        <v>1370</v>
      </c>
      <c r="B20" s="1278" t="s">
        <v>875</v>
      </c>
      <c r="C20" s="998">
        <f>ROUND(IF(F21="与级别开发程度一致",0,(G21-E21)/C21),0)</f>
        <v>0</v>
      </c>
      <c r="D20" s="3949" t="s">
        <v>879</v>
      </c>
      <c r="E20" s="3950"/>
      <c r="F20" s="3949" t="s">
        <v>876</v>
      </c>
      <c r="G20" s="3950"/>
      <c r="H20" s="1291" t="s">
        <v>2765</v>
      </c>
      <c r="I20" s="1291" t="s">
        <v>2766</v>
      </c>
      <c r="J20" s="1291" t="s">
        <v>2767</v>
      </c>
      <c r="K20" s="1291" t="s">
        <v>2768</v>
      </c>
      <c r="L20" s="1291" t="s">
        <v>2769</v>
      </c>
      <c r="M20" s="1291" t="s">
        <v>2770</v>
      </c>
      <c r="N20" s="1291" t="s">
        <v>2771</v>
      </c>
      <c r="O20" s="2606" t="s">
        <v>2772</v>
      </c>
      <c r="P20" s="1911"/>
      <c r="Q20" s="1914"/>
      <c r="R20" s="1917"/>
      <c r="S20" s="1917"/>
      <c r="T20" s="1917"/>
      <c r="U20" s="1917"/>
      <c r="V20" s="1917"/>
      <c r="W20" s="1917"/>
      <c r="X20" s="1917"/>
      <c r="Y20" s="1295"/>
      <c r="Z20" s="1295"/>
      <c r="AA20" s="1295"/>
      <c r="AB20" s="1295"/>
      <c r="AC20" s="1295"/>
      <c r="AD20" s="1295"/>
    </row>
    <row r="21" spans="1:40" s="1276" customFormat="1" ht="24.6" thickBot="1">
      <c r="A21" s="3938"/>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3348</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1.0798000000000001</v>
      </c>
      <c r="D23" s="1297" t="s">
        <v>882</v>
      </c>
      <c r="E23" s="1000">
        <v>44197</v>
      </c>
      <c r="F23" s="1297" t="s">
        <v>883</v>
      </c>
      <c r="G23" s="1001">
        <f>'数据-取费表'!B2</f>
        <v>45833</v>
      </c>
      <c r="H23" s="1298" t="s">
        <v>2247</v>
      </c>
      <c r="I23" s="2266" t="str">
        <f>IF(H23="季度增幅（自定义）",SUMIF(N25:N28,E2,O25:O28),"")</f>
        <v/>
      </c>
      <c r="J23" s="3567" t="s">
        <v>3258</v>
      </c>
      <c r="K23" s="2977"/>
      <c r="L23" s="2511" t="s">
        <v>2116</v>
      </c>
      <c r="M23" s="2512">
        <f>ROUND(SUMIF(地价!B2:F2,E2,地价!B41:F41),0)</f>
        <v>423</v>
      </c>
      <c r="N23" s="2268" t="s">
        <v>1211</v>
      </c>
      <c r="O23" s="2267">
        <f>ROUNDDOWN(DATEDIF(E23,G23,"M")/3,0)</f>
        <v>17</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3209</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1.0389999999999999</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42727</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33132</v>
      </c>
      <c r="D33" s="1326">
        <f>F1</f>
        <v>12896.08</v>
      </c>
      <c r="E33" s="1635">
        <f>ROUND(C33*D33/10000,0)</f>
        <v>42727</v>
      </c>
      <c r="F33" s="3569" t="s">
        <v>3211</v>
      </c>
      <c r="G33" s="1327"/>
      <c r="H33" s="1327"/>
      <c r="I33" s="1327"/>
      <c r="J33" s="1328"/>
      <c r="K33" s="2985"/>
      <c r="L33" s="3639" t="s">
        <v>3237</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8283</v>
      </c>
      <c r="D34" s="1331"/>
      <c r="E34" s="1635">
        <f>ROUND(IF(B25="楼层修正",SUM(V2:V16)*#REF!,C34*D34/10000),0)</f>
        <v>0</v>
      </c>
      <c r="F34" s="3570" t="s">
        <v>3212</v>
      </c>
      <c r="G34" s="1332"/>
      <c r="H34" s="1332"/>
      <c r="I34" s="1332"/>
      <c r="J34" s="1333"/>
      <c r="K34" s="2978"/>
      <c r="L34" s="3639" t="s">
        <v>3238</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3239</v>
      </c>
      <c r="L36" s="3643">
        <f ca="1">'数据-取费表'!B40</f>
        <v>0.03</v>
      </c>
      <c r="M36" s="3644">
        <f ca="1">ROUND($L$36*(1+M31),3)</f>
        <v>3.7999999999999999E-2</v>
      </c>
      <c r="N36" s="3644">
        <f ca="1">ROUND($L$36*(1+N31),3)</f>
        <v>3.5999999999999997E-2</v>
      </c>
      <c r="O36" s="3644">
        <f ca="1">ROUND($L$36*(1+O31),3)</f>
        <v>3.5000000000000003E-2</v>
      </c>
      <c r="P36" s="3644">
        <f ca="1">ROUND($L$36*(1+P31),3)</f>
        <v>3.3000000000000002E-2</v>
      </c>
      <c r="Q36" s="3644">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41"/>
      <c r="B37" s="1344" t="s">
        <v>923</v>
      </c>
      <c r="C37" s="1005">
        <f>ROUND(D5*C22*C23*C24*C28*F37,0)</f>
        <v>16391</v>
      </c>
      <c r="D37" s="1356"/>
      <c r="E37" s="996">
        <f>ROUND(C37*D37/10000,0)</f>
        <v>0</v>
      </c>
      <c r="F37" s="996">
        <f>SUMIF(修正!A57:A68,G2,修正!B57:B68)</f>
        <v>0.6</v>
      </c>
      <c r="G37" s="996">
        <f>ROUND(IF(E2="工业",C37*$M$42,C37*$M$41),0)</f>
        <v>4098</v>
      </c>
      <c r="H37" s="996">
        <f>D37</f>
        <v>0</v>
      </c>
      <c r="I37" s="996">
        <f>ROUND(G37*H37/10000,0)</f>
        <v>0</v>
      </c>
      <c r="J37" s="3941"/>
      <c r="K37" s="3642" t="s">
        <v>3240</v>
      </c>
      <c r="L37" s="3643">
        <f ca="1">L36+K38</f>
        <v>3.4999999999999996E-2</v>
      </c>
      <c r="M37" s="3644">
        <f ca="1">ROUND($L$37*(1+M31),3)</f>
        <v>4.3999999999999997E-2</v>
      </c>
      <c r="N37" s="3644">
        <f t="shared" ref="N37:Q37" ca="1" si="3">ROUND($L$37*(1+N31),3)</f>
        <v>4.2000000000000003E-2</v>
      </c>
      <c r="O37" s="3644">
        <f t="shared" ca="1" si="3"/>
        <v>0.04</v>
      </c>
      <c r="P37" s="3644">
        <f t="shared" ca="1" si="3"/>
        <v>3.9E-2</v>
      </c>
      <c r="Q37" s="3644">
        <f t="shared" ca="1" si="3"/>
        <v>0.04</v>
      </c>
      <c r="R37" s="1912"/>
      <c r="S37" s="1912"/>
      <c r="T37" s="1912"/>
      <c r="U37" s="1912"/>
      <c r="V37" s="1912"/>
      <c r="W37" s="1911"/>
      <c r="X37" s="1911"/>
      <c r="Y37" s="1911"/>
      <c r="Z37" s="1911"/>
      <c r="AA37" s="1911"/>
      <c r="AB37" s="1911"/>
      <c r="AC37" s="1912"/>
    </row>
    <row r="38" spans="1:44" ht="13.2">
      <c r="A38" s="3942"/>
      <c r="B38" s="1288" t="s">
        <v>924</v>
      </c>
      <c r="C38" s="1005">
        <f>ROUND(D5*C22*C23*C24*C28*F38,0)</f>
        <v>8196</v>
      </c>
      <c r="D38" s="1356"/>
      <c r="E38" s="996">
        <f t="shared" ref="E38:E42" si="4">ROUND(C38*D38/10000,0)</f>
        <v>0</v>
      </c>
      <c r="F38" s="996">
        <f>SUMIF(修正!A57:A68,G2,修正!C57:C68)</f>
        <v>0.3</v>
      </c>
      <c r="G38" s="996">
        <f>ROUND(IF(E2="工业",C38*$M$42,C38*$M$41),0)</f>
        <v>2049</v>
      </c>
      <c r="H38" s="996">
        <f t="shared" ref="H38:H42" si="5">D38</f>
        <v>0</v>
      </c>
      <c r="I38" s="996">
        <f t="shared" ref="I38:I42" si="6">ROUND(G38*H38/10000,0)</f>
        <v>0</v>
      </c>
      <c r="J38" s="3942"/>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42"/>
      <c r="B39" s="3571" t="s">
        <v>3213</v>
      </c>
      <c r="C39" s="1005">
        <f>ROUND(D5*C22*C23*C24*C28*F39,0)</f>
        <v>6830</v>
      </c>
      <c r="D39" s="1356"/>
      <c r="E39" s="996">
        <f t="shared" si="4"/>
        <v>0</v>
      </c>
      <c r="F39" s="996">
        <f>SUMIF(修正!A57:A68,G2,修正!D57:D68)</f>
        <v>0.25</v>
      </c>
      <c r="G39" s="996">
        <f>ROUND(IF(E2="工业",C39*$M$42,C39*$M$41),0)</f>
        <v>1708</v>
      </c>
      <c r="H39" s="996">
        <f t="shared" si="5"/>
        <v>0</v>
      </c>
      <c r="I39" s="996">
        <f t="shared" si="6"/>
        <v>0</v>
      </c>
      <c r="J39" s="3942"/>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6830</v>
      </c>
      <c r="D40" s="1356"/>
      <c r="E40" s="996">
        <f t="shared" si="4"/>
        <v>0</v>
      </c>
      <c r="F40" s="1005">
        <f>SUMIF(修正!A57:A68,G2,修正!E57:E68)</f>
        <v>0.25</v>
      </c>
      <c r="G40" s="996">
        <f>ROUND(IF(E2="工业",C40*$M$42,C40*$M$41),0)</f>
        <v>1708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48">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48">
      <c r="A52" s="3572" t="s">
        <v>3215</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36">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36.6"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48">
      <c r="A63" s="3572" t="s">
        <v>3215</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f>1+E72</f>
        <v>1.0389999999999999</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3349</v>
      </c>
      <c r="D72" s="3599">
        <f t="shared" ref="D72:D80" si="17">SUMIF($J$71:$N$71,C72,J72:N72)</f>
        <v>7.1999999999999998E-3</v>
      </c>
      <c r="E72" s="3600">
        <f>ROUND(SUM(D72:D80),4)</f>
        <v>3.9E-2</v>
      </c>
      <c r="F72" s="3601">
        <f>IF(E2="住宅",SUMIF(L1:L12,G2,N1:N12),"——")</f>
        <v>7.1999999999999995E-2</v>
      </c>
      <c r="G72" s="3616">
        <f>H72</f>
        <v>7.1999999999999998E-3</v>
      </c>
      <c r="H72" s="3617">
        <f t="shared" ref="H72:H80" si="18">IFERROR(ROUNDDOWN($F$72*I72/2,4),"——")</f>
        <v>7.1999999999999998E-3</v>
      </c>
      <c r="I72" s="3577">
        <v>0.2</v>
      </c>
      <c r="J72" s="3604">
        <f t="shared" ref="J72:J80" si="19">K72+$G72</f>
        <v>1.44E-2</v>
      </c>
      <c r="K72" s="3604">
        <f t="shared" ref="K72:K80" si="20">$L72+$G72</f>
        <v>7.1999999999999998E-3</v>
      </c>
      <c r="L72" s="3604">
        <v>0</v>
      </c>
      <c r="M72" s="3604">
        <f t="shared" ref="M72:N80" si="21">L72-$G72</f>
        <v>-7.1999999999999998E-3</v>
      </c>
      <c r="N72" s="3604">
        <f t="shared" si="21"/>
        <v>-1.44E-2</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t="s">
        <v>3349</v>
      </c>
      <c r="D73" s="3599">
        <f t="shared" si="17"/>
        <v>9.2999999999999992E-3</v>
      </c>
      <c r="E73" s="3605"/>
      <c r="F73" s="3601"/>
      <c r="G73" s="3616">
        <f t="shared" ref="G73:G80" si="22">H73</f>
        <v>9.2999999999999992E-3</v>
      </c>
      <c r="H73" s="3617">
        <f t="shared" si="18"/>
        <v>9.2999999999999992E-3</v>
      </c>
      <c r="I73" s="3577">
        <v>0.26</v>
      </c>
      <c r="J73" s="3604">
        <f t="shared" si="19"/>
        <v>1.8599999999999998E-2</v>
      </c>
      <c r="K73" s="3604">
        <f t="shared" si="20"/>
        <v>9.2999999999999992E-3</v>
      </c>
      <c r="L73" s="3604">
        <v>0</v>
      </c>
      <c r="M73" s="3604">
        <f t="shared" si="21"/>
        <v>-9.2999999999999992E-3</v>
      </c>
      <c r="N73" s="3604">
        <f t="shared" si="21"/>
        <v>-1.8599999999999998E-2</v>
      </c>
      <c r="P73" s="1920"/>
      <c r="Q73" s="1920"/>
      <c r="R73" s="1920"/>
      <c r="S73" s="1920"/>
      <c r="T73" s="1920"/>
      <c r="U73" s="1920"/>
      <c r="V73" s="1920"/>
      <c r="W73" s="1920"/>
      <c r="X73" s="1920"/>
      <c r="Y73" s="1920"/>
      <c r="Z73" s="1920"/>
      <c r="AA73" s="1920"/>
      <c r="AB73" s="1920"/>
      <c r="AC73" s="1920"/>
      <c r="AD73" s="1920"/>
    </row>
    <row r="74" spans="1:36" s="3584" customFormat="1" ht="48">
      <c r="A74" s="3572" t="s">
        <v>3215</v>
      </c>
      <c r="B74" s="3591">
        <f>估价对象房地状况!C19</f>
        <v>0</v>
      </c>
      <c r="C74" s="3615" t="s">
        <v>3349</v>
      </c>
      <c r="D74" s="3599">
        <f t="shared" si="17"/>
        <v>3.5999999999999999E-3</v>
      </c>
      <c r="E74" s="3605"/>
      <c r="F74" s="3601"/>
      <c r="G74" s="3616">
        <f t="shared" si="22"/>
        <v>3.5999999999999999E-3</v>
      </c>
      <c r="H74" s="3617">
        <f t="shared" si="18"/>
        <v>3.5999999999999999E-3</v>
      </c>
      <c r="I74" s="3577">
        <v>0.1</v>
      </c>
      <c r="J74" s="3604">
        <f t="shared" si="19"/>
        <v>7.1999999999999998E-3</v>
      </c>
      <c r="K74" s="3604">
        <f t="shared" si="20"/>
        <v>3.5999999999999999E-3</v>
      </c>
      <c r="L74" s="3604">
        <v>0</v>
      </c>
      <c r="M74" s="3604">
        <f t="shared" si="21"/>
        <v>-3.5999999999999999E-3</v>
      </c>
      <c r="N74" s="3604">
        <f t="shared" si="21"/>
        <v>-7.1999999999999998E-3</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t="s">
        <v>3350</v>
      </c>
      <c r="D75" s="3599">
        <f t="shared" si="17"/>
        <v>0</v>
      </c>
      <c r="E75" s="3605"/>
      <c r="F75" s="3601"/>
      <c r="G75" s="3616">
        <f t="shared" si="22"/>
        <v>1.8E-3</v>
      </c>
      <c r="H75" s="3617">
        <f t="shared" si="18"/>
        <v>1.8E-3</v>
      </c>
      <c r="I75" s="3577">
        <v>0.05</v>
      </c>
      <c r="J75" s="3604">
        <f t="shared" si="19"/>
        <v>3.5999999999999999E-3</v>
      </c>
      <c r="K75" s="3604">
        <f t="shared" si="20"/>
        <v>1.8E-3</v>
      </c>
      <c r="L75" s="3604">
        <v>0</v>
      </c>
      <c r="M75" s="3604">
        <f t="shared" si="21"/>
        <v>-1.8E-3</v>
      </c>
      <c r="N75" s="3604">
        <f t="shared" si="21"/>
        <v>-3.5999999999999999E-3</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3349</v>
      </c>
      <c r="D76" s="3599">
        <f t="shared" si="17"/>
        <v>2.8E-3</v>
      </c>
      <c r="E76" s="3605"/>
      <c r="F76" s="3601"/>
      <c r="G76" s="3616">
        <f t="shared" si="22"/>
        <v>2.8E-3</v>
      </c>
      <c r="H76" s="3617">
        <f t="shared" si="18"/>
        <v>2.8E-3</v>
      </c>
      <c r="I76" s="3577">
        <v>0.08</v>
      </c>
      <c r="J76" s="3604">
        <f t="shared" si="19"/>
        <v>5.5999999999999999E-3</v>
      </c>
      <c r="K76" s="3604">
        <f t="shared" si="20"/>
        <v>2.8E-3</v>
      </c>
      <c r="L76" s="3604">
        <v>0</v>
      </c>
      <c r="M76" s="3604">
        <f t="shared" si="21"/>
        <v>-2.8E-3</v>
      </c>
      <c r="N76" s="3604">
        <f t="shared" si="21"/>
        <v>-5.5999999999999999E-3</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3351</v>
      </c>
      <c r="D77" s="3599">
        <f t="shared" si="17"/>
        <v>6.4000000000000003E-3</v>
      </c>
      <c r="E77" s="3605"/>
      <c r="F77" s="3601"/>
      <c r="G77" s="3616">
        <f t="shared" si="22"/>
        <v>3.2000000000000002E-3</v>
      </c>
      <c r="H77" s="3617">
        <f t="shared" si="18"/>
        <v>3.2000000000000002E-3</v>
      </c>
      <c r="I77" s="3577">
        <v>0.09</v>
      </c>
      <c r="J77" s="3604">
        <f t="shared" si="19"/>
        <v>6.4000000000000003E-3</v>
      </c>
      <c r="K77" s="3604">
        <f t="shared" si="20"/>
        <v>3.2000000000000002E-3</v>
      </c>
      <c r="L77" s="3604">
        <v>0</v>
      </c>
      <c r="M77" s="3604">
        <f t="shared" si="21"/>
        <v>-3.2000000000000002E-3</v>
      </c>
      <c r="N77" s="3604">
        <f t="shared" si="21"/>
        <v>-6.4000000000000003E-3</v>
      </c>
      <c r="O77" s="3584"/>
      <c r="P77" s="1920"/>
      <c r="Q77" s="1920"/>
      <c r="AE77" s="3584"/>
      <c r="AF77" s="3584"/>
      <c r="AG77" s="3584"/>
      <c r="AH77" s="3584"/>
      <c r="AI77" s="3584"/>
      <c r="AJ77" s="3584"/>
    </row>
    <row r="78" spans="1:36" s="1348" customFormat="1" ht="36">
      <c r="A78" s="3590" t="s">
        <v>947</v>
      </c>
      <c r="B78" s="3607" t="s">
        <v>2199</v>
      </c>
      <c r="C78" s="3615" t="s">
        <v>3351</v>
      </c>
      <c r="D78" s="3599">
        <f t="shared" si="17"/>
        <v>3.5999999999999999E-3</v>
      </c>
      <c r="E78" s="3605"/>
      <c r="F78" s="3601"/>
      <c r="G78" s="3616">
        <f t="shared" si="22"/>
        <v>1.8E-3</v>
      </c>
      <c r="H78" s="3617">
        <f t="shared" si="18"/>
        <v>1.8E-3</v>
      </c>
      <c r="I78" s="3577">
        <v>0.05</v>
      </c>
      <c r="J78" s="3604">
        <f t="shared" si="19"/>
        <v>3.5999999999999999E-3</v>
      </c>
      <c r="K78" s="3604">
        <f t="shared" si="20"/>
        <v>1.8E-3</v>
      </c>
      <c r="L78" s="3604">
        <v>0</v>
      </c>
      <c r="M78" s="3604">
        <f t="shared" si="21"/>
        <v>-1.8E-3</v>
      </c>
      <c r="N78" s="3604">
        <f t="shared" si="21"/>
        <v>-3.5999999999999999E-3</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t="s">
        <v>3349</v>
      </c>
      <c r="D79" s="3599">
        <f t="shared" si="17"/>
        <v>4.3E-3</v>
      </c>
      <c r="E79" s="3605"/>
      <c r="F79" s="3601"/>
      <c r="G79" s="3616">
        <f t="shared" si="22"/>
        <v>4.3E-3</v>
      </c>
      <c r="H79" s="3617">
        <f t="shared" si="18"/>
        <v>4.3E-3</v>
      </c>
      <c r="I79" s="3577">
        <v>0.12</v>
      </c>
      <c r="J79" s="3604">
        <f t="shared" si="19"/>
        <v>8.6E-3</v>
      </c>
      <c r="K79" s="3604">
        <f t="shared" si="20"/>
        <v>4.3E-3</v>
      </c>
      <c r="L79" s="3604">
        <v>0</v>
      </c>
      <c r="M79" s="3604">
        <f t="shared" si="21"/>
        <v>-4.3E-3</v>
      </c>
      <c r="N79" s="3604">
        <f t="shared" si="21"/>
        <v>-8.6E-3</v>
      </c>
      <c r="P79" s="3618"/>
      <c r="Q79" s="3618"/>
      <c r="AE79" s="3584"/>
      <c r="AF79" s="3584"/>
      <c r="AG79" s="3584"/>
      <c r="AH79" s="3584"/>
      <c r="AI79" s="3584"/>
      <c r="AJ79" s="3584"/>
    </row>
    <row r="80" spans="1:36" s="1348" customFormat="1" ht="36.6" thickBot="1">
      <c r="A80" s="3610" t="s">
        <v>957</v>
      </c>
      <c r="B80" s="3619"/>
      <c r="C80" s="3615" t="s">
        <v>3349</v>
      </c>
      <c r="D80" s="3599">
        <f t="shared" si="17"/>
        <v>1.8E-3</v>
      </c>
      <c r="E80" s="3612"/>
      <c r="F80" s="3601"/>
      <c r="G80" s="3616">
        <f t="shared" si="22"/>
        <v>1.8E-3</v>
      </c>
      <c r="H80" s="3617">
        <f t="shared" si="18"/>
        <v>1.8E-3</v>
      </c>
      <c r="I80" s="3579">
        <v>0.05</v>
      </c>
      <c r="J80" s="3604">
        <f t="shared" si="19"/>
        <v>3.5999999999999999E-3</v>
      </c>
      <c r="K80" s="3604">
        <f t="shared" si="20"/>
        <v>1.8E-3</v>
      </c>
      <c r="L80" s="3604">
        <v>0</v>
      </c>
      <c r="M80" s="3604">
        <f t="shared" si="21"/>
        <v>-1.8E-3</v>
      </c>
      <c r="N80" s="3604">
        <f t="shared" si="21"/>
        <v>-3.5999999999999999E-3</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3.8">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36">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4.4">
      <c r="A91" s="3573" t="s">
        <v>3224</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3225</v>
      </c>
      <c r="B92" s="3574"/>
      <c r="C92" s="3574" t="s">
        <v>3230</v>
      </c>
      <c r="D92" s="3574" t="s">
        <v>3217</v>
      </c>
      <c r="E92" s="3631" t="s">
        <v>3218</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3226</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48">
      <c r="A94" s="3574" t="s">
        <v>3227</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48">
      <c r="A95" s="3629" t="s">
        <v>3215</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7.200000000000003">
      <c r="A96" s="3574" t="s">
        <v>3219</v>
      </c>
      <c r="B96" s="3578" t="s">
        <v>3220</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3221</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36">
      <c r="A98" s="3574" t="s">
        <v>3228</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3229</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3222</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36.6" thickBot="1">
      <c r="A101" s="3574" t="s">
        <v>3223</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39" t="s">
        <v>1172</v>
      </c>
      <c r="B104" s="3939"/>
      <c r="C104" s="3939"/>
      <c r="D104" s="3939"/>
      <c r="E104" s="3939"/>
      <c r="F104" s="3939"/>
      <c r="G104" s="3939"/>
      <c r="H104" s="3939"/>
      <c r="I104" s="3939"/>
      <c r="J104" s="3939"/>
      <c r="K104" s="2103"/>
      <c r="L104" s="2103"/>
      <c r="M104" s="2103"/>
      <c r="N104" s="2103"/>
    </row>
    <row r="105" spans="1:36">
      <c r="A105" s="3940" t="s">
        <v>1161</v>
      </c>
      <c r="B105" s="3940" t="s">
        <v>1173</v>
      </c>
      <c r="C105" s="1041" t="s">
        <v>1174</v>
      </c>
      <c r="D105" s="1042"/>
      <c r="E105" s="1042"/>
      <c r="F105" s="1042"/>
      <c r="G105" s="1042"/>
      <c r="H105" s="1042"/>
      <c r="I105" s="1042"/>
      <c r="J105" s="1043"/>
      <c r="K105" s="1035"/>
      <c r="L105" s="1035"/>
      <c r="M105" s="1035"/>
      <c r="N105" s="1035"/>
    </row>
    <row r="106" spans="1:36">
      <c r="A106" s="3940"/>
      <c r="B106" s="3940"/>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4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7"/>
      <c r="B112" s="1044" t="s">
        <v>3231</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94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36" t="s">
        <v>1175</v>
      </c>
      <c r="B114" s="3936"/>
      <c r="C114" s="3936"/>
      <c r="D114" s="3936"/>
      <c r="E114" s="3936"/>
      <c r="F114" s="3936"/>
      <c r="G114" s="3936"/>
      <c r="H114" s="3936"/>
      <c r="I114" s="3936"/>
      <c r="J114" s="3936"/>
      <c r="K114" s="2101"/>
      <c r="L114" s="2101"/>
      <c r="M114" s="2101"/>
      <c r="N114" s="2101"/>
    </row>
    <row r="116" spans="1:14" ht="12.6" thickBot="1"/>
    <row r="117" spans="1:14" ht="25.8" thickBot="1">
      <c r="A117" s="976" t="s">
        <v>831</v>
      </c>
      <c r="B117" s="2104">
        <f>G3</f>
        <v>2.5</v>
      </c>
      <c r="C117" s="977" t="s">
        <v>832</v>
      </c>
      <c r="D117" s="978" t="e">
        <f>SUMPRODUCT((A118:A122=F116)*(B117:M117=H116)*B118:M122)</f>
        <v>#VALUE!</v>
      </c>
      <c r="E117" s="979" t="s">
        <v>833</v>
      </c>
      <c r="F117" s="980" t="str">
        <f>E2</f>
        <v>住宅</v>
      </c>
      <c r="G117" s="979" t="s">
        <v>834</v>
      </c>
      <c r="H117" s="980" t="str">
        <f>G2</f>
        <v>三级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3232</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6">I119</f>
        <v>0.80359999999999998</v>
      </c>
      <c r="K119" s="3575">
        <f t="shared" si="36"/>
        <v>0.80359999999999998</v>
      </c>
      <c r="L119" s="3575">
        <f t="shared" si="36"/>
        <v>0.80359999999999998</v>
      </c>
      <c r="M119" s="3636">
        <f t="shared" si="36"/>
        <v>0.80359999999999998</v>
      </c>
    </row>
    <row r="120" spans="1:14" ht="13.2">
      <c r="A120" s="3633" t="s">
        <v>3233</v>
      </c>
      <c r="B120" s="3575">
        <f>ROUND(0.993-0.0112*B117,4)</f>
        <v>0.96499999999999997</v>
      </c>
      <c r="C120" s="3575">
        <f>B120</f>
        <v>0.96499999999999997</v>
      </c>
      <c r="D120" s="3575">
        <f>ROUND(0.9415-0.0142*B117,4)</f>
        <v>0.90600000000000003</v>
      </c>
      <c r="E120" s="3575">
        <f t="shared" ref="E120:H121" si="37">D120</f>
        <v>0.90600000000000003</v>
      </c>
      <c r="F120" s="3575">
        <f t="shared" si="37"/>
        <v>0.90600000000000003</v>
      </c>
      <c r="G120" s="3575">
        <f t="shared" si="37"/>
        <v>0.90600000000000003</v>
      </c>
      <c r="H120" s="3575">
        <f t="shared" si="37"/>
        <v>0.90600000000000003</v>
      </c>
      <c r="I120" s="3575">
        <f>ROUND(0.838-0.0182*B117,4)</f>
        <v>0.79249999999999998</v>
      </c>
      <c r="J120" s="3575">
        <f t="shared" si="36"/>
        <v>0.79249999999999998</v>
      </c>
      <c r="K120" s="3575">
        <f t="shared" si="36"/>
        <v>0.79249999999999998</v>
      </c>
      <c r="L120" s="3575">
        <f t="shared" si="36"/>
        <v>0.79249999999999998</v>
      </c>
      <c r="M120" s="3636">
        <f t="shared" si="36"/>
        <v>0.79249999999999998</v>
      </c>
    </row>
    <row r="121" spans="1:14" ht="13.2">
      <c r="A121" s="3633" t="s">
        <v>3234</v>
      </c>
      <c r="B121" s="3575">
        <f>ROUND(0.9448-0.0115*B117,4)</f>
        <v>0.91610000000000003</v>
      </c>
      <c r="C121" s="3575">
        <f>B121</f>
        <v>0.91610000000000003</v>
      </c>
      <c r="D121" s="3575">
        <f>ROUND(0.937-0.0145*B117,4)</f>
        <v>0.90080000000000005</v>
      </c>
      <c r="E121" s="3575">
        <f t="shared" si="37"/>
        <v>0.90080000000000005</v>
      </c>
      <c r="F121" s="3575">
        <f t="shared" si="37"/>
        <v>0.90080000000000005</v>
      </c>
      <c r="G121" s="3575">
        <f t="shared" si="37"/>
        <v>0.90080000000000005</v>
      </c>
      <c r="H121" s="3575">
        <f t="shared" si="37"/>
        <v>0.90080000000000005</v>
      </c>
      <c r="I121" s="3575">
        <f>ROUND(0.7965-0.0185*B117,4)</f>
        <v>0.75029999999999997</v>
      </c>
      <c r="J121" s="3575">
        <f t="shared" si="36"/>
        <v>0.75029999999999997</v>
      </c>
      <c r="K121" s="3575">
        <f t="shared" si="36"/>
        <v>0.75029999999999997</v>
      </c>
      <c r="L121" s="3575">
        <f t="shared" si="36"/>
        <v>0.75029999999999997</v>
      </c>
      <c r="M121" s="3636">
        <f t="shared" si="36"/>
        <v>0.75029999999999997</v>
      </c>
    </row>
    <row r="122" spans="1:14" ht="13.8" thickBot="1">
      <c r="A122" s="3634" t="s">
        <v>3235</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6"/>
        <v>0.54300000000000004</v>
      </c>
      <c r="K122" s="3637">
        <f t="shared" si="36"/>
        <v>0.54300000000000004</v>
      </c>
      <c r="L122" s="3637">
        <f t="shared" si="36"/>
        <v>0.54300000000000004</v>
      </c>
      <c r="M122" s="3638">
        <f t="shared" si="36"/>
        <v>0.54300000000000004</v>
      </c>
    </row>
    <row r="123" spans="1:14" ht="13.2">
      <c r="A123" s="3635" t="s">
        <v>3216</v>
      </c>
      <c r="B123" s="3575">
        <f>ROUND(0.9404-0.0106*B117,4)</f>
        <v>0.91390000000000005</v>
      </c>
      <c r="C123" s="3575">
        <f>B123</f>
        <v>0.91390000000000005</v>
      </c>
      <c r="D123" s="3575">
        <f>ROUND(0.8955-0.0135*B117,4)</f>
        <v>0.86180000000000001</v>
      </c>
      <c r="E123" s="3575">
        <f t="shared" ref="E123:H123" si="38">D123</f>
        <v>0.86180000000000001</v>
      </c>
      <c r="F123" s="3575">
        <f t="shared" si="38"/>
        <v>0.86180000000000001</v>
      </c>
      <c r="G123" s="3575">
        <f t="shared" si="38"/>
        <v>0.86180000000000001</v>
      </c>
      <c r="H123" s="3575">
        <f t="shared" si="38"/>
        <v>0.86180000000000001</v>
      </c>
      <c r="I123" s="3575">
        <f>ROUND(0.7632-0.0166*B117,4)</f>
        <v>0.72170000000000001</v>
      </c>
      <c r="J123" s="3575">
        <f t="shared" si="36"/>
        <v>0.72170000000000001</v>
      </c>
      <c r="K123" s="3575">
        <f t="shared" si="36"/>
        <v>0.72170000000000001</v>
      </c>
      <c r="L123" s="3575">
        <f t="shared" si="36"/>
        <v>0.72170000000000001</v>
      </c>
      <c r="M123" s="3636">
        <f t="shared" si="36"/>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73" priority="7" stopIfTrue="1" operator="notEqual">
      <formula>"——"</formula>
    </cfRule>
  </conditionalFormatting>
  <conditionalFormatting sqref="F61">
    <cfRule type="cellIs" dxfId="172" priority="6" stopIfTrue="1" operator="notEqual">
      <formula>"——"</formula>
    </cfRule>
  </conditionalFormatting>
  <conditionalFormatting sqref="F72">
    <cfRule type="cellIs" dxfId="171" priority="5" stopIfTrue="1" operator="notEqual">
      <formula>"——"</formula>
    </cfRule>
  </conditionalFormatting>
  <conditionalFormatting sqref="F83">
    <cfRule type="cellIs" dxfId="170" priority="4" stopIfTrue="1" operator="notEqual">
      <formula>"——"</formula>
    </cfRule>
  </conditionalFormatting>
  <conditionalFormatting sqref="H50:H58 H72:H80 H83:H91 H93:H102 H61:H69">
    <cfRule type="cellIs" dxfId="16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64" t="str">
        <f>项目基本情况!B1</f>
        <v>北京市划拨国有建设用地使用权市场价格预评估</v>
      </c>
      <c r="C37" s="3764"/>
      <c r="D37" s="3764"/>
      <c r="E37" s="3764"/>
      <c r="F37" s="3764"/>
      <c r="G37" s="3764"/>
      <c r="H37" s="3764"/>
      <c r="I37" s="37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70" t="s">
        <v>471</v>
      </c>
      <c r="D6" s="3971"/>
      <c r="E6" s="3972" t="s">
        <v>472</v>
      </c>
      <c r="F6" s="3973"/>
      <c r="G6" s="3970" t="s">
        <v>473</v>
      </c>
      <c r="H6" s="3971"/>
      <c r="I6" s="3970" t="s">
        <v>474</v>
      </c>
      <c r="J6" s="3971"/>
      <c r="K6" s="484" t="s">
        <v>475</v>
      </c>
      <c r="L6" s="1856"/>
      <c r="M6" s="1857"/>
      <c r="N6" s="1857"/>
      <c r="O6" s="1857"/>
      <c r="P6" s="3974" t="s">
        <v>476</v>
      </c>
      <c r="Q6" s="3975"/>
      <c r="R6" s="3980" t="s">
        <v>472</v>
      </c>
      <c r="S6" s="3981"/>
      <c r="T6" s="3980" t="s">
        <v>473</v>
      </c>
      <c r="U6" s="3981"/>
      <c r="V6" s="3960" t="s">
        <v>474</v>
      </c>
      <c r="W6" s="3960"/>
      <c r="X6" s="1380"/>
      <c r="Y6" s="3980" t="s">
        <v>476</v>
      </c>
      <c r="Z6" s="3981"/>
      <c r="AA6" s="3967" t="s">
        <v>472</v>
      </c>
      <c r="AB6" s="3968" t="s">
        <v>473</v>
      </c>
      <c r="AC6" s="3967" t="s">
        <v>474</v>
      </c>
    </row>
    <row r="7" spans="1:29">
      <c r="A7" s="485"/>
      <c r="B7" s="486"/>
      <c r="C7" s="3988" t="s">
        <v>2192</v>
      </c>
      <c r="D7" s="3989"/>
      <c r="E7" s="3986" t="s">
        <v>2193</v>
      </c>
      <c r="F7" s="3987"/>
      <c r="G7" s="3988" t="s">
        <v>2194</v>
      </c>
      <c r="H7" s="3989"/>
      <c r="I7" s="3988" t="s">
        <v>2195</v>
      </c>
      <c r="J7" s="3989"/>
      <c r="K7" s="484"/>
      <c r="L7" s="1856"/>
      <c r="M7" s="1857"/>
      <c r="N7" s="1857"/>
      <c r="O7" s="1857"/>
      <c r="P7" s="3976"/>
      <c r="Q7" s="3977"/>
      <c r="R7" s="3982"/>
      <c r="S7" s="3983"/>
      <c r="T7" s="3982"/>
      <c r="U7" s="3983"/>
      <c r="V7" s="3960"/>
      <c r="W7" s="3960"/>
      <c r="X7" s="1380"/>
      <c r="Y7" s="3982"/>
      <c r="Z7" s="3983"/>
      <c r="AA7" s="3968"/>
      <c r="AB7" s="3968"/>
      <c r="AC7" s="3968"/>
    </row>
    <row r="8" spans="1:29" ht="15" thickBot="1">
      <c r="A8" s="487"/>
      <c r="B8" s="488"/>
      <c r="C8" s="3990" t="s">
        <v>2196</v>
      </c>
      <c r="D8" s="3991"/>
      <c r="E8" s="3993" t="s">
        <v>2196</v>
      </c>
      <c r="F8" s="3994"/>
      <c r="G8" s="3990" t="s">
        <v>2196</v>
      </c>
      <c r="H8" s="3991"/>
      <c r="I8" s="3990" t="s">
        <v>2196</v>
      </c>
      <c r="J8" s="3991"/>
      <c r="K8" s="484" t="s">
        <v>477</v>
      </c>
      <c r="L8" s="1856"/>
      <c r="M8" s="1857"/>
      <c r="N8" s="1857"/>
      <c r="O8" s="1857"/>
      <c r="P8" s="3978"/>
      <c r="Q8" s="3979"/>
      <c r="R8" s="3982"/>
      <c r="S8" s="3983"/>
      <c r="T8" s="3984"/>
      <c r="U8" s="3985"/>
      <c r="V8" s="3960"/>
      <c r="W8" s="3960"/>
      <c r="X8" s="1380"/>
      <c r="Y8" s="3984"/>
      <c r="Z8" s="3985"/>
      <c r="AA8" s="3969"/>
      <c r="AB8" s="3969"/>
      <c r="AC8" s="3969"/>
    </row>
    <row r="9" spans="1:29" s="1118" customFormat="1" ht="15" thickBot="1">
      <c r="A9" s="2392"/>
      <c r="B9" s="2399" t="s">
        <v>478</v>
      </c>
      <c r="C9" s="489">
        <f>'数据-取费表'!B2</f>
        <v>45833</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65" t="s">
        <v>479</v>
      </c>
      <c r="Q9" s="3992"/>
      <c r="R9" s="1381" t="s">
        <v>5</v>
      </c>
      <c r="S9" s="1382">
        <f t="shared" ref="S9:S17" si="0">F9</f>
        <v>0</v>
      </c>
      <c r="T9" s="1381" t="s">
        <v>5</v>
      </c>
      <c r="U9" s="1382">
        <f t="shared" ref="U9:U17" si="1">H9</f>
        <v>0</v>
      </c>
      <c r="V9" s="1381" t="s">
        <v>5</v>
      </c>
      <c r="W9" s="1382">
        <f t="shared" ref="W9:W17" si="2">J9</f>
        <v>0</v>
      </c>
      <c r="X9" s="1383"/>
      <c r="Y9" s="3965" t="s">
        <v>479</v>
      </c>
      <c r="Z9" s="3966"/>
      <c r="AA9" s="1384" t="e">
        <f>D9/F9</f>
        <v>#DIV/0!</v>
      </c>
      <c r="AB9" s="1384" t="e">
        <f>D9/H9</f>
        <v>#DIV/0!</v>
      </c>
      <c r="AC9" s="1384" t="e">
        <f>D9/J9</f>
        <v>#DIV/0!</v>
      </c>
    </row>
    <row r="10" spans="1:29" s="1118" customFormat="1" ht="1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65" t="s">
        <v>482</v>
      </c>
      <c r="Q10" s="3966"/>
      <c r="R10" s="1381" t="s">
        <v>5</v>
      </c>
      <c r="S10" s="1382">
        <f t="shared" si="0"/>
        <v>0</v>
      </c>
      <c r="T10" s="1381" t="s">
        <v>5</v>
      </c>
      <c r="U10" s="1382">
        <f t="shared" si="1"/>
        <v>0</v>
      </c>
      <c r="V10" s="1381" t="s">
        <v>5</v>
      </c>
      <c r="W10" s="1382">
        <f t="shared" si="2"/>
        <v>0</v>
      </c>
      <c r="X10" s="1383"/>
      <c r="Y10" s="3965" t="s">
        <v>482</v>
      </c>
      <c r="Z10" s="3966"/>
      <c r="AA10" s="1384" t="e">
        <f t="shared" ref="AA10:AA42" si="3">D10/F10</f>
        <v>#DIV/0!</v>
      </c>
      <c r="AB10" s="1384" t="e">
        <f t="shared" ref="AB10:AB42" si="4">D10/H10</f>
        <v>#DIV/0!</v>
      </c>
      <c r="AC10" s="1384" t="e">
        <f t="shared" ref="AC10:AC42" si="5">D10/J10</f>
        <v>#DIV/0!</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58" t="s">
        <v>484</v>
      </c>
      <c r="Q11" s="1050" t="str">
        <f t="shared" ref="Q11:Q17" si="6">B11</f>
        <v>用途</v>
      </c>
      <c r="R11" s="1381" t="s">
        <v>5</v>
      </c>
      <c r="S11" s="1382">
        <f t="shared" si="0"/>
        <v>100</v>
      </c>
      <c r="T11" s="1381" t="s">
        <v>5</v>
      </c>
      <c r="U11" s="1382">
        <f t="shared" si="1"/>
        <v>100</v>
      </c>
      <c r="V11" s="1381" t="s">
        <v>5</v>
      </c>
      <c r="W11" s="1382">
        <f t="shared" si="2"/>
        <v>100</v>
      </c>
      <c r="X11" s="1383"/>
      <c r="Y11" s="3903"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58"/>
      <c r="Q12" s="1050" t="str">
        <f t="shared" si="6"/>
        <v>土地使用年限（年）</v>
      </c>
      <c r="R12" s="1381" t="s">
        <v>5</v>
      </c>
      <c r="S12" s="1382">
        <f t="shared" si="0"/>
        <v>100</v>
      </c>
      <c r="T12" s="1381" t="s">
        <v>5</v>
      </c>
      <c r="U12" s="1382">
        <f t="shared" si="1"/>
        <v>100</v>
      </c>
      <c r="V12" s="1381" t="s">
        <v>5</v>
      </c>
      <c r="W12" s="1382">
        <f t="shared" si="2"/>
        <v>100</v>
      </c>
      <c r="X12" s="1383"/>
      <c r="Y12" s="3903"/>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58"/>
      <c r="Q13" s="1050" t="str">
        <f t="shared" si="6"/>
        <v>容积率</v>
      </c>
      <c r="R13" s="1381" t="s">
        <v>5</v>
      </c>
      <c r="S13" s="1382" t="e">
        <f t="shared" si="0"/>
        <v>#N/A</v>
      </c>
      <c r="T13" s="1381" t="s">
        <v>5</v>
      </c>
      <c r="U13" s="1382" t="e">
        <f t="shared" si="1"/>
        <v>#N/A</v>
      </c>
      <c r="V13" s="1381" t="s">
        <v>5</v>
      </c>
      <c r="W13" s="1382" t="e">
        <f t="shared" si="2"/>
        <v>#N/A</v>
      </c>
      <c r="X13" s="1383"/>
      <c r="Y13" s="390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58"/>
      <c r="Q14" s="1050">
        <f t="shared" si="6"/>
        <v>111</v>
      </c>
      <c r="R14" s="1381" t="s">
        <v>5</v>
      </c>
      <c r="S14" s="1382">
        <f t="shared" si="0"/>
        <v>100</v>
      </c>
      <c r="T14" s="1381" t="s">
        <v>5</v>
      </c>
      <c r="U14" s="1382">
        <f t="shared" si="1"/>
        <v>100</v>
      </c>
      <c r="V14" s="1381" t="s">
        <v>5</v>
      </c>
      <c r="W14" s="1382">
        <f t="shared" si="2"/>
        <v>100</v>
      </c>
      <c r="X14" s="1383"/>
      <c r="Y14" s="390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58"/>
      <c r="Q15" s="1050">
        <f t="shared" si="6"/>
        <v>111</v>
      </c>
      <c r="R15" s="1381" t="s">
        <v>5</v>
      </c>
      <c r="S15" s="1382">
        <f t="shared" si="0"/>
        <v>100</v>
      </c>
      <c r="T15" s="1381" t="s">
        <v>5</v>
      </c>
      <c r="U15" s="1382">
        <f t="shared" si="1"/>
        <v>100</v>
      </c>
      <c r="V15" s="1381" t="s">
        <v>5</v>
      </c>
      <c r="W15" s="1382">
        <f t="shared" si="2"/>
        <v>100</v>
      </c>
      <c r="X15" s="1383"/>
      <c r="Y15" s="3903"/>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58"/>
      <c r="Q16" s="1050">
        <f t="shared" si="6"/>
        <v>111</v>
      </c>
      <c r="R16" s="1381" t="s">
        <v>5</v>
      </c>
      <c r="S16" s="1382">
        <f t="shared" si="0"/>
        <v>100</v>
      </c>
      <c r="T16" s="1381" t="s">
        <v>5</v>
      </c>
      <c r="U16" s="1382">
        <f t="shared" si="1"/>
        <v>100</v>
      </c>
      <c r="V16" s="1381" t="s">
        <v>5</v>
      </c>
      <c r="W16" s="1382">
        <f t="shared" si="2"/>
        <v>100</v>
      </c>
      <c r="X16" s="1383"/>
      <c r="Y16" s="3903"/>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61" t="s">
        <v>489</v>
      </c>
      <c r="Q17" s="1385" t="str">
        <f t="shared" si="6"/>
        <v>产业集聚程度</v>
      </c>
      <c r="R17" s="1386" t="s">
        <v>5</v>
      </c>
      <c r="S17" s="1387">
        <f t="shared" si="0"/>
        <v>100</v>
      </c>
      <c r="T17" s="1386" t="s">
        <v>5</v>
      </c>
      <c r="U17" s="1387">
        <f t="shared" si="1"/>
        <v>100</v>
      </c>
      <c r="V17" s="1386" t="s">
        <v>5</v>
      </c>
      <c r="W17" s="1387">
        <f t="shared" si="2"/>
        <v>100</v>
      </c>
      <c r="X17" s="1380"/>
      <c r="Y17" s="3961"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62"/>
      <c r="Q18" s="1385"/>
      <c r="R18" s="1386"/>
      <c r="S18" s="1387"/>
      <c r="T18" s="1386"/>
      <c r="U18" s="1387"/>
      <c r="V18" s="1386"/>
      <c r="W18" s="1387"/>
      <c r="X18" s="1380"/>
      <c r="Y18" s="3962"/>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62"/>
      <c r="Q19" s="1385" t="str">
        <f>B19</f>
        <v>交通便捷度</v>
      </c>
      <c r="R19" s="1386" t="s">
        <v>5</v>
      </c>
      <c r="S19" s="1387">
        <f>F19</f>
        <v>100</v>
      </c>
      <c r="T19" s="1386" t="s">
        <v>5</v>
      </c>
      <c r="U19" s="1387">
        <f>H19</f>
        <v>100</v>
      </c>
      <c r="V19" s="1386" t="s">
        <v>5</v>
      </c>
      <c r="W19" s="1387">
        <f>J19</f>
        <v>100</v>
      </c>
      <c r="X19" s="1380"/>
      <c r="Y19" s="396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62"/>
      <c r="Q20" s="1385"/>
      <c r="R20" s="1386"/>
      <c r="S20" s="1387"/>
      <c r="T20" s="1386"/>
      <c r="U20" s="1387"/>
      <c r="V20" s="1386"/>
      <c r="W20" s="1387"/>
      <c r="X20" s="1380"/>
      <c r="Y20" s="3962"/>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62"/>
      <c r="Q21" s="1385" t="str">
        <f t="shared" ref="Q21:Q35" si="8">B21</f>
        <v>区域土地利用方向</v>
      </c>
      <c r="R21" s="1386" t="s">
        <v>5</v>
      </c>
      <c r="S21" s="1387">
        <f>F21</f>
        <v>100</v>
      </c>
      <c r="T21" s="1386" t="s">
        <v>5</v>
      </c>
      <c r="U21" s="1387">
        <f>H21</f>
        <v>100</v>
      </c>
      <c r="V21" s="1386" t="s">
        <v>5</v>
      </c>
      <c r="W21" s="1387">
        <f>J21</f>
        <v>100</v>
      </c>
      <c r="X21" s="1380"/>
      <c r="Y21" s="396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62"/>
      <c r="Q22" s="1385"/>
      <c r="R22" s="1386"/>
      <c r="S22" s="1387"/>
      <c r="T22" s="1386"/>
      <c r="U22" s="1387"/>
      <c r="V22" s="1386"/>
      <c r="W22" s="1387"/>
      <c r="X22" s="1380"/>
      <c r="Y22" s="3962"/>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62"/>
      <c r="Q23" s="1385" t="str">
        <f t="shared" si="8"/>
        <v>环境状况</v>
      </c>
      <c r="R23" s="1386" t="s">
        <v>5</v>
      </c>
      <c r="S23" s="1387">
        <f>F23</f>
        <v>100</v>
      </c>
      <c r="T23" s="1386" t="s">
        <v>5</v>
      </c>
      <c r="U23" s="1387">
        <f>H23</f>
        <v>100</v>
      </c>
      <c r="V23" s="1386" t="s">
        <v>5</v>
      </c>
      <c r="W23" s="1387">
        <f>J23</f>
        <v>100</v>
      </c>
      <c r="X23" s="1380"/>
      <c r="Y23" s="396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62"/>
      <c r="Q24" s="1385"/>
      <c r="R24" s="1386"/>
      <c r="S24" s="1387"/>
      <c r="T24" s="1386"/>
      <c r="U24" s="1387"/>
      <c r="V24" s="1386"/>
      <c r="W24" s="1387"/>
      <c r="X24" s="1380"/>
      <c r="Y24" s="3962"/>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62"/>
      <c r="Q25" s="1050" t="str">
        <f t="shared" si="8"/>
        <v>公共配套设施</v>
      </c>
      <c r="R25" s="1381" t="s">
        <v>5</v>
      </c>
      <c r="S25" s="1382">
        <f>F25</f>
        <v>100</v>
      </c>
      <c r="T25" s="1381" t="s">
        <v>5</v>
      </c>
      <c r="U25" s="1382">
        <f>H25</f>
        <v>100</v>
      </c>
      <c r="V25" s="1381" t="s">
        <v>5</v>
      </c>
      <c r="W25" s="1382">
        <f>J25</f>
        <v>100</v>
      </c>
      <c r="X25" s="1383"/>
      <c r="Y25" s="396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62"/>
      <c r="Q26" s="1050"/>
      <c r="R26" s="1381"/>
      <c r="S26" s="1382"/>
      <c r="T26" s="1381"/>
      <c r="U26" s="1382"/>
      <c r="V26" s="1381"/>
      <c r="W26" s="1382"/>
      <c r="X26" s="1383"/>
      <c r="Y26" s="3962"/>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62"/>
      <c r="Q27" s="2192" t="str">
        <f>B27</f>
        <v>基础设施水平</v>
      </c>
      <c r="R27" s="1381" t="s">
        <v>5</v>
      </c>
      <c r="S27" s="1382">
        <f>F27</f>
        <v>100</v>
      </c>
      <c r="T27" s="1381" t="s">
        <v>5</v>
      </c>
      <c r="U27" s="1382">
        <f>H27</f>
        <v>100</v>
      </c>
      <c r="V27" s="1381" t="s">
        <v>5</v>
      </c>
      <c r="W27" s="1382">
        <f>J27</f>
        <v>100</v>
      </c>
      <c r="X27" s="1383"/>
      <c r="Y27" s="396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62"/>
      <c r="Q28" s="2192"/>
      <c r="R28" s="1381"/>
      <c r="S28" s="1382"/>
      <c r="T28" s="1381"/>
      <c r="U28" s="1382"/>
      <c r="V28" s="1381"/>
      <c r="W28" s="1382"/>
      <c r="X28" s="1383"/>
      <c r="Y28" s="3962"/>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6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62"/>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62"/>
      <c r="Q30" s="1385" t="str">
        <f t="shared" si="8"/>
        <v>毗邻道路的类型与等级</v>
      </c>
      <c r="R30" s="1386" t="s">
        <v>5</v>
      </c>
      <c r="S30" s="1387">
        <f t="shared" si="9"/>
        <v>100</v>
      </c>
      <c r="T30" s="1386" t="s">
        <v>5</v>
      </c>
      <c r="U30" s="1387">
        <f t="shared" si="10"/>
        <v>100</v>
      </c>
      <c r="V30" s="1386" t="s">
        <v>5</v>
      </c>
      <c r="W30" s="1387">
        <f t="shared" si="11"/>
        <v>100</v>
      </c>
      <c r="X30" s="1380"/>
      <c r="Y30" s="396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62"/>
      <c r="Q31" s="1385"/>
      <c r="R31" s="1386"/>
      <c r="S31" s="1387"/>
      <c r="T31" s="1386"/>
      <c r="U31" s="1387"/>
      <c r="V31" s="1386"/>
      <c r="W31" s="1387"/>
      <c r="X31" s="1380"/>
      <c r="Y31" s="3962"/>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62"/>
      <c r="Q32" s="1385" t="str">
        <f t="shared" si="8"/>
        <v>土地级别</v>
      </c>
      <c r="R32" s="1386" t="s">
        <v>5</v>
      </c>
      <c r="S32" s="1387">
        <f t="shared" si="9"/>
        <v>100</v>
      </c>
      <c r="T32" s="1386" t="s">
        <v>5</v>
      </c>
      <c r="U32" s="1387">
        <f t="shared" si="10"/>
        <v>100</v>
      </c>
      <c r="V32" s="1386" t="s">
        <v>5</v>
      </c>
      <c r="W32" s="1387">
        <f t="shared" si="11"/>
        <v>100</v>
      </c>
      <c r="X32" s="1380"/>
      <c r="Y32" s="396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62"/>
      <c r="Q33" s="1385">
        <f t="shared" si="8"/>
        <v>111</v>
      </c>
      <c r="R33" s="1386" t="s">
        <v>5</v>
      </c>
      <c r="S33" s="1387">
        <f t="shared" si="9"/>
        <v>100</v>
      </c>
      <c r="T33" s="1386" t="s">
        <v>5</v>
      </c>
      <c r="U33" s="1387">
        <f t="shared" si="10"/>
        <v>100</v>
      </c>
      <c r="V33" s="1386" t="s">
        <v>5</v>
      </c>
      <c r="W33" s="1387">
        <f t="shared" si="11"/>
        <v>100</v>
      </c>
      <c r="X33" s="1380"/>
      <c r="Y33" s="396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63" t="s">
        <v>499</v>
      </c>
      <c r="Q34" s="1385">
        <f t="shared" si="8"/>
        <v>111</v>
      </c>
      <c r="R34" s="1386" t="s">
        <v>5</v>
      </c>
      <c r="S34" s="1387">
        <f t="shared" si="9"/>
        <v>100</v>
      </c>
      <c r="T34" s="1386" t="s">
        <v>5</v>
      </c>
      <c r="U34" s="1387">
        <f t="shared" si="10"/>
        <v>100</v>
      </c>
      <c r="V34" s="1386" t="s">
        <v>5</v>
      </c>
      <c r="W34" s="1387">
        <f t="shared" si="11"/>
        <v>100</v>
      </c>
      <c r="X34" s="1380"/>
      <c r="Y34" s="3964"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64"/>
      <c r="Q35" s="1385">
        <f t="shared" si="8"/>
        <v>111</v>
      </c>
      <c r="R35" s="1390" t="s">
        <v>5</v>
      </c>
      <c r="S35" s="1391">
        <f t="shared" si="9"/>
        <v>100</v>
      </c>
      <c r="T35" s="1390" t="s">
        <v>5</v>
      </c>
      <c r="U35" s="1391">
        <f t="shared" si="10"/>
        <v>100</v>
      </c>
      <c r="V35" s="1390" t="s">
        <v>5</v>
      </c>
      <c r="W35" s="1391">
        <f t="shared" si="11"/>
        <v>100</v>
      </c>
      <c r="X35" s="1392"/>
      <c r="Y35" s="3964"/>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64"/>
      <c r="Q36" s="1385" t="str">
        <f>B36</f>
        <v>宗地面积</v>
      </c>
      <c r="R36" s="1386" t="s">
        <v>5</v>
      </c>
      <c r="S36" s="1387" t="e">
        <f t="shared" si="9"/>
        <v>#N/A</v>
      </c>
      <c r="T36" s="1386" t="s">
        <v>5</v>
      </c>
      <c r="U36" s="1387" t="e">
        <f t="shared" si="10"/>
        <v>#N/A</v>
      </c>
      <c r="V36" s="1386" t="s">
        <v>5</v>
      </c>
      <c r="W36" s="1387" t="e">
        <f t="shared" si="11"/>
        <v>#N/A</v>
      </c>
      <c r="X36" s="1380"/>
      <c r="Y36" s="3964"/>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64"/>
      <c r="Q37" s="1385" t="str">
        <f t="shared" ref="Q37:Q42" si="13">B37</f>
        <v>宗地形状</v>
      </c>
      <c r="R37" s="1386" t="s">
        <v>5</v>
      </c>
      <c r="S37" s="1387">
        <f t="shared" si="9"/>
        <v>100</v>
      </c>
      <c r="T37" s="1386" t="s">
        <v>5</v>
      </c>
      <c r="U37" s="1387">
        <f t="shared" si="10"/>
        <v>100</v>
      </c>
      <c r="V37" s="1386" t="s">
        <v>5</v>
      </c>
      <c r="W37" s="1387">
        <f t="shared" si="11"/>
        <v>100</v>
      </c>
      <c r="X37" s="1380"/>
      <c r="Y37" s="3964"/>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64"/>
      <c r="Q38" s="1385" t="str">
        <f t="shared" si="13"/>
        <v>宗地开发程度</v>
      </c>
      <c r="R38" s="1381" t="s">
        <v>5</v>
      </c>
      <c r="S38" s="1382">
        <f t="shared" si="9"/>
        <v>100</v>
      </c>
      <c r="T38" s="1381" t="s">
        <v>5</v>
      </c>
      <c r="U38" s="1382">
        <f t="shared" si="10"/>
        <v>100</v>
      </c>
      <c r="V38" s="1381" t="s">
        <v>5</v>
      </c>
      <c r="W38" s="1382">
        <f t="shared" si="11"/>
        <v>100</v>
      </c>
      <c r="X38" s="1383"/>
      <c r="Y38" s="3964"/>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64" t="s">
        <v>549</v>
      </c>
      <c r="Q39" s="1385" t="str">
        <f t="shared" si="13"/>
        <v>工程地质条件</v>
      </c>
      <c r="R39" s="1386" t="s">
        <v>5</v>
      </c>
      <c r="S39" s="1387">
        <f t="shared" si="9"/>
        <v>100</v>
      </c>
      <c r="T39" s="1386" t="s">
        <v>5</v>
      </c>
      <c r="U39" s="1387">
        <f t="shared" si="10"/>
        <v>100</v>
      </c>
      <c r="V39" s="1386" t="s">
        <v>5</v>
      </c>
      <c r="W39" s="1387">
        <f t="shared" si="11"/>
        <v>100</v>
      </c>
      <c r="X39" s="1380"/>
      <c r="Y39" s="396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64"/>
      <c r="Q40" s="1385">
        <f t="shared" si="13"/>
        <v>111</v>
      </c>
      <c r="R40" s="1386" t="s">
        <v>5</v>
      </c>
      <c r="S40" s="1387">
        <f t="shared" si="9"/>
        <v>100</v>
      </c>
      <c r="T40" s="1386" t="s">
        <v>5</v>
      </c>
      <c r="U40" s="1387">
        <f t="shared" si="10"/>
        <v>100</v>
      </c>
      <c r="V40" s="1386" t="s">
        <v>5</v>
      </c>
      <c r="W40" s="1387">
        <f t="shared" si="11"/>
        <v>100</v>
      </c>
      <c r="X40" s="1380"/>
      <c r="Y40" s="396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64"/>
      <c r="Q41" s="1385">
        <f t="shared" si="13"/>
        <v>111</v>
      </c>
      <c r="R41" s="1386" t="s">
        <v>5</v>
      </c>
      <c r="S41" s="1387">
        <f t="shared" si="9"/>
        <v>100</v>
      </c>
      <c r="T41" s="1386" t="s">
        <v>5</v>
      </c>
      <c r="U41" s="1387">
        <f t="shared" si="10"/>
        <v>100</v>
      </c>
      <c r="V41" s="1386" t="s">
        <v>5</v>
      </c>
      <c r="W41" s="1387">
        <f t="shared" si="11"/>
        <v>100</v>
      </c>
      <c r="X41" s="1380"/>
      <c r="Y41" s="3964"/>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64"/>
      <c r="Q42" s="1385">
        <f t="shared" si="13"/>
        <v>111</v>
      </c>
      <c r="R42" s="1390" t="s">
        <v>5</v>
      </c>
      <c r="S42" s="1391">
        <f t="shared" si="9"/>
        <v>100</v>
      </c>
      <c r="T42" s="1390" t="s">
        <v>5</v>
      </c>
      <c r="U42" s="1391">
        <f t="shared" si="10"/>
        <v>100</v>
      </c>
      <c r="V42" s="1390" t="s">
        <v>5</v>
      </c>
      <c r="W42" s="1391">
        <f t="shared" si="11"/>
        <v>100</v>
      </c>
      <c r="X42" s="1392"/>
      <c r="Y42" s="3964"/>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958" t="str">
        <f>A43</f>
        <v>成交单价</v>
      </c>
      <c r="Q43" s="3958"/>
      <c r="R43" s="3960">
        <f>E43</f>
        <v>0</v>
      </c>
      <c r="S43" s="3960"/>
      <c r="T43" s="3960">
        <f>G43</f>
        <v>0</v>
      </c>
      <c r="U43" s="3960"/>
      <c r="V43" s="3960">
        <f>I43</f>
        <v>0</v>
      </c>
      <c r="W43" s="3960"/>
      <c r="X43" s="1375"/>
      <c r="Y43" s="1394"/>
      <c r="Z43" s="1375"/>
      <c r="AA43" s="1375"/>
      <c r="AB43" s="1375"/>
      <c r="AC43" s="1375"/>
    </row>
    <row r="44" spans="1:29" ht="1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958" t="str">
        <f>A44</f>
        <v>比较价格（元/平方米）</v>
      </c>
      <c r="Q44" s="3958"/>
      <c r="R44" s="3959" t="e">
        <f>ROUND(PRODUCT(R43,AA9:AA42),0)</f>
        <v>#DIV/0!</v>
      </c>
      <c r="S44" s="3959"/>
      <c r="T44" s="3959" t="e">
        <f>ROUND(PRODUCT(T43,AB9:AB42),0)</f>
        <v>#DIV/0!</v>
      </c>
      <c r="U44" s="3959"/>
      <c r="V44" s="3959" t="e">
        <f>ROUND(PRODUCT(V43,AC9:AC42),0)</f>
        <v>#DIV/0!</v>
      </c>
      <c r="W44" s="3959"/>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955" t="str">
        <f>A45</f>
        <v>估价对象XX用房的比较价格（楼面单价，元/平方米）</v>
      </c>
      <c r="Q45" s="3956"/>
      <c r="R45" s="3957" t="e">
        <f>ROUND(IF(D44="简单平均",AVERAGE(R44:W44),R44*F44+T44*H44+V44*J44),0)</f>
        <v>#DIV/0!</v>
      </c>
      <c r="S45" s="3957"/>
      <c r="T45" s="3957"/>
      <c r="U45" s="3957"/>
      <c r="V45" s="3957"/>
      <c r="W45" s="3957"/>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51" t="s">
        <v>1642</v>
      </c>
      <c r="H52" s="395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32240.2</v>
      </c>
      <c r="F53" s="1706" t="e">
        <f t="shared" ref="F53:F61" si="14">ROUND(B53*E53/10000,0)</f>
        <v>#DIV/0!</v>
      </c>
      <c r="G53" s="3953"/>
      <c r="H53" s="3954"/>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三级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12896.08</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2025-6-1</v>
      </c>
      <c r="D64" s="2279">
        <f>EDATE(C64,-3)</f>
        <v>45717</v>
      </c>
      <c r="E64" s="2279">
        <f t="shared" ref="E64:N64" si="17">EDATE(D64,-3)</f>
        <v>45627</v>
      </c>
      <c r="F64" s="2279">
        <f t="shared" si="17"/>
        <v>45536</v>
      </c>
      <c r="G64" s="2279">
        <f t="shared" si="17"/>
        <v>45444</v>
      </c>
      <c r="H64" s="2279">
        <f t="shared" si="17"/>
        <v>45352</v>
      </c>
      <c r="I64" s="2279">
        <f t="shared" si="17"/>
        <v>45261</v>
      </c>
      <c r="J64" s="2279">
        <f t="shared" si="17"/>
        <v>45170</v>
      </c>
      <c r="K64" s="2279">
        <f t="shared" si="17"/>
        <v>45078</v>
      </c>
      <c r="L64" s="2279">
        <f t="shared" si="17"/>
        <v>44986</v>
      </c>
      <c r="M64" s="2279">
        <f t="shared" si="17"/>
        <v>44896</v>
      </c>
      <c r="N64" s="2279">
        <f t="shared" si="17"/>
        <v>44805</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2025-2</v>
      </c>
      <c r="D66" s="2281" t="str">
        <f t="shared" ref="D66:N66" si="18">YEAR(D64)&amp;"-"&amp;ROUNDUP(MONTH(D64)/3,0)</f>
        <v>2025-1</v>
      </c>
      <c r="E66" s="2281" t="str">
        <f t="shared" si="18"/>
        <v>2024-4</v>
      </c>
      <c r="F66" s="2281" t="str">
        <f t="shared" si="18"/>
        <v>2024-3</v>
      </c>
      <c r="G66" s="2281" t="str">
        <f t="shared" si="18"/>
        <v>2024-2</v>
      </c>
      <c r="H66" s="2281" t="str">
        <f t="shared" si="18"/>
        <v>2024-1</v>
      </c>
      <c r="I66" s="2281" t="str">
        <f t="shared" si="18"/>
        <v>2023-4</v>
      </c>
      <c r="J66" s="2281" t="str">
        <f t="shared" si="18"/>
        <v>2023-3</v>
      </c>
      <c r="K66" s="2281" t="str">
        <f t="shared" si="18"/>
        <v>2023-2</v>
      </c>
      <c r="L66" s="2281" t="str">
        <f t="shared" si="18"/>
        <v>2023-1</v>
      </c>
      <c r="M66" s="2281" t="str">
        <f t="shared" si="18"/>
        <v>2022-4</v>
      </c>
      <c r="N66" s="2281" t="str">
        <f t="shared" si="18"/>
        <v>2022-3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I31" sqref="I3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12896.08</v>
      </c>
      <c r="E1" s="1261" t="s">
        <v>1779</v>
      </c>
      <c r="F1" s="2105">
        <f>'数据-基础表'!A3</f>
        <v>12896.08</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4177</v>
      </c>
      <c r="C2" s="1262" t="s">
        <v>849</v>
      </c>
      <c r="D2" s="1263" t="s">
        <v>850</v>
      </c>
      <c r="E2" s="1264" t="s">
        <v>2736</v>
      </c>
      <c r="F2" s="1263" t="s">
        <v>852</v>
      </c>
      <c r="G2" s="1457" t="str">
        <f>IF(E2="商业",项目基本情况!B43,IF(E2="办公",项目基本情况!C43,IF(E2="住宅",项目基本情况!D43,IF(E2="工业",项目基本情况!E43,项目基本情况!F43))))</f>
        <v>三级</v>
      </c>
      <c r="H2" s="1263" t="s">
        <v>854</v>
      </c>
      <c r="I2" s="1458" t="str">
        <f>IF(E2="商业",项目基本情况!B44,IF(E2="办公",项目基本情况!C44,IF(E2="住宅",项目基本情况!D44,IF(E2="工业",项目基本情况!E44,项目基本情况!F44))))</f>
        <v>Ⅲ—13</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4865</v>
      </c>
      <c r="U2" s="2406"/>
      <c r="V2" s="2416">
        <f>ROUND(T2*U2/10000,0)</f>
        <v>0</v>
      </c>
      <c r="W2" s="1911"/>
      <c r="X2" s="1911"/>
      <c r="Y2" s="1911"/>
      <c r="Z2" s="1911"/>
      <c r="AA2" s="1911"/>
      <c r="AB2" s="1911"/>
      <c r="AC2" s="1912"/>
    </row>
    <row r="3" spans="1:39" ht="15.6">
      <c r="A3" s="1266" t="s">
        <v>1220</v>
      </c>
      <c r="B3" s="991">
        <f>ROUND(B2*10000/D1,0)</f>
        <v>3239</v>
      </c>
      <c r="C3" s="1262" t="s">
        <v>855</v>
      </c>
      <c r="D3" s="1263" t="s">
        <v>856</v>
      </c>
      <c r="E3" s="1267" t="s">
        <v>2492</v>
      </c>
      <c r="F3" s="1268" t="s">
        <v>3352</v>
      </c>
      <c r="G3" s="992">
        <f>IF(F3="宗地容积率",'数据-汇总表'!I4,IF(F3="估价对象容积率",'数据-汇总表'!I6,'数据-汇总表'!I7))</f>
        <v>2</v>
      </c>
      <c r="H3" s="1269" t="s">
        <v>857</v>
      </c>
      <c r="I3" s="993"/>
      <c r="J3" s="1265" t="s">
        <v>858</v>
      </c>
      <c r="K3" s="2975"/>
      <c r="L3" s="1641" t="s">
        <v>1599</v>
      </c>
      <c r="M3" s="1642">
        <f>SUMPRODUCT((区片价!B30:B54=I2)*(区片价!C3:G3=E2)*(区片价!C30:G54))</f>
        <v>15590</v>
      </c>
      <c r="N3" s="1643">
        <f>SUMPRODUCT((因素修正幅度!B30:B54=I2)*(因素修正幅度!C3:G3=E2)*(因素修正幅度!C30:G54))</f>
        <v>9.8000000000000004E-2</v>
      </c>
      <c r="O3" s="2975"/>
      <c r="P3" s="1911"/>
      <c r="Q3" s="1911"/>
      <c r="R3" s="2416">
        <v>2</v>
      </c>
      <c r="S3" s="2416">
        <f>ROUND(SUMPRODUCT((B107:B111=R3)*(C106:N106=G2)*(C107:N111)),4)</f>
        <v>1.1838</v>
      </c>
      <c r="T3" s="2416">
        <f t="shared" ref="T3:T16" si="0">ROUND($C$5*$C$22*$C$23*$C$24*S3*$C$28,0)</f>
        <v>3834</v>
      </c>
      <c r="U3" s="2406"/>
      <c r="V3" s="2416">
        <f t="shared" ref="V3:V16" si="1">ROUND(T3*U3/10000,0)</f>
        <v>0</v>
      </c>
      <c r="W3" s="1911"/>
      <c r="X3" s="1911"/>
      <c r="Y3" s="1911"/>
      <c r="Z3" s="1911"/>
      <c r="AA3" s="1911"/>
      <c r="AB3" s="1911"/>
      <c r="AC3" s="1912"/>
    </row>
    <row r="4" spans="1:39" ht="31.2">
      <c r="A4" s="1647" t="s">
        <v>1638</v>
      </c>
      <c r="B4" s="2106">
        <f>ROUND(B2*10000/F1,0)</f>
        <v>3239</v>
      </c>
      <c r="C4" s="1650" t="s">
        <v>1613</v>
      </c>
      <c r="D4" s="1650">
        <f>ROUND(B2/(F1/666.67),0)</f>
        <v>216</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3241</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15590</v>
      </c>
      <c r="D5" s="2548">
        <f>ROUND(C6*C17+C20,0)</f>
        <v>15590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2858</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15590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2747</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3191</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86" t="s">
        <v>2046</v>
      </c>
      <c r="X7" s="2407" t="str">
        <f>G2</f>
        <v>三级</v>
      </c>
      <c r="Y7" s="2407" t="s">
        <v>2047</v>
      </c>
      <c r="Z7" s="2408">
        <f>G3</f>
        <v>2</v>
      </c>
      <c r="AA7" s="1914"/>
      <c r="AB7" s="1914"/>
      <c r="AC7" s="1915"/>
      <c r="AD7" s="2409"/>
      <c r="AE7" s="2409"/>
      <c r="AF7" s="2409"/>
      <c r="AG7" s="2409"/>
      <c r="AH7" s="2409"/>
      <c r="AI7" s="2409"/>
      <c r="AJ7" s="2410"/>
    </row>
    <row r="8" spans="1:39" ht="15">
      <c r="A8" s="3532"/>
      <c r="B8" s="1269" t="s">
        <v>862</v>
      </c>
      <c r="C8" s="3533"/>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44" t="s">
        <v>2060</v>
      </c>
      <c r="X8" s="394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43"/>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43"/>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3192</v>
      </c>
      <c r="B12" s="3507" t="s">
        <v>3193</v>
      </c>
      <c r="C12" s="3513">
        <v>1</v>
      </c>
      <c r="D12" s="3508" t="s">
        <v>3194</v>
      </c>
      <c r="E12" s="3509" t="s">
        <v>3195</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3196</v>
      </c>
      <c r="B13" s="1283" t="s">
        <v>874</v>
      </c>
      <c r="C13" s="3527">
        <f>ROUND(C16*D16*E16*F16*G16*H16*I16*J16,4)</f>
        <v>1</v>
      </c>
      <c r="D13" s="3545" t="s">
        <v>3197</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3198</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3346</v>
      </c>
      <c r="D15" s="3553" t="s">
        <v>3346</v>
      </c>
      <c r="E15" s="3554" t="s">
        <v>3347</v>
      </c>
      <c r="F15" s="3554"/>
      <c r="G15" s="3516" t="s">
        <v>3199</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3200</v>
      </c>
      <c r="B17" s="3557" t="s">
        <v>3201</v>
      </c>
      <c r="C17" s="3565">
        <f>ROUND(IF(OR(E2="工业",E2="公共服务"),1,IF(AND(E18=0,E19=0),1,IF(AND(E18=J24,E19=G19),0.8,IF(E19=0,1+E17*(-0.2),1+E17*G17*(-0.2))))),4)</f>
        <v>1</v>
      </c>
      <c r="D17" s="3558" t="s">
        <v>3202</v>
      </c>
      <c r="E17" s="3565">
        <f>ROUND(G18/I18,2)</f>
        <v>0</v>
      </c>
      <c r="F17" s="3558" t="s">
        <v>3205</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3203</v>
      </c>
      <c r="E18" s="3564"/>
      <c r="F18" s="3561" t="s">
        <v>3206</v>
      </c>
      <c r="G18" s="3563">
        <f>ROUND(1-(1/(POWER(1+G24,E18))),4)</f>
        <v>0</v>
      </c>
      <c r="H18" s="3561" t="s">
        <v>3208</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3204</v>
      </c>
      <c r="E19" s="3566"/>
      <c r="F19" s="3562" t="s">
        <v>3207</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37" t="s">
        <v>1370</v>
      </c>
      <c r="B20" s="1278" t="s">
        <v>875</v>
      </c>
      <c r="C20" s="998">
        <f>ROUND(IF(F21="与级别开发程度一致",0,(G21-E21)/C21),0)</f>
        <v>0</v>
      </c>
      <c r="D20" s="3949" t="s">
        <v>879</v>
      </c>
      <c r="E20" s="3950"/>
      <c r="F20" s="3949" t="s">
        <v>876</v>
      </c>
      <c r="G20" s="3950"/>
      <c r="H20" s="1291" t="s">
        <v>2765</v>
      </c>
      <c r="I20" s="1291" t="s">
        <v>2766</v>
      </c>
      <c r="J20" s="1291" t="s">
        <v>2767</v>
      </c>
      <c r="K20" s="1291" t="s">
        <v>2768</v>
      </c>
      <c r="L20" s="1291" t="s">
        <v>2769</v>
      </c>
      <c r="M20" s="1291" t="s">
        <v>2770</v>
      </c>
      <c r="N20" s="1291" t="s">
        <v>2771</v>
      </c>
      <c r="O20" s="2606" t="s">
        <v>2772</v>
      </c>
      <c r="P20" s="1911"/>
      <c r="Q20" s="1914"/>
      <c r="R20" s="1917"/>
      <c r="S20" s="1917"/>
      <c r="T20" s="1917"/>
      <c r="U20" s="1917"/>
      <c r="V20" s="1917"/>
      <c r="W20" s="1917"/>
      <c r="X20" s="1917"/>
      <c r="Y20" s="1295"/>
      <c r="Z20" s="1295"/>
      <c r="AA20" s="1295"/>
      <c r="AB20" s="1295"/>
      <c r="AC20" s="1295"/>
      <c r="AD20" s="1295"/>
    </row>
    <row r="21" spans="1:40" s="1276" customFormat="1" ht="24.6" thickBot="1">
      <c r="A21" s="3938"/>
      <c r="B21" s="2607" t="s">
        <v>878</v>
      </c>
      <c r="C21" s="2608">
        <f>IF(E3="M4科研用地",SUMPRODUCT((修正!A2:A7=E3)*(修正!B1:M1=G2)*(修正!B2:M7)),SUMPRODUCT((修正!A2:A7=E2)*(修正!B1:M1=G2)*(修正!B2:M7)))</f>
        <v>2</v>
      </c>
      <c r="D21" s="2609" t="str">
        <f>IF(OR(G2="八级",G2="九级",G2="十级",G2="十一级",G2="十二级"),"五通一平","七通一平")</f>
        <v>七通一平</v>
      </c>
      <c r="E21" s="2599">
        <f>SUMPRODUCT((修正!B1:M1=G2)*(修正!B17:M17))</f>
        <v>315</v>
      </c>
      <c r="F21" s="2600" t="s">
        <v>3348</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0.2</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0.98880000000000001</v>
      </c>
      <c r="D23" s="1297" t="s">
        <v>882</v>
      </c>
      <c r="E23" s="1000">
        <v>44197</v>
      </c>
      <c r="F23" s="1297" t="s">
        <v>883</v>
      </c>
      <c r="G23" s="1001">
        <f>'数据-取费表'!B2</f>
        <v>45833</v>
      </c>
      <c r="H23" s="1298" t="s">
        <v>2247</v>
      </c>
      <c r="I23" s="2266" t="str">
        <f>IF(H23="季度增幅（自定义）",SUMIF(N25:N28,E2,O25:O28),"")</f>
        <v/>
      </c>
      <c r="J23" s="3567" t="s">
        <v>3258</v>
      </c>
      <c r="K23" s="2977"/>
      <c r="L23" s="2511" t="s">
        <v>2116</v>
      </c>
      <c r="M23" s="2512">
        <f>ROUND(SUMIF(地价!B2:F2,E2,地价!B41:F41),0)</f>
        <v>0</v>
      </c>
      <c r="N23" s="2268" t="s">
        <v>1211</v>
      </c>
      <c r="O23" s="2267">
        <f>ROUNDDOWN(DATEDIF(E23,G23,"M")/3,0)</f>
        <v>17</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3209</v>
      </c>
      <c r="D26" s="1002">
        <f>IF(E26=G26,F26,IF(G3&lt;10,ROUND(F26+(H26-F26)*(G3-E26)/(G26-E26),4),"——"))</f>
        <v>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1.0506</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4177</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3239</v>
      </c>
      <c r="D33" s="1326">
        <f>F1</f>
        <v>12896.08</v>
      </c>
      <c r="E33" s="1635">
        <f>ROUND(C33*D33/10000,0)</f>
        <v>4177</v>
      </c>
      <c r="F33" s="3569" t="s">
        <v>3211</v>
      </c>
      <c r="G33" s="1327"/>
      <c r="H33" s="1327"/>
      <c r="I33" s="1327"/>
      <c r="J33" s="1328"/>
      <c r="K33" s="2985"/>
      <c r="L33" s="3639" t="s">
        <v>3237</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810</v>
      </c>
      <c r="D34" s="1331"/>
      <c r="E34" s="1635">
        <f>ROUND(IF(B25="楼层修正",SUM(V2:V16)*#REF!,C34*D34/10000),0)</f>
        <v>0</v>
      </c>
      <c r="F34" s="3570" t="s">
        <v>3212</v>
      </c>
      <c r="G34" s="1332"/>
      <c r="H34" s="1332"/>
      <c r="I34" s="1332"/>
      <c r="J34" s="1333"/>
      <c r="K34" s="2978"/>
      <c r="L34" s="3639" t="s">
        <v>3238</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3239</v>
      </c>
      <c r="L36" s="3643">
        <f ca="1">'数据-取费表'!B40</f>
        <v>0.03</v>
      </c>
      <c r="M36" s="3644">
        <f ca="1">ROUND($L$36*(1+M31),3)</f>
        <v>3.7999999999999999E-2</v>
      </c>
      <c r="N36" s="3644">
        <f ca="1">ROUND($L$36*(1+N31),3)</f>
        <v>3.5999999999999997E-2</v>
      </c>
      <c r="O36" s="3644">
        <f ca="1">ROUND($L$36*(1+O31),3)</f>
        <v>3.5000000000000003E-2</v>
      </c>
      <c r="P36" s="3644">
        <f ca="1">ROUND($L$36*(1+P31),3)</f>
        <v>3.3000000000000002E-2</v>
      </c>
      <c r="Q36" s="3644">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41"/>
      <c r="B37" s="1344" t="s">
        <v>923</v>
      </c>
      <c r="C37" s="1005">
        <f>ROUND(D5*C22*C23*C24*C28*F37,0)</f>
        <v>1943</v>
      </c>
      <c r="D37" s="1356"/>
      <c r="E37" s="996">
        <f>ROUND(C37*D37/10000,0)</f>
        <v>0</v>
      </c>
      <c r="F37" s="996">
        <f>SUMIF(修正!A57:A68,G2,修正!B57:B68)</f>
        <v>0.6</v>
      </c>
      <c r="G37" s="996">
        <f>ROUND(IF(E2="工业",C37*$M$42,C37*$M$41),0)</f>
        <v>486</v>
      </c>
      <c r="H37" s="996">
        <f>D37</f>
        <v>0</v>
      </c>
      <c r="I37" s="996">
        <f>ROUND(G37*H37/10000,0)</f>
        <v>0</v>
      </c>
      <c r="J37" s="3941"/>
      <c r="K37" s="3642" t="s">
        <v>3240</v>
      </c>
      <c r="L37" s="3643">
        <f ca="1">L36+K38</f>
        <v>3.4999999999999996E-2</v>
      </c>
      <c r="M37" s="3644">
        <f ca="1">ROUND($L$37*(1+M31),3)</f>
        <v>4.3999999999999997E-2</v>
      </c>
      <c r="N37" s="3644">
        <f t="shared" ref="N37:Q37" ca="1" si="3">ROUND($L$37*(1+N31),3)</f>
        <v>4.2000000000000003E-2</v>
      </c>
      <c r="O37" s="3644">
        <f t="shared" ca="1" si="3"/>
        <v>0.04</v>
      </c>
      <c r="P37" s="3644">
        <f t="shared" ca="1" si="3"/>
        <v>3.9E-2</v>
      </c>
      <c r="Q37" s="3644">
        <f t="shared" ca="1" si="3"/>
        <v>0.04</v>
      </c>
      <c r="R37" s="1912"/>
      <c r="S37" s="1912"/>
      <c r="T37" s="1912"/>
      <c r="U37" s="1912"/>
      <c r="V37" s="1912"/>
      <c r="W37" s="1911"/>
      <c r="X37" s="1911"/>
      <c r="Y37" s="1911"/>
      <c r="Z37" s="1911"/>
      <c r="AA37" s="1911"/>
      <c r="AB37" s="1911"/>
      <c r="AC37" s="1912"/>
    </row>
    <row r="38" spans="1:44" ht="13.2">
      <c r="A38" s="3942"/>
      <c r="B38" s="1288" t="s">
        <v>924</v>
      </c>
      <c r="C38" s="1005">
        <f>ROUND(D5*C22*C23*C24*C28*F38,0)</f>
        <v>972</v>
      </c>
      <c r="D38" s="1356"/>
      <c r="E38" s="996">
        <f t="shared" ref="E38:E42" si="4">ROUND(C38*D38/10000,0)</f>
        <v>0</v>
      </c>
      <c r="F38" s="996">
        <f>SUMIF(修正!A57:A68,G2,修正!C57:C68)</f>
        <v>0.3</v>
      </c>
      <c r="G38" s="996">
        <f>ROUND(IF(E2="工业",C38*$M$42,C38*$M$41),0)</f>
        <v>243</v>
      </c>
      <c r="H38" s="996">
        <f t="shared" ref="H38:H42" si="5">D38</f>
        <v>0</v>
      </c>
      <c r="I38" s="996">
        <f t="shared" ref="I38:I42" si="6">ROUND(G38*H38/10000,0)</f>
        <v>0</v>
      </c>
      <c r="J38" s="3942"/>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42"/>
      <c r="B39" s="3571" t="s">
        <v>3213</v>
      </c>
      <c r="C39" s="1005">
        <f>ROUND(D5*C22*C23*C24*C28*F39,0)</f>
        <v>810</v>
      </c>
      <c r="D39" s="1356"/>
      <c r="E39" s="996">
        <f t="shared" si="4"/>
        <v>0</v>
      </c>
      <c r="F39" s="996">
        <f>SUMIF(修正!A57:A68,G2,修正!D57:D68)</f>
        <v>0.25</v>
      </c>
      <c r="G39" s="996">
        <f>ROUND(IF(E2="工业",C39*$M$42,C39*$M$41),0)</f>
        <v>203</v>
      </c>
      <c r="H39" s="996">
        <f t="shared" si="5"/>
        <v>0</v>
      </c>
      <c r="I39" s="996">
        <f t="shared" si="6"/>
        <v>0</v>
      </c>
      <c r="J39" s="3942"/>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810</v>
      </c>
      <c r="D40" s="1356"/>
      <c r="E40" s="996">
        <f t="shared" si="4"/>
        <v>0</v>
      </c>
      <c r="F40" s="1005">
        <f>SUMIF(修正!A57:A68,G2,修正!E57:E68)</f>
        <v>0.25</v>
      </c>
      <c r="G40" s="996">
        <f>ROUND(IF(E2="工业",C40*$M$42,C40*$M$41),0)</f>
        <v>203</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82"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48">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48">
      <c r="A52" s="3572" t="s">
        <v>3215</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36">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36.6"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82"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48">
      <c r="A63" s="3572" t="s">
        <v>3215</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t="e">
        <f>1+E72</f>
        <v>#VALUE!</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82"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3349</v>
      </c>
      <c r="D72" s="3599" t="e">
        <f t="shared" ref="D72:D80" si="17">SUMIF($J$71:$N$71,C72,J72:N72)</f>
        <v>#VALUE!</v>
      </c>
      <c r="E72" s="3600" t="e">
        <f>ROUND(SUM(D72:D80),4)</f>
        <v>#VALUE!</v>
      </c>
      <c r="F72" s="3601" t="str">
        <f>IF(E2="住宅",SUMIF(L1:L12,G2,N1:N12),"——")</f>
        <v>——</v>
      </c>
      <c r="G72" s="3616" t="str">
        <f>H72</f>
        <v>——</v>
      </c>
      <c r="H72" s="3617" t="str">
        <f t="shared" ref="H72:H80" si="18">IFERROR(ROUNDDOWN($F$72*I72/2,4),"——")</f>
        <v>——</v>
      </c>
      <c r="I72" s="3577">
        <v>0.2</v>
      </c>
      <c r="J72" s="3604" t="e">
        <f t="shared" ref="J72:J80" si="19">K72+$G72</f>
        <v>#VALUE!</v>
      </c>
      <c r="K72" s="3604" t="e">
        <f t="shared" ref="K72:K80" si="20">$L72+$G72</f>
        <v>#VALUE!</v>
      </c>
      <c r="L72" s="3604">
        <v>0</v>
      </c>
      <c r="M72" s="3604" t="e">
        <f t="shared" ref="M72:N80" si="21">L72-$G72</f>
        <v>#VALUE!</v>
      </c>
      <c r="N72" s="3604" t="e">
        <f t="shared" si="21"/>
        <v>#VALUE!</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t="s">
        <v>3349</v>
      </c>
      <c r="D73" s="3599" t="e">
        <f t="shared" si="17"/>
        <v>#VALUE!</v>
      </c>
      <c r="E73" s="3605"/>
      <c r="F73" s="3601"/>
      <c r="G73" s="3616" t="str">
        <f t="shared" ref="G73:G80" si="22">H73</f>
        <v>——</v>
      </c>
      <c r="H73" s="3617" t="str">
        <f t="shared" si="18"/>
        <v>——</v>
      </c>
      <c r="I73" s="3577">
        <v>0.26</v>
      </c>
      <c r="J73" s="3604" t="e">
        <f t="shared" si="19"/>
        <v>#VALUE!</v>
      </c>
      <c r="K73" s="3604" t="e">
        <f t="shared" si="20"/>
        <v>#VALUE!</v>
      </c>
      <c r="L73" s="3604">
        <v>0</v>
      </c>
      <c r="M73" s="3604" t="e">
        <f t="shared" si="21"/>
        <v>#VALUE!</v>
      </c>
      <c r="N73" s="3604" t="e">
        <f t="shared" si="21"/>
        <v>#VALUE!</v>
      </c>
      <c r="P73" s="1920"/>
      <c r="Q73" s="1920"/>
      <c r="R73" s="1920"/>
      <c r="S73" s="1920"/>
      <c r="T73" s="1920"/>
      <c r="U73" s="1920"/>
      <c r="V73" s="1920"/>
      <c r="W73" s="1920"/>
      <c r="X73" s="1920"/>
      <c r="Y73" s="1920"/>
      <c r="Z73" s="1920"/>
      <c r="AA73" s="1920"/>
      <c r="AB73" s="1920"/>
      <c r="AC73" s="1920"/>
      <c r="AD73" s="1920"/>
    </row>
    <row r="74" spans="1:36" s="3584" customFormat="1" ht="48">
      <c r="A74" s="3572" t="s">
        <v>3215</v>
      </c>
      <c r="B74" s="3591">
        <f>估价对象房地状况!C19</f>
        <v>0</v>
      </c>
      <c r="C74" s="3615" t="s">
        <v>3349</v>
      </c>
      <c r="D74" s="3599" t="e">
        <f t="shared" si="17"/>
        <v>#VALUE!</v>
      </c>
      <c r="E74" s="3605"/>
      <c r="F74" s="3601"/>
      <c r="G74" s="3616" t="str">
        <f t="shared" si="22"/>
        <v>——</v>
      </c>
      <c r="H74" s="3617" t="str">
        <f t="shared" si="18"/>
        <v>——</v>
      </c>
      <c r="I74" s="3577">
        <v>0.1</v>
      </c>
      <c r="J74" s="3604" t="e">
        <f t="shared" si="19"/>
        <v>#VALUE!</v>
      </c>
      <c r="K74" s="3604" t="e">
        <f t="shared" si="20"/>
        <v>#VALUE!</v>
      </c>
      <c r="L74" s="3604">
        <v>0</v>
      </c>
      <c r="M74" s="3604" t="e">
        <f t="shared" si="21"/>
        <v>#VALUE!</v>
      </c>
      <c r="N74" s="3604" t="e">
        <f t="shared" si="21"/>
        <v>#VALUE!</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t="s">
        <v>3350</v>
      </c>
      <c r="D75" s="3599">
        <f t="shared" si="17"/>
        <v>0</v>
      </c>
      <c r="E75" s="3605"/>
      <c r="F75" s="3601"/>
      <c r="G75" s="3616" t="str">
        <f t="shared" si="22"/>
        <v>——</v>
      </c>
      <c r="H75" s="3617" t="str">
        <f t="shared" si="18"/>
        <v>——</v>
      </c>
      <c r="I75" s="3577">
        <v>0.05</v>
      </c>
      <c r="J75" s="3604" t="e">
        <f t="shared" si="19"/>
        <v>#VALUE!</v>
      </c>
      <c r="K75" s="3604" t="e">
        <f t="shared" si="20"/>
        <v>#VALUE!</v>
      </c>
      <c r="L75" s="3604">
        <v>0</v>
      </c>
      <c r="M75" s="3604" t="e">
        <f t="shared" si="21"/>
        <v>#VALUE!</v>
      </c>
      <c r="N75" s="3604" t="e">
        <f t="shared" si="21"/>
        <v>#VALUE!</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3349</v>
      </c>
      <c r="D76" s="3599" t="e">
        <f t="shared" si="17"/>
        <v>#VALUE!</v>
      </c>
      <c r="E76" s="3605"/>
      <c r="F76" s="3601"/>
      <c r="G76" s="3616" t="str">
        <f t="shared" si="22"/>
        <v>——</v>
      </c>
      <c r="H76" s="3617" t="str">
        <f t="shared" si="18"/>
        <v>——</v>
      </c>
      <c r="I76" s="3577">
        <v>0.08</v>
      </c>
      <c r="J76" s="3604" t="e">
        <f t="shared" si="19"/>
        <v>#VALUE!</v>
      </c>
      <c r="K76" s="3604" t="e">
        <f t="shared" si="20"/>
        <v>#VALUE!</v>
      </c>
      <c r="L76" s="3604">
        <v>0</v>
      </c>
      <c r="M76" s="3604" t="e">
        <f t="shared" si="21"/>
        <v>#VALUE!</v>
      </c>
      <c r="N76" s="3604" t="e">
        <f t="shared" si="21"/>
        <v>#VALUE!</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3351</v>
      </c>
      <c r="D77" s="3599" t="e">
        <f t="shared" si="17"/>
        <v>#VALUE!</v>
      </c>
      <c r="E77" s="3605"/>
      <c r="F77" s="3601"/>
      <c r="G77" s="3616" t="str">
        <f t="shared" si="22"/>
        <v>——</v>
      </c>
      <c r="H77" s="3617" t="str">
        <f t="shared" si="18"/>
        <v>——</v>
      </c>
      <c r="I77" s="3577">
        <v>0.09</v>
      </c>
      <c r="J77" s="3604" t="e">
        <f t="shared" si="19"/>
        <v>#VALUE!</v>
      </c>
      <c r="K77" s="3604" t="e">
        <f t="shared" si="20"/>
        <v>#VALUE!</v>
      </c>
      <c r="L77" s="3604">
        <v>0</v>
      </c>
      <c r="M77" s="3604" t="e">
        <f t="shared" si="21"/>
        <v>#VALUE!</v>
      </c>
      <c r="N77" s="3604" t="e">
        <f t="shared" si="21"/>
        <v>#VALUE!</v>
      </c>
      <c r="O77" s="3584"/>
      <c r="P77" s="1920"/>
      <c r="Q77" s="1920"/>
      <c r="AE77" s="3584"/>
      <c r="AF77" s="3584"/>
      <c r="AG77" s="3584"/>
      <c r="AH77" s="3584"/>
      <c r="AI77" s="3584"/>
      <c r="AJ77" s="3584"/>
    </row>
    <row r="78" spans="1:36" s="1348" customFormat="1" ht="36">
      <c r="A78" s="3590" t="s">
        <v>947</v>
      </c>
      <c r="B78" s="3607" t="s">
        <v>2199</v>
      </c>
      <c r="C78" s="3615" t="s">
        <v>3351</v>
      </c>
      <c r="D78" s="3599" t="e">
        <f t="shared" si="17"/>
        <v>#VALUE!</v>
      </c>
      <c r="E78" s="3605"/>
      <c r="F78" s="3601"/>
      <c r="G78" s="3616" t="str">
        <f t="shared" si="22"/>
        <v>——</v>
      </c>
      <c r="H78" s="3617" t="str">
        <f t="shared" si="18"/>
        <v>——</v>
      </c>
      <c r="I78" s="3577">
        <v>0.05</v>
      </c>
      <c r="J78" s="3604" t="e">
        <f t="shared" si="19"/>
        <v>#VALUE!</v>
      </c>
      <c r="K78" s="3604" t="e">
        <f t="shared" si="20"/>
        <v>#VALUE!</v>
      </c>
      <c r="L78" s="3604">
        <v>0</v>
      </c>
      <c r="M78" s="3604" t="e">
        <f t="shared" si="21"/>
        <v>#VALUE!</v>
      </c>
      <c r="N78" s="3604" t="e">
        <f t="shared" si="21"/>
        <v>#VALUE!</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t="s">
        <v>3349</v>
      </c>
      <c r="D79" s="3599" t="e">
        <f t="shared" si="17"/>
        <v>#VALUE!</v>
      </c>
      <c r="E79" s="3605"/>
      <c r="F79" s="3601"/>
      <c r="G79" s="3616" t="str">
        <f t="shared" si="22"/>
        <v>——</v>
      </c>
      <c r="H79" s="3617" t="str">
        <f t="shared" si="18"/>
        <v>——</v>
      </c>
      <c r="I79" s="3577">
        <v>0.12</v>
      </c>
      <c r="J79" s="3604" t="e">
        <f t="shared" si="19"/>
        <v>#VALUE!</v>
      </c>
      <c r="K79" s="3604" t="e">
        <f t="shared" si="20"/>
        <v>#VALUE!</v>
      </c>
      <c r="L79" s="3604">
        <v>0</v>
      </c>
      <c r="M79" s="3604" t="e">
        <f t="shared" si="21"/>
        <v>#VALUE!</v>
      </c>
      <c r="N79" s="3604" t="e">
        <f t="shared" si="21"/>
        <v>#VALUE!</v>
      </c>
      <c r="P79" s="3618"/>
      <c r="Q79" s="3618"/>
      <c r="AE79" s="3584"/>
      <c r="AF79" s="3584"/>
      <c r="AG79" s="3584"/>
      <c r="AH79" s="3584"/>
      <c r="AI79" s="3584"/>
      <c r="AJ79" s="3584"/>
    </row>
    <row r="80" spans="1:36" s="1348" customFormat="1" ht="36.6" thickBot="1">
      <c r="A80" s="3610" t="s">
        <v>957</v>
      </c>
      <c r="B80" s="3619"/>
      <c r="C80" s="3615" t="s">
        <v>3349</v>
      </c>
      <c r="D80" s="3599" t="e">
        <f t="shared" si="17"/>
        <v>#VALUE!</v>
      </c>
      <c r="E80" s="3612"/>
      <c r="F80" s="3601"/>
      <c r="G80" s="3616" t="str">
        <f t="shared" si="22"/>
        <v>——</v>
      </c>
      <c r="H80" s="3617" t="str">
        <f t="shared" si="18"/>
        <v>——</v>
      </c>
      <c r="I80" s="3579">
        <v>0.05</v>
      </c>
      <c r="J80" s="3604" t="e">
        <f t="shared" si="19"/>
        <v>#VALUE!</v>
      </c>
      <c r="K80" s="3604" t="e">
        <f t="shared" si="20"/>
        <v>#VALUE!</v>
      </c>
      <c r="L80" s="3604">
        <v>0</v>
      </c>
      <c r="M80" s="3604" t="e">
        <f t="shared" si="21"/>
        <v>#VALUE!</v>
      </c>
      <c r="N80" s="3604" t="e">
        <f t="shared" si="21"/>
        <v>#VALUE!</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82"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3.8">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36">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4.4">
      <c r="A91" s="3573" t="s">
        <v>3224</v>
      </c>
      <c r="B91" s="3649">
        <f>1+E93</f>
        <v>1.0506</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3225</v>
      </c>
      <c r="B92" s="3574"/>
      <c r="C92" s="3574" t="s">
        <v>3230</v>
      </c>
      <c r="D92" s="3574" t="s">
        <v>3217</v>
      </c>
      <c r="E92" s="3631" t="s">
        <v>3218</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3226</v>
      </c>
      <c r="B93" s="3576"/>
      <c r="C93" s="3598" t="s">
        <v>3349</v>
      </c>
      <c r="D93" s="3599">
        <f>SUMIF($J$92:$N$92,C93,J93:N93)</f>
        <v>1.2200000000000001E-2</v>
      </c>
      <c r="E93" s="3632">
        <f>ROUND(SUM(D93:D101),4)</f>
        <v>5.0599999999999999E-2</v>
      </c>
      <c r="F93" s="3601">
        <f>IF(E2="公共服务",SUMIF(L1:L12,G2,N1:N12),"——")</f>
        <v>9.8000000000000004E-2</v>
      </c>
      <c r="G93" s="3616">
        <f>H93</f>
        <v>1.2200000000000001E-2</v>
      </c>
      <c r="H93" s="3603">
        <f>IFERROR(ROUNDDOWN($F$93*I93/2,4),"——")</f>
        <v>1.2200000000000001E-2</v>
      </c>
      <c r="I93" s="3577">
        <v>0.25</v>
      </c>
      <c r="J93" s="3628">
        <f>K93+$G93</f>
        <v>2.4400000000000002E-2</v>
      </c>
      <c r="K93" s="3628">
        <f t="shared" ref="K93:K101" si="28">$L93+$G93</f>
        <v>1.2200000000000001E-2</v>
      </c>
      <c r="L93" s="3628">
        <v>0</v>
      </c>
      <c r="M93" s="3628">
        <f t="shared" ref="M93:N101" si="29">L93-$G93</f>
        <v>-1.2200000000000001E-2</v>
      </c>
      <c r="N93" s="3628">
        <f t="shared" si="29"/>
        <v>-2.4400000000000002E-2</v>
      </c>
      <c r="AE93" s="3584"/>
      <c r="AF93" s="3584"/>
      <c r="AG93" s="3584"/>
      <c r="AH93" s="3584"/>
      <c r="AI93" s="3584"/>
      <c r="AJ93" s="3584"/>
    </row>
    <row r="94" spans="1:36" s="1348" customFormat="1" ht="48">
      <c r="A94" s="3574" t="s">
        <v>3227</v>
      </c>
      <c r="B94" s="3591" t="str">
        <f>估价对象房地状况!G16</f>
        <v>估价对象周边道路状况、公共交通通达情况、停车便捷程度，综合评价交通便捷度较好</v>
      </c>
      <c r="C94" s="3598" t="str">
        <f>C73</f>
        <v>较好</v>
      </c>
      <c r="D94" s="3599">
        <f t="shared" ref="D94:D101" si="30">SUMIF($J$92:$N$92,C94,J94:N94)</f>
        <v>1.2699999999999999E-2</v>
      </c>
      <c r="E94" s="3623"/>
      <c r="F94" s="3601"/>
      <c r="G94" s="3616">
        <f t="shared" ref="G94:G101" si="31">H94</f>
        <v>1.2699999999999999E-2</v>
      </c>
      <c r="H94" s="3603">
        <f t="shared" ref="H94:H101" si="32">IFERROR(ROUNDDOWN($F$93*I94/2,4),"——")</f>
        <v>1.2699999999999999E-2</v>
      </c>
      <c r="I94" s="3577">
        <v>0.26</v>
      </c>
      <c r="J94" s="3628">
        <f>K94+$G94</f>
        <v>2.5399999999999999E-2</v>
      </c>
      <c r="K94" s="3628">
        <f t="shared" si="28"/>
        <v>1.2699999999999999E-2</v>
      </c>
      <c r="L94" s="3628">
        <v>0</v>
      </c>
      <c r="M94" s="3628">
        <f t="shared" si="29"/>
        <v>-1.2699999999999999E-2</v>
      </c>
      <c r="N94" s="3628">
        <f t="shared" si="29"/>
        <v>-2.5399999999999999E-2</v>
      </c>
      <c r="AE94" s="3584"/>
      <c r="AF94" s="3584"/>
      <c r="AG94" s="3584"/>
      <c r="AH94" s="3584"/>
      <c r="AI94" s="3584"/>
      <c r="AJ94" s="3584"/>
    </row>
    <row r="95" spans="1:36" s="1348" customFormat="1" ht="48">
      <c r="A95" s="3629" t="s">
        <v>3215</v>
      </c>
      <c r="B95" s="3591">
        <f>估价对象房地状况!G17</f>
        <v>0</v>
      </c>
      <c r="C95" s="3598" t="str">
        <f>C74</f>
        <v>较好</v>
      </c>
      <c r="D95" s="3599">
        <f t="shared" si="30"/>
        <v>5.3E-3</v>
      </c>
      <c r="E95" s="3623"/>
      <c r="F95" s="3601"/>
      <c r="G95" s="3616">
        <f t="shared" si="31"/>
        <v>5.3E-3</v>
      </c>
      <c r="H95" s="3603">
        <f t="shared" si="32"/>
        <v>5.3E-3</v>
      </c>
      <c r="I95" s="3577">
        <v>0.11</v>
      </c>
      <c r="J95" s="3628">
        <f t="shared" ref="J95:J101" si="33">K95+$G95</f>
        <v>1.06E-2</v>
      </c>
      <c r="K95" s="3628">
        <f t="shared" si="28"/>
        <v>5.3E-3</v>
      </c>
      <c r="L95" s="3628">
        <v>0</v>
      </c>
      <c r="M95" s="3628">
        <f t="shared" si="29"/>
        <v>-5.3E-3</v>
      </c>
      <c r="N95" s="3628">
        <f t="shared" si="29"/>
        <v>-1.06E-2</v>
      </c>
      <c r="AE95" s="3584"/>
      <c r="AF95" s="3584"/>
      <c r="AG95" s="3584"/>
      <c r="AH95" s="3584"/>
      <c r="AI95" s="3584"/>
      <c r="AJ95" s="3584"/>
    </row>
    <row r="96" spans="1:36" s="1348" customFormat="1" ht="37.200000000000003">
      <c r="A96" s="3574" t="s">
        <v>3219</v>
      </c>
      <c r="B96" s="3578" t="s">
        <v>3220</v>
      </c>
      <c r="C96" s="3598" t="s">
        <v>3349</v>
      </c>
      <c r="D96" s="3599">
        <f t="shared" si="30"/>
        <v>2.3999999999999998E-3</v>
      </c>
      <c r="E96" s="3623"/>
      <c r="F96" s="3601"/>
      <c r="G96" s="3616">
        <f t="shared" si="31"/>
        <v>2.3999999999999998E-3</v>
      </c>
      <c r="H96" s="3603">
        <f t="shared" si="32"/>
        <v>2.3999999999999998E-3</v>
      </c>
      <c r="I96" s="3577">
        <v>0.05</v>
      </c>
      <c r="J96" s="3628">
        <f t="shared" si="33"/>
        <v>4.7999999999999996E-3</v>
      </c>
      <c r="K96" s="3628">
        <f t="shared" si="28"/>
        <v>2.3999999999999998E-3</v>
      </c>
      <c r="L96" s="3628">
        <v>0</v>
      </c>
      <c r="M96" s="3628">
        <f>L96-$G96</f>
        <v>-2.3999999999999998E-3</v>
      </c>
      <c r="N96" s="3628">
        <f t="shared" si="29"/>
        <v>-4.7999999999999996E-3</v>
      </c>
      <c r="AE96" s="3584"/>
      <c r="AF96" s="3584"/>
      <c r="AG96" s="3584"/>
      <c r="AH96" s="3584"/>
      <c r="AI96" s="3584"/>
      <c r="AJ96" s="3584"/>
    </row>
    <row r="97" spans="1:36" s="1348" customFormat="1" ht="24">
      <c r="A97" s="3574" t="s">
        <v>3221</v>
      </c>
      <c r="B97" s="3591">
        <f>估价对象房地状况!G22</f>
        <v>0</v>
      </c>
      <c r="C97" s="3598" t="s">
        <v>3350</v>
      </c>
      <c r="D97" s="3599">
        <f t="shared" si="30"/>
        <v>0</v>
      </c>
      <c r="E97" s="3623"/>
      <c r="F97" s="3601"/>
      <c r="G97" s="3616">
        <f t="shared" si="31"/>
        <v>2.3999999999999998E-3</v>
      </c>
      <c r="H97" s="3603">
        <f t="shared" si="32"/>
        <v>2.3999999999999998E-3</v>
      </c>
      <c r="I97" s="3577">
        <v>0.05</v>
      </c>
      <c r="J97" s="3628">
        <f t="shared" si="33"/>
        <v>4.7999999999999996E-3</v>
      </c>
      <c r="K97" s="3628">
        <f t="shared" si="28"/>
        <v>2.3999999999999998E-3</v>
      </c>
      <c r="L97" s="3628">
        <v>0</v>
      </c>
      <c r="M97" s="3628">
        <f t="shared" si="29"/>
        <v>-2.3999999999999998E-3</v>
      </c>
      <c r="N97" s="3628">
        <f t="shared" si="29"/>
        <v>-4.7999999999999996E-3</v>
      </c>
      <c r="AE97" s="3584"/>
      <c r="AF97" s="3584"/>
      <c r="AG97" s="3584"/>
      <c r="AH97" s="3584"/>
      <c r="AI97" s="3584"/>
      <c r="AJ97" s="3584"/>
    </row>
    <row r="98" spans="1:36" s="1348" customFormat="1" ht="36">
      <c r="A98" s="3574" t="s">
        <v>3228</v>
      </c>
      <c r="B98" s="3606" t="s">
        <v>2199</v>
      </c>
      <c r="C98" s="3598" t="s">
        <v>3349</v>
      </c>
      <c r="D98" s="3599">
        <f t="shared" si="30"/>
        <v>2.8999999999999998E-3</v>
      </c>
      <c r="E98" s="3623"/>
      <c r="F98" s="3601"/>
      <c r="G98" s="3616">
        <f t="shared" si="31"/>
        <v>2.8999999999999998E-3</v>
      </c>
      <c r="H98" s="3603">
        <f t="shared" si="32"/>
        <v>2.8999999999999998E-3</v>
      </c>
      <c r="I98" s="3577">
        <v>0.06</v>
      </c>
      <c r="J98" s="3628">
        <f t="shared" si="33"/>
        <v>5.7999999999999996E-3</v>
      </c>
      <c r="K98" s="3628">
        <f t="shared" si="28"/>
        <v>2.8999999999999998E-3</v>
      </c>
      <c r="L98" s="3628">
        <v>0</v>
      </c>
      <c r="M98" s="3628">
        <f t="shared" si="29"/>
        <v>-2.8999999999999998E-3</v>
      </c>
      <c r="N98" s="3628">
        <f t="shared" si="29"/>
        <v>-5.7999999999999996E-3</v>
      </c>
      <c r="AE98" s="3584"/>
      <c r="AF98" s="3584"/>
      <c r="AG98" s="3584"/>
      <c r="AH98" s="3584"/>
      <c r="AI98" s="3584"/>
      <c r="AJ98" s="3584"/>
    </row>
    <row r="99" spans="1:36" s="1348" customFormat="1" ht="24">
      <c r="A99" s="3574" t="s">
        <v>3229</v>
      </c>
      <c r="B99" s="3591" t="str">
        <f>估价对象房地状况!C21</f>
        <v>估价对象所在区域公共配套设施齐备情况</v>
      </c>
      <c r="C99" s="3598" t="s">
        <v>3349</v>
      </c>
      <c r="D99" s="3599">
        <f t="shared" si="30"/>
        <v>2.8999999999999998E-3</v>
      </c>
      <c r="E99" s="3623"/>
      <c r="F99" s="3601"/>
      <c r="G99" s="3616">
        <f t="shared" si="31"/>
        <v>2.8999999999999998E-3</v>
      </c>
      <c r="H99" s="3603">
        <f t="shared" si="32"/>
        <v>2.8999999999999998E-3</v>
      </c>
      <c r="I99" s="3577">
        <v>0.06</v>
      </c>
      <c r="J99" s="3628">
        <f t="shared" si="33"/>
        <v>5.7999999999999996E-3</v>
      </c>
      <c r="K99" s="3628">
        <f t="shared" si="28"/>
        <v>2.8999999999999998E-3</v>
      </c>
      <c r="L99" s="3628">
        <v>0</v>
      </c>
      <c r="M99" s="3628">
        <f t="shared" si="29"/>
        <v>-2.8999999999999998E-3</v>
      </c>
      <c r="N99" s="3628">
        <f t="shared" si="29"/>
        <v>-5.7999999999999996E-3</v>
      </c>
      <c r="AE99" s="3584"/>
      <c r="AF99" s="3584"/>
      <c r="AG99" s="3584"/>
      <c r="AH99" s="3584"/>
      <c r="AI99" s="3584"/>
      <c r="AJ99" s="3584"/>
    </row>
    <row r="100" spans="1:36" s="1348" customFormat="1" ht="24">
      <c r="A100" s="3574" t="s">
        <v>3222</v>
      </c>
      <c r="B100" s="3591" t="str">
        <f>估价对象房地状况!C22</f>
        <v>估价对象所在区域基础设施水平</v>
      </c>
      <c r="C100" s="3598" t="s">
        <v>3351</v>
      </c>
      <c r="D100" s="3599">
        <f t="shared" si="30"/>
        <v>8.8000000000000005E-3</v>
      </c>
      <c r="E100" s="3623"/>
      <c r="F100" s="3601"/>
      <c r="G100" s="3616">
        <f t="shared" si="31"/>
        <v>4.4000000000000003E-3</v>
      </c>
      <c r="H100" s="3603">
        <f t="shared" si="32"/>
        <v>4.4000000000000003E-3</v>
      </c>
      <c r="I100" s="3577">
        <v>0.09</v>
      </c>
      <c r="J100" s="3628">
        <f t="shared" si="33"/>
        <v>8.8000000000000005E-3</v>
      </c>
      <c r="K100" s="3628">
        <f t="shared" si="28"/>
        <v>4.4000000000000003E-3</v>
      </c>
      <c r="L100" s="3628">
        <v>0</v>
      </c>
      <c r="M100" s="3628">
        <f t="shared" si="29"/>
        <v>-4.4000000000000003E-3</v>
      </c>
      <c r="N100" s="3628">
        <f t="shared" si="29"/>
        <v>-8.8000000000000005E-3</v>
      </c>
      <c r="AE100" s="3584"/>
      <c r="AF100" s="3584"/>
      <c r="AG100" s="3584"/>
      <c r="AH100" s="3584"/>
      <c r="AI100" s="3584"/>
      <c r="AJ100" s="3584"/>
    </row>
    <row r="101" spans="1:36" s="1348" customFormat="1" ht="36.6" thickBot="1">
      <c r="A101" s="3574" t="s">
        <v>3223</v>
      </c>
      <c r="B101" s="3597" t="str">
        <f>估价对象房地状况!C20</f>
        <v>区域自然环境：；人文环境；综合评价环境状况一般</v>
      </c>
      <c r="C101" s="3598" t="s">
        <v>3349</v>
      </c>
      <c r="D101" s="3599">
        <f t="shared" si="30"/>
        <v>3.3999999999999998E-3</v>
      </c>
      <c r="E101" s="3623"/>
      <c r="F101" s="3601"/>
      <c r="G101" s="3616">
        <f t="shared" si="31"/>
        <v>3.3999999999999998E-3</v>
      </c>
      <c r="H101" s="3603">
        <f t="shared" si="32"/>
        <v>3.3999999999999998E-3</v>
      </c>
      <c r="I101" s="3579">
        <v>7.0000000000000007E-2</v>
      </c>
      <c r="J101" s="3628">
        <f t="shared" si="33"/>
        <v>6.7999999999999996E-3</v>
      </c>
      <c r="K101" s="3628">
        <f t="shared" si="28"/>
        <v>3.3999999999999998E-3</v>
      </c>
      <c r="L101" s="3628">
        <v>0</v>
      </c>
      <c r="M101" s="3628">
        <f t="shared" si="29"/>
        <v>-3.3999999999999998E-3</v>
      </c>
      <c r="N101" s="3628">
        <f t="shared" si="29"/>
        <v>-6.7999999999999996E-3</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39" t="s">
        <v>1172</v>
      </c>
      <c r="B104" s="3939"/>
      <c r="C104" s="3939"/>
      <c r="D104" s="3939"/>
      <c r="E104" s="3939"/>
      <c r="F104" s="3939"/>
      <c r="G104" s="3939"/>
      <c r="H104" s="3939"/>
      <c r="I104" s="3939"/>
      <c r="J104" s="3939"/>
      <c r="K104" s="3684"/>
      <c r="L104" s="3684"/>
      <c r="M104" s="3684"/>
      <c r="N104" s="3684"/>
    </row>
    <row r="105" spans="1:36">
      <c r="A105" s="3940" t="s">
        <v>1161</v>
      </c>
      <c r="B105" s="3940" t="s">
        <v>1173</v>
      </c>
      <c r="C105" s="1041" t="s">
        <v>1174</v>
      </c>
      <c r="D105" s="1042"/>
      <c r="E105" s="1042"/>
      <c r="F105" s="1042"/>
      <c r="G105" s="1042"/>
      <c r="H105" s="1042"/>
      <c r="I105" s="1042"/>
      <c r="J105" s="1043"/>
      <c r="K105" s="1035"/>
      <c r="L105" s="1035"/>
      <c r="M105" s="1035"/>
      <c r="N105" s="1035"/>
    </row>
    <row r="106" spans="1:36">
      <c r="A106" s="3940"/>
      <c r="B106" s="3940"/>
      <c r="C106" s="3685" t="s">
        <v>836</v>
      </c>
      <c r="D106" s="3685" t="s">
        <v>820</v>
      </c>
      <c r="E106" s="3685" t="s">
        <v>821</v>
      </c>
      <c r="F106" s="3685" t="s">
        <v>839</v>
      </c>
      <c r="G106" s="3685" t="s">
        <v>823</v>
      </c>
      <c r="H106" s="3685" t="s">
        <v>824</v>
      </c>
      <c r="I106" s="3685" t="s">
        <v>825</v>
      </c>
      <c r="J106" s="3685" t="s">
        <v>826</v>
      </c>
      <c r="K106" s="3685" t="s">
        <v>844</v>
      </c>
      <c r="L106" s="3685" t="s">
        <v>828</v>
      </c>
      <c r="M106" s="3685" t="s">
        <v>829</v>
      </c>
      <c r="N106" s="3685" t="s">
        <v>847</v>
      </c>
    </row>
    <row r="107" spans="1:36">
      <c r="A107" s="394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7"/>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36" t="s">
        <v>1175</v>
      </c>
      <c r="B114" s="3936"/>
      <c r="C114" s="3936"/>
      <c r="D114" s="3936"/>
      <c r="E114" s="3936"/>
      <c r="F114" s="3936"/>
      <c r="G114" s="3936"/>
      <c r="H114" s="3936"/>
      <c r="I114" s="3936"/>
      <c r="J114" s="3936"/>
      <c r="K114" s="3683"/>
      <c r="L114" s="3683"/>
      <c r="M114" s="3683"/>
      <c r="N114" s="3683"/>
    </row>
    <row r="116" spans="1:14" ht="12.6" thickBot="1"/>
    <row r="117" spans="1:14" ht="25.8" thickBot="1">
      <c r="A117" s="976" t="s">
        <v>831</v>
      </c>
      <c r="B117" s="2104">
        <f>G3</f>
        <v>2</v>
      </c>
      <c r="C117" s="977" t="s">
        <v>832</v>
      </c>
      <c r="D117" s="978" t="e">
        <f>SUMPRODUCT((A118:A122=F116)*(B117:M117=H116)*B118:M122)</f>
        <v>#VALUE!</v>
      </c>
      <c r="E117" s="979" t="s">
        <v>833</v>
      </c>
      <c r="F117" s="980" t="str">
        <f>E2</f>
        <v>公共服务</v>
      </c>
      <c r="G117" s="979" t="s">
        <v>834</v>
      </c>
      <c r="H117" s="980" t="str">
        <f>G2</f>
        <v>三级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3232</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5">I119</f>
        <v>0.81259999999999999</v>
      </c>
      <c r="K119" s="3575">
        <f t="shared" si="35"/>
        <v>0.81259999999999999</v>
      </c>
      <c r="L119" s="3575">
        <f t="shared" si="35"/>
        <v>0.81259999999999999</v>
      </c>
      <c r="M119" s="3636">
        <f t="shared" si="35"/>
        <v>0.81259999999999999</v>
      </c>
    </row>
    <row r="120" spans="1:14" ht="13.2">
      <c r="A120" s="3633" t="s">
        <v>3233</v>
      </c>
      <c r="B120" s="3575">
        <f>ROUND(0.993-0.0112*B117,4)</f>
        <v>0.97060000000000002</v>
      </c>
      <c r="C120" s="3575">
        <f>B120</f>
        <v>0.97060000000000002</v>
      </c>
      <c r="D120" s="3575">
        <f>ROUND(0.9415-0.0142*B117,4)</f>
        <v>0.91310000000000002</v>
      </c>
      <c r="E120" s="3575">
        <f t="shared" ref="E120:H121" si="36">D120</f>
        <v>0.91310000000000002</v>
      </c>
      <c r="F120" s="3575">
        <f t="shared" si="36"/>
        <v>0.91310000000000002</v>
      </c>
      <c r="G120" s="3575">
        <f t="shared" si="36"/>
        <v>0.91310000000000002</v>
      </c>
      <c r="H120" s="3575">
        <f t="shared" si="36"/>
        <v>0.91310000000000002</v>
      </c>
      <c r="I120" s="3575">
        <f>ROUND(0.838-0.0182*B117,4)</f>
        <v>0.80159999999999998</v>
      </c>
      <c r="J120" s="3575">
        <f t="shared" si="35"/>
        <v>0.80159999999999998</v>
      </c>
      <c r="K120" s="3575">
        <f t="shared" si="35"/>
        <v>0.80159999999999998</v>
      </c>
      <c r="L120" s="3575">
        <f t="shared" si="35"/>
        <v>0.80159999999999998</v>
      </c>
      <c r="M120" s="3636">
        <f t="shared" si="35"/>
        <v>0.80159999999999998</v>
      </c>
    </row>
    <row r="121" spans="1:14" ht="13.2">
      <c r="A121" s="3633" t="s">
        <v>3234</v>
      </c>
      <c r="B121" s="3575">
        <f>ROUND(0.9448-0.0115*B117,4)</f>
        <v>0.92179999999999995</v>
      </c>
      <c r="C121" s="3575">
        <f>B121</f>
        <v>0.92179999999999995</v>
      </c>
      <c r="D121" s="3575">
        <f>ROUND(0.937-0.0145*B117,4)</f>
        <v>0.90800000000000003</v>
      </c>
      <c r="E121" s="3575">
        <f t="shared" si="36"/>
        <v>0.90800000000000003</v>
      </c>
      <c r="F121" s="3575">
        <f t="shared" si="36"/>
        <v>0.90800000000000003</v>
      </c>
      <c r="G121" s="3575">
        <f t="shared" si="36"/>
        <v>0.90800000000000003</v>
      </c>
      <c r="H121" s="3575">
        <f t="shared" si="36"/>
        <v>0.90800000000000003</v>
      </c>
      <c r="I121" s="3575">
        <f>ROUND(0.7965-0.0185*B117,4)</f>
        <v>0.75949999999999995</v>
      </c>
      <c r="J121" s="3575">
        <f t="shared" si="35"/>
        <v>0.75949999999999995</v>
      </c>
      <c r="K121" s="3575">
        <f t="shared" si="35"/>
        <v>0.75949999999999995</v>
      </c>
      <c r="L121" s="3575">
        <f t="shared" si="35"/>
        <v>0.75949999999999995</v>
      </c>
      <c r="M121" s="3636">
        <f t="shared" si="35"/>
        <v>0.75949999999999995</v>
      </c>
    </row>
    <row r="122" spans="1:14" ht="13.8" thickBot="1">
      <c r="A122" s="3634" t="s">
        <v>3235</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5"/>
        <v>0.55249999999999999</v>
      </c>
      <c r="K122" s="3637">
        <f t="shared" si="35"/>
        <v>0.55249999999999999</v>
      </c>
      <c r="L122" s="3637">
        <f t="shared" si="35"/>
        <v>0.55249999999999999</v>
      </c>
      <c r="M122" s="3638">
        <f t="shared" si="35"/>
        <v>0.55249999999999999</v>
      </c>
    </row>
    <row r="123" spans="1:14" ht="13.2">
      <c r="A123" s="3635" t="s">
        <v>3216</v>
      </c>
      <c r="B123" s="3575">
        <f>ROUND(0.9404-0.0106*B117,4)</f>
        <v>0.91920000000000002</v>
      </c>
      <c r="C123" s="3575">
        <f>B123</f>
        <v>0.91920000000000002</v>
      </c>
      <c r="D123" s="3575">
        <f>ROUND(0.8955-0.0135*B117,4)</f>
        <v>0.86850000000000005</v>
      </c>
      <c r="E123" s="3575">
        <f t="shared" ref="E123:H123" si="37">D123</f>
        <v>0.86850000000000005</v>
      </c>
      <c r="F123" s="3575">
        <f t="shared" si="37"/>
        <v>0.86850000000000005</v>
      </c>
      <c r="G123" s="3575">
        <f t="shared" si="37"/>
        <v>0.86850000000000005</v>
      </c>
      <c r="H123" s="3575">
        <f t="shared" si="37"/>
        <v>0.86850000000000005</v>
      </c>
      <c r="I123" s="3575">
        <f>ROUND(0.7632-0.0166*B117,4)</f>
        <v>0.73</v>
      </c>
      <c r="J123" s="3575">
        <f t="shared" si="35"/>
        <v>0.73</v>
      </c>
      <c r="K123" s="3575">
        <f t="shared" si="35"/>
        <v>0.73</v>
      </c>
      <c r="L123" s="3575">
        <f t="shared" si="35"/>
        <v>0.73</v>
      </c>
      <c r="M123" s="3636">
        <f t="shared" si="35"/>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50" priority="5" stopIfTrue="1" operator="notEqual">
      <formula>"——"</formula>
    </cfRule>
  </conditionalFormatting>
  <conditionalFormatting sqref="F61">
    <cfRule type="cellIs" dxfId="149" priority="4" stopIfTrue="1" operator="notEqual">
      <formula>"——"</formula>
    </cfRule>
  </conditionalFormatting>
  <conditionalFormatting sqref="F72">
    <cfRule type="cellIs" dxfId="148" priority="3" stopIfTrue="1" operator="notEqual">
      <formula>"——"</formula>
    </cfRule>
  </conditionalFormatting>
  <conditionalFormatting sqref="F83">
    <cfRule type="cellIs" dxfId="147" priority="2" stopIfTrue="1" operator="notEqual">
      <formula>"——"</formula>
    </cfRule>
  </conditionalFormatting>
  <conditionalFormatting sqref="H50:H58 H72:H80 H83:H91 H93:H102 H61:H69">
    <cfRule type="cellIs" dxfId="14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14508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725</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1451</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645</v>
      </c>
      <c r="D16" s="437">
        <f ca="1">IF(B1="",'数据-汇总表'!E3,INDIRECT("'数据-取费表'!K"&amp;$K$1)+INDIRECT("'数据-取费表'!S"&amp;$K$1))</f>
        <v>32240.2</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218</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17547</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526</v>
      </c>
      <c r="D19" s="447"/>
      <c r="E19" s="448"/>
      <c r="F19" s="452">
        <f>'数据-取费表'!B37</f>
        <v>0.03</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542</v>
      </c>
      <c r="D20" s="448">
        <f ca="1">ROUND(((1+F20)^'数据-取费表'!B20)-1,4)</f>
        <v>6.0900000000000003E-2</v>
      </c>
      <c r="E20" s="448"/>
      <c r="F20" s="457">
        <f ca="1">'数据-取费表'!B40</f>
        <v>0.03</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f ca="1">ROUND((C18+C19)*F21,0)</f>
        <v>5422</v>
      </c>
      <c r="D21" s="3029"/>
      <c r="E21" s="448"/>
      <c r="F21" s="465">
        <f ca="1">IF(B1="",'数据-取费表'!Q16,INDIRECT("'数据-取费表'!q"&amp;$K$1))</f>
        <v>0.3</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95" t="s">
        <v>1394</v>
      </c>
      <c r="B24" s="3996"/>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95" t="s">
        <v>2293</v>
      </c>
      <c r="B25" s="3996"/>
      <c r="C25" s="3039">
        <f>ROUND(C6*F25,0)</f>
        <v>0</v>
      </c>
      <c r="D25" s="3040"/>
      <c r="E25" s="3041"/>
      <c r="F25" s="3045">
        <f>'数据-取费表'!B38</f>
        <v>0.03</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95" t="s">
        <v>2294</v>
      </c>
      <c r="B26" s="3996"/>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97" t="s">
        <v>2292</v>
      </c>
      <c r="B27" s="3998"/>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2455</v>
      </c>
      <c r="B19" s="3257" t="s">
        <v>2456</v>
      </c>
      <c r="C19" s="3258" t="s">
        <v>2457</v>
      </c>
      <c r="D19" s="3259"/>
      <c r="E19" s="3253" t="s">
        <v>2458</v>
      </c>
      <c r="F19" s="1033"/>
      <c r="G19" s="1033"/>
    </row>
    <row r="20" spans="1:13" s="1408" customFormat="1">
      <c r="A20" s="4003" t="s">
        <v>2449</v>
      </c>
      <c r="B20" s="4006" t="s">
        <v>2459</v>
      </c>
      <c r="C20" s="3260" t="s">
        <v>2460</v>
      </c>
      <c r="D20" s="3261"/>
      <c r="E20" s="3262">
        <v>1</v>
      </c>
      <c r="F20" s="3263" t="s">
        <v>2461</v>
      </c>
      <c r="G20" s="1035"/>
      <c r="H20" s="1025"/>
      <c r="I20" s="1025"/>
    </row>
    <row r="21" spans="1:13" s="1408" customFormat="1">
      <c r="A21" s="4004"/>
      <c r="B21" s="4002"/>
      <c r="C21" s="3264" t="s">
        <v>2462</v>
      </c>
      <c r="D21" s="3265"/>
      <c r="E21" s="3266">
        <v>1</v>
      </c>
      <c r="F21" s="3263" t="s">
        <v>2463</v>
      </c>
      <c r="G21" s="1035"/>
      <c r="H21" s="1025"/>
      <c r="I21" s="1025"/>
    </row>
    <row r="22" spans="1:13" s="1408" customFormat="1">
      <c r="A22" s="4004"/>
      <c r="B22" s="4002"/>
      <c r="C22" s="3264" t="s">
        <v>2464</v>
      </c>
      <c r="D22" s="3265"/>
      <c r="E22" s="3266">
        <v>0.9</v>
      </c>
      <c r="F22" s="3263" t="s">
        <v>2465</v>
      </c>
      <c r="G22" s="1035"/>
      <c r="H22" s="1025"/>
      <c r="I22" s="1025"/>
    </row>
    <row r="23" spans="1:13" s="1408" customFormat="1">
      <c r="A23" s="4004"/>
      <c r="B23" s="4002"/>
      <c r="C23" s="3264" t="s">
        <v>2466</v>
      </c>
      <c r="D23" s="3265"/>
      <c r="E23" s="3266">
        <v>0.9</v>
      </c>
      <c r="F23" s="3263" t="s">
        <v>2467</v>
      </c>
      <c r="G23" s="1035"/>
      <c r="H23" s="1025"/>
      <c r="I23" s="1025"/>
    </row>
    <row r="24" spans="1:13" s="1408" customFormat="1">
      <c r="A24" s="4004"/>
      <c r="B24" s="4002"/>
      <c r="C24" s="3264" t="s">
        <v>2468</v>
      </c>
      <c r="D24" s="3265"/>
      <c r="E24" s="3266">
        <v>0.8</v>
      </c>
      <c r="F24" s="3263" t="s">
        <v>2469</v>
      </c>
      <c r="G24" s="1035"/>
      <c r="H24" s="1025"/>
      <c r="I24" s="1025"/>
    </row>
    <row r="25" spans="1:13" s="1408" customFormat="1" ht="15" thickBot="1">
      <c r="A25" s="4005"/>
      <c r="B25" s="4007"/>
      <c r="C25" s="3267" t="s">
        <v>2470</v>
      </c>
      <c r="D25" s="3268"/>
      <c r="E25" s="3269">
        <v>0.8</v>
      </c>
      <c r="F25" s="3263" t="s">
        <v>2471</v>
      </c>
      <c r="G25" s="1035"/>
      <c r="H25" s="1025"/>
      <c r="I25" s="1025"/>
    </row>
    <row r="26" spans="1:13" s="1408" customFormat="1" ht="15" thickBot="1">
      <c r="A26" s="3270" t="s">
        <v>2450</v>
      </c>
      <c r="B26" s="3271" t="s">
        <v>2459</v>
      </c>
      <c r="C26" s="3272" t="s">
        <v>2472</v>
      </c>
      <c r="D26" s="3273"/>
      <c r="E26" s="3274">
        <v>1</v>
      </c>
      <c r="F26" s="3263" t="s">
        <v>2473</v>
      </c>
      <c r="G26" s="1035"/>
      <c r="H26" s="1025"/>
      <c r="I26" s="1025"/>
    </row>
    <row r="27" spans="1:13" s="1408" customFormat="1">
      <c r="A27" s="4008" t="s">
        <v>2454</v>
      </c>
      <c r="B27" s="4006" t="s">
        <v>2454</v>
      </c>
      <c r="C27" s="3260" t="s">
        <v>2474</v>
      </c>
      <c r="D27" s="3261"/>
      <c r="E27" s="3262">
        <v>1</v>
      </c>
      <c r="F27" s="3263" t="s">
        <v>2475</v>
      </c>
      <c r="G27" s="1035"/>
      <c r="H27" s="1025"/>
      <c r="I27" s="1025"/>
    </row>
    <row r="28" spans="1:13" s="1408" customFormat="1">
      <c r="A28" s="4009"/>
      <c r="B28" s="4002"/>
      <c r="C28" s="3264" t="s">
        <v>2476</v>
      </c>
      <c r="D28" s="3265"/>
      <c r="E28" s="3266">
        <v>1</v>
      </c>
      <c r="F28" s="3263" t="s">
        <v>2477</v>
      </c>
      <c r="G28" s="1035"/>
      <c r="H28" s="1025"/>
      <c r="I28" s="1025"/>
    </row>
    <row r="29" spans="1:13" s="1408" customFormat="1">
      <c r="A29" s="4009"/>
      <c r="B29" s="4002"/>
      <c r="C29" s="3264" t="s">
        <v>2478</v>
      </c>
      <c r="D29" s="3265"/>
      <c r="E29" s="3266">
        <v>0.8</v>
      </c>
      <c r="F29" s="3263" t="s">
        <v>2479</v>
      </c>
      <c r="G29" s="1035"/>
      <c r="H29" s="1025"/>
      <c r="I29" s="1025"/>
    </row>
    <row r="30" spans="1:13" s="1408" customFormat="1">
      <c r="A30" s="4009"/>
      <c r="B30" s="4002"/>
      <c r="C30" s="3264" t="s">
        <v>2480</v>
      </c>
      <c r="D30" s="3265"/>
      <c r="E30" s="3266">
        <v>0.8</v>
      </c>
      <c r="F30" s="3263" t="s">
        <v>2481</v>
      </c>
      <c r="G30" s="1035"/>
      <c r="H30" s="1025"/>
      <c r="I30" s="1025"/>
    </row>
    <row r="31" spans="1:13" s="1408" customFormat="1">
      <c r="A31" s="4009"/>
      <c r="B31" s="4002"/>
      <c r="C31" s="3264" t="s">
        <v>2482</v>
      </c>
      <c r="D31" s="3265"/>
      <c r="E31" s="3266">
        <v>0.8</v>
      </c>
      <c r="F31" s="3263" t="s">
        <v>2483</v>
      </c>
      <c r="G31" s="1035"/>
      <c r="H31" s="1025"/>
      <c r="I31" s="1025"/>
    </row>
    <row r="32" spans="1:13" s="1408" customFormat="1">
      <c r="A32" s="4009"/>
      <c r="B32" s="4002"/>
      <c r="C32" s="3264" t="s">
        <v>2484</v>
      </c>
      <c r="D32" s="3265"/>
      <c r="E32" s="3266">
        <v>0.7</v>
      </c>
      <c r="F32" s="3263" t="s">
        <v>2485</v>
      </c>
      <c r="G32" s="1035"/>
      <c r="H32" s="1025"/>
      <c r="I32" s="1025"/>
    </row>
    <row r="33" spans="1:9" s="1408" customFormat="1">
      <c r="A33" s="4009"/>
      <c r="B33" s="4002"/>
      <c r="C33" s="3264" t="s">
        <v>2486</v>
      </c>
      <c r="D33" s="3265"/>
      <c r="E33" s="3266">
        <v>0.8</v>
      </c>
      <c r="F33" s="3263" t="s">
        <v>2487</v>
      </c>
      <c r="G33" s="1035"/>
      <c r="H33" s="1025"/>
      <c r="I33" s="1025"/>
    </row>
    <row r="34" spans="1:9" s="1408" customFormat="1">
      <c r="A34" s="4009"/>
      <c r="B34" s="4002"/>
      <c r="C34" s="3264" t="s">
        <v>2488</v>
      </c>
      <c r="D34" s="3265"/>
      <c r="E34" s="3266">
        <v>0.6</v>
      </c>
      <c r="F34" s="3263" t="s">
        <v>2489</v>
      </c>
      <c r="G34" s="1035"/>
      <c r="H34" s="1025"/>
      <c r="I34" s="1025"/>
    </row>
    <row r="35" spans="1:9" s="1408" customFormat="1">
      <c r="A35" s="4009"/>
      <c r="B35" s="4002"/>
      <c r="C35" s="3264" t="s">
        <v>2490</v>
      </c>
      <c r="D35" s="3265"/>
      <c r="E35" s="3266">
        <v>0.2</v>
      </c>
      <c r="F35" s="3263" t="s">
        <v>2491</v>
      </c>
      <c r="G35" s="1035"/>
      <c r="H35" s="1025"/>
      <c r="I35" s="1025"/>
    </row>
    <row r="36" spans="1:9" s="1408" customFormat="1">
      <c r="A36" s="4009"/>
      <c r="B36" s="4002"/>
      <c r="C36" s="3264" t="s">
        <v>2492</v>
      </c>
      <c r="D36" s="3265"/>
      <c r="E36" s="3266">
        <v>0.2</v>
      </c>
      <c r="F36" s="3263" t="s">
        <v>2493</v>
      </c>
      <c r="G36" s="1035"/>
      <c r="H36" s="1025"/>
      <c r="I36" s="1025"/>
    </row>
    <row r="37" spans="1:9" s="1408" customFormat="1">
      <c r="A37" s="4009"/>
      <c r="B37" s="4000" t="s">
        <v>2494</v>
      </c>
      <c r="C37" s="3264" t="s">
        <v>2495</v>
      </c>
      <c r="D37" s="3265"/>
      <c r="E37" s="3266">
        <v>0.6</v>
      </c>
      <c r="F37" s="3263" t="s">
        <v>2496</v>
      </c>
      <c r="G37" s="1035"/>
      <c r="H37" s="1025"/>
      <c r="I37" s="1025"/>
    </row>
    <row r="38" spans="1:9" s="1408" customFormat="1">
      <c r="A38" s="4009"/>
      <c r="B38" s="4002"/>
      <c r="C38" s="3264" t="s">
        <v>2497</v>
      </c>
      <c r="D38" s="3265"/>
      <c r="E38" s="3266">
        <v>0.6</v>
      </c>
      <c r="F38" s="3263" t="s">
        <v>2498</v>
      </c>
      <c r="G38" s="1035"/>
      <c r="H38" s="1025"/>
      <c r="I38" s="1025"/>
    </row>
    <row r="39" spans="1:9" s="1408" customFormat="1" ht="15" thickBot="1">
      <c r="A39" s="4010"/>
      <c r="B39" s="4007"/>
      <c r="C39" s="3267" t="s">
        <v>2499</v>
      </c>
      <c r="D39" s="3268"/>
      <c r="E39" s="3269">
        <v>0.6</v>
      </c>
      <c r="F39" s="3263" t="s">
        <v>2500</v>
      </c>
      <c r="G39" s="1035"/>
      <c r="H39" s="1025"/>
      <c r="I39" s="1025"/>
    </row>
    <row r="40" spans="1:9" s="1408" customFormat="1" ht="15" thickBot="1">
      <c r="A40" s="3270" t="s">
        <v>2451</v>
      </c>
      <c r="B40" s="3271" t="s">
        <v>2451</v>
      </c>
      <c r="C40" s="3272" t="s">
        <v>2501</v>
      </c>
      <c r="D40" s="3273"/>
      <c r="E40" s="3274">
        <v>1</v>
      </c>
      <c r="F40" s="3263" t="s">
        <v>2502</v>
      </c>
      <c r="G40" s="1035"/>
      <c r="H40" s="1025"/>
      <c r="I40" s="1025"/>
    </row>
    <row r="41" spans="1:9" s="1408" customFormat="1">
      <c r="A41" s="4003" t="s">
        <v>2452</v>
      </c>
      <c r="B41" s="4006" t="s">
        <v>2503</v>
      </c>
      <c r="C41" s="3260" t="s">
        <v>2504</v>
      </c>
      <c r="D41" s="3261"/>
      <c r="E41" s="3262">
        <v>1</v>
      </c>
      <c r="F41" s="3263" t="s">
        <v>2505</v>
      </c>
      <c r="G41" s="1035"/>
      <c r="H41" s="1025"/>
      <c r="I41" s="1025"/>
    </row>
    <row r="42" spans="1:9" s="1408" customFormat="1">
      <c r="A42" s="4004"/>
      <c r="B42" s="4002"/>
      <c r="C42" s="3264" t="s">
        <v>2506</v>
      </c>
      <c r="D42" s="3265"/>
      <c r="E42" s="3266">
        <v>1</v>
      </c>
      <c r="F42" s="3263" t="s">
        <v>2507</v>
      </c>
      <c r="G42" s="1035"/>
      <c r="H42" s="1025"/>
      <c r="I42" s="1025"/>
    </row>
    <row r="43" spans="1:9" s="1408" customFormat="1">
      <c r="A43" s="4004"/>
      <c r="B43" s="4001"/>
      <c r="C43" s="3264" t="s">
        <v>2508</v>
      </c>
      <c r="D43" s="3265"/>
      <c r="E43" s="3266">
        <v>1.5</v>
      </c>
      <c r="F43" s="3263" t="s">
        <v>2509</v>
      </c>
      <c r="G43" s="1035"/>
      <c r="H43" s="1025"/>
      <c r="I43" s="1025"/>
    </row>
    <row r="44" spans="1:9" s="1408" customFormat="1">
      <c r="A44" s="4004"/>
      <c r="B44" s="3275" t="s">
        <v>2454</v>
      </c>
      <c r="C44" s="3264" t="s">
        <v>2453</v>
      </c>
      <c r="D44" s="3265"/>
      <c r="E44" s="3266">
        <v>2</v>
      </c>
      <c r="F44" s="3263" t="s">
        <v>2510</v>
      </c>
      <c r="G44" s="1035"/>
      <c r="H44" s="1025"/>
      <c r="I44" s="1025"/>
    </row>
    <row r="45" spans="1:9" s="1408" customFormat="1">
      <c r="A45" s="4004"/>
      <c r="B45" s="4000" t="s">
        <v>2511</v>
      </c>
      <c r="C45" s="3264" t="s">
        <v>2512</v>
      </c>
      <c r="D45" s="3265"/>
      <c r="E45" s="3266">
        <v>1</v>
      </c>
      <c r="F45" s="3263" t="s">
        <v>2513</v>
      </c>
      <c r="G45" s="1035"/>
      <c r="H45" s="1025"/>
      <c r="I45" s="1025"/>
    </row>
    <row r="46" spans="1:9" s="1408" customFormat="1">
      <c r="A46" s="4004"/>
      <c r="B46" s="4002"/>
      <c r="C46" s="3264" t="s">
        <v>2514</v>
      </c>
      <c r="D46" s="3265"/>
      <c r="E46" s="3266">
        <v>1</v>
      </c>
      <c r="F46" s="3263" t="s">
        <v>2515</v>
      </c>
      <c r="G46" s="1035"/>
      <c r="H46" s="1025"/>
      <c r="I46" s="1025"/>
    </row>
    <row r="47" spans="1:9" s="1408" customFormat="1">
      <c r="A47" s="4004"/>
      <c r="B47" s="4002"/>
      <c r="C47" s="3264" t="s">
        <v>2516</v>
      </c>
      <c r="D47" s="3265"/>
      <c r="E47" s="3266">
        <v>1</v>
      </c>
      <c r="F47" s="3263" t="s">
        <v>2517</v>
      </c>
      <c r="G47" s="1035"/>
      <c r="H47" s="1025"/>
      <c r="I47" s="1025"/>
    </row>
    <row r="48" spans="1:9" s="1408" customFormat="1">
      <c r="A48" s="4004"/>
      <c r="B48" s="4002"/>
      <c r="C48" s="3264" t="s">
        <v>2518</v>
      </c>
      <c r="D48" s="3265"/>
      <c r="E48" s="3266">
        <v>1</v>
      </c>
      <c r="F48" s="3263" t="s">
        <v>2519</v>
      </c>
      <c r="G48" s="1035"/>
      <c r="H48" s="1025"/>
      <c r="I48" s="1025"/>
    </row>
    <row r="49" spans="1:9" s="1408" customFormat="1">
      <c r="A49" s="4004"/>
      <c r="B49" s="4002"/>
      <c r="C49" s="3264" t="s">
        <v>2520</v>
      </c>
      <c r="D49" s="3265"/>
      <c r="E49" s="3266">
        <v>1</v>
      </c>
      <c r="F49" s="3263" t="s">
        <v>2521</v>
      </c>
      <c r="G49" s="1035"/>
      <c r="H49" s="1025"/>
      <c r="I49" s="1025"/>
    </row>
    <row r="50" spans="1:9" s="1408" customFormat="1">
      <c r="A50" s="4004"/>
      <c r="B50" s="4002"/>
      <c r="C50" s="3264" t="s">
        <v>2522</v>
      </c>
      <c r="D50" s="3265"/>
      <c r="E50" s="3266">
        <v>1</v>
      </c>
      <c r="F50" s="3263" t="s">
        <v>2523</v>
      </c>
      <c r="G50" s="1035"/>
      <c r="H50" s="1025"/>
      <c r="I50" s="1025"/>
    </row>
    <row r="51" spans="1:9" s="1408" customFormat="1" ht="15" thickBot="1">
      <c r="A51" s="4005"/>
      <c r="B51" s="4007"/>
      <c r="C51" s="3267" t="s">
        <v>2524</v>
      </c>
      <c r="D51" s="3268"/>
      <c r="E51" s="3269">
        <v>1</v>
      </c>
      <c r="F51" s="3263"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ht="24">
      <c r="A73" s="3275">
        <v>1</v>
      </c>
      <c r="B73" s="4000" t="s">
        <v>2527</v>
      </c>
      <c r="C73" s="3253" t="s">
        <v>2528</v>
      </c>
      <c r="D73" s="3253" t="s">
        <v>2529</v>
      </c>
      <c r="E73" s="3276">
        <v>0.2</v>
      </c>
      <c r="F73" s="3275">
        <v>25</v>
      </c>
      <c r="H73" s="1025">
        <f>SUMIF(C71:C139,'基准地价-住宅'!C8,E71:E139)</f>
        <v>0</v>
      </c>
    </row>
    <row r="74" spans="1:8" s="1025" customFormat="1" ht="36">
      <c r="A74" s="3275">
        <v>2</v>
      </c>
      <c r="B74" s="4002"/>
      <c r="C74" s="3253" t="s">
        <v>2530</v>
      </c>
      <c r="D74" s="3253" t="s">
        <v>2531</v>
      </c>
      <c r="E74" s="3276">
        <v>0.2</v>
      </c>
      <c r="F74" s="3275">
        <v>25</v>
      </c>
    </row>
    <row r="75" spans="1:8" s="1025" customFormat="1" ht="24">
      <c r="A75" s="3275">
        <v>3</v>
      </c>
      <c r="B75" s="4002"/>
      <c r="C75" s="3253" t="s">
        <v>2532</v>
      </c>
      <c r="D75" s="3253" t="s">
        <v>2533</v>
      </c>
      <c r="E75" s="3276">
        <v>0.2</v>
      </c>
      <c r="F75" s="3275">
        <v>25</v>
      </c>
    </row>
    <row r="76" spans="1:8" s="1025" customFormat="1" ht="24">
      <c r="A76" s="3275">
        <v>4</v>
      </c>
      <c r="B76" s="4002"/>
      <c r="C76" s="3253" t="s">
        <v>2534</v>
      </c>
      <c r="D76" s="3253" t="s">
        <v>2535</v>
      </c>
      <c r="E76" s="3276">
        <v>0.15</v>
      </c>
      <c r="F76" s="3275">
        <v>20</v>
      </c>
    </row>
    <row r="77" spans="1:8" s="1025" customFormat="1" ht="24">
      <c r="A77" s="3275">
        <v>5</v>
      </c>
      <c r="B77" s="4002"/>
      <c r="C77" s="3253" t="s">
        <v>2536</v>
      </c>
      <c r="D77" s="3253" t="s">
        <v>2537</v>
      </c>
      <c r="E77" s="3276">
        <v>0.15</v>
      </c>
      <c r="F77" s="3275">
        <v>20</v>
      </c>
    </row>
    <row r="78" spans="1:8" s="1025" customFormat="1" ht="24">
      <c r="A78" s="3275">
        <v>6</v>
      </c>
      <c r="B78" s="4002"/>
      <c r="C78" s="3253" t="s">
        <v>2538</v>
      </c>
      <c r="D78" s="3253" t="s">
        <v>2539</v>
      </c>
      <c r="E78" s="3276">
        <v>0.15</v>
      </c>
      <c r="F78" s="3275">
        <v>20</v>
      </c>
    </row>
    <row r="79" spans="1:8" s="1025" customFormat="1" ht="36">
      <c r="A79" s="3275">
        <v>7</v>
      </c>
      <c r="B79" s="4002"/>
      <c r="C79" s="3253" t="s">
        <v>2540</v>
      </c>
      <c r="D79" s="3253" t="s">
        <v>2541</v>
      </c>
      <c r="E79" s="3276">
        <v>0.15</v>
      </c>
      <c r="F79" s="3275">
        <v>20</v>
      </c>
    </row>
    <row r="80" spans="1:8" s="1025" customFormat="1" ht="24">
      <c r="A80" s="3275">
        <v>8</v>
      </c>
      <c r="B80" s="4002"/>
      <c r="C80" s="3253" t="s">
        <v>2542</v>
      </c>
      <c r="D80" s="3253" t="s">
        <v>2543</v>
      </c>
      <c r="E80" s="3276">
        <v>0.1</v>
      </c>
      <c r="F80" s="3275">
        <v>15</v>
      </c>
    </row>
    <row r="81" spans="1:6" s="1025" customFormat="1" ht="24">
      <c r="A81" s="3275">
        <v>9</v>
      </c>
      <c r="B81" s="4002"/>
      <c r="C81" s="3253" t="s">
        <v>2544</v>
      </c>
      <c r="D81" s="3253" t="s">
        <v>2545</v>
      </c>
      <c r="E81" s="3276">
        <v>0.1</v>
      </c>
      <c r="F81" s="3275">
        <v>15</v>
      </c>
    </row>
    <row r="82" spans="1:6" s="1025" customFormat="1" ht="24">
      <c r="A82" s="3275">
        <v>10</v>
      </c>
      <c r="B82" s="4002"/>
      <c r="C82" s="3253" t="s">
        <v>2546</v>
      </c>
      <c r="D82" s="3253" t="s">
        <v>2547</v>
      </c>
      <c r="E82" s="3276">
        <v>0.1</v>
      </c>
      <c r="F82" s="3275">
        <v>15</v>
      </c>
    </row>
    <row r="83" spans="1:6" s="1025" customFormat="1" ht="36">
      <c r="A83" s="3275">
        <v>11</v>
      </c>
      <c r="B83" s="4002"/>
      <c r="C83" s="3253" t="s">
        <v>2548</v>
      </c>
      <c r="D83" s="3253" t="s">
        <v>2549</v>
      </c>
      <c r="E83" s="3276">
        <v>0.1</v>
      </c>
      <c r="F83" s="3275">
        <v>15</v>
      </c>
    </row>
    <row r="84" spans="1:6" s="1025" customFormat="1" ht="36">
      <c r="A84" s="3275">
        <v>12</v>
      </c>
      <c r="B84" s="4002"/>
      <c r="C84" s="3253" t="s">
        <v>2550</v>
      </c>
      <c r="D84" s="3253" t="s">
        <v>2551</v>
      </c>
      <c r="E84" s="3276">
        <v>0.1</v>
      </c>
      <c r="F84" s="3275">
        <v>15</v>
      </c>
    </row>
    <row r="85" spans="1:6" s="1025" customFormat="1" ht="24">
      <c r="A85" s="3275">
        <v>13</v>
      </c>
      <c r="B85" s="4002"/>
      <c r="C85" s="3253" t="s">
        <v>2552</v>
      </c>
      <c r="D85" s="3253" t="s">
        <v>2553</v>
      </c>
      <c r="E85" s="3276">
        <v>0.1</v>
      </c>
      <c r="F85" s="3275">
        <v>15</v>
      </c>
    </row>
    <row r="86" spans="1:6" s="1025" customFormat="1" ht="24">
      <c r="A86" s="3275">
        <v>14</v>
      </c>
      <c r="B86" s="4002"/>
      <c r="C86" s="3253" t="s">
        <v>2554</v>
      </c>
      <c r="D86" s="3253" t="s">
        <v>2555</v>
      </c>
      <c r="E86" s="3276">
        <v>0.1</v>
      </c>
      <c r="F86" s="3275">
        <v>15</v>
      </c>
    </row>
    <row r="87" spans="1:6" s="1025" customFormat="1" ht="24">
      <c r="A87" s="3275">
        <v>15</v>
      </c>
      <c r="B87" s="4002"/>
      <c r="C87" s="3253" t="s">
        <v>2556</v>
      </c>
      <c r="D87" s="3253" t="s">
        <v>2557</v>
      </c>
      <c r="E87" s="3276">
        <v>0.1</v>
      </c>
      <c r="F87" s="3275">
        <v>15</v>
      </c>
    </row>
    <row r="88" spans="1:6" s="1025" customFormat="1" ht="24">
      <c r="A88" s="3275">
        <v>16</v>
      </c>
      <c r="B88" s="4002"/>
      <c r="C88" s="3253" t="s">
        <v>2558</v>
      </c>
      <c r="D88" s="3253" t="s">
        <v>2559</v>
      </c>
      <c r="E88" s="3276">
        <v>0.1</v>
      </c>
      <c r="F88" s="3275">
        <v>15</v>
      </c>
    </row>
    <row r="89" spans="1:6" s="1025" customFormat="1" ht="36">
      <c r="A89" s="3275">
        <v>17</v>
      </c>
      <c r="B89" s="4001"/>
      <c r="C89" s="3253" t="s">
        <v>2560</v>
      </c>
      <c r="D89" s="3253" t="s">
        <v>2561</v>
      </c>
      <c r="E89" s="3276">
        <v>0.1</v>
      </c>
      <c r="F89" s="3275">
        <v>15</v>
      </c>
    </row>
    <row r="90" spans="1:6" s="1025" customFormat="1" ht="24">
      <c r="A90" s="3275">
        <v>18</v>
      </c>
      <c r="B90" s="4000" t="s">
        <v>2562</v>
      </c>
      <c r="C90" s="3253" t="s">
        <v>2563</v>
      </c>
      <c r="D90" s="3253" t="s">
        <v>2564</v>
      </c>
      <c r="E90" s="3276">
        <v>0.2</v>
      </c>
      <c r="F90" s="3275">
        <v>25</v>
      </c>
    </row>
    <row r="91" spans="1:6" s="1025" customFormat="1" ht="36">
      <c r="A91" s="3275">
        <v>19</v>
      </c>
      <c r="B91" s="4002"/>
      <c r="C91" s="3253" t="s">
        <v>2565</v>
      </c>
      <c r="D91" s="3253" t="s">
        <v>2566</v>
      </c>
      <c r="E91" s="3276">
        <v>0.2</v>
      </c>
      <c r="F91" s="3275">
        <v>25</v>
      </c>
    </row>
    <row r="92" spans="1:6" s="1025" customFormat="1" ht="24">
      <c r="A92" s="3275">
        <v>20</v>
      </c>
      <c r="B92" s="4002"/>
      <c r="C92" s="3253" t="s">
        <v>2567</v>
      </c>
      <c r="D92" s="3253" t="s">
        <v>2568</v>
      </c>
      <c r="E92" s="3276">
        <v>0.15</v>
      </c>
      <c r="F92" s="3275">
        <v>20</v>
      </c>
    </row>
    <row r="93" spans="1:6" s="1025" customFormat="1" ht="24">
      <c r="A93" s="3275">
        <v>21</v>
      </c>
      <c r="B93" s="4002"/>
      <c r="C93" s="3253" t="s">
        <v>2569</v>
      </c>
      <c r="D93" s="3253" t="s">
        <v>2570</v>
      </c>
      <c r="E93" s="3276">
        <v>0.15</v>
      </c>
      <c r="F93" s="3275">
        <v>20</v>
      </c>
    </row>
    <row r="94" spans="1:6" s="1025" customFormat="1" ht="24">
      <c r="A94" s="3275">
        <v>22</v>
      </c>
      <c r="B94" s="4002"/>
      <c r="C94" s="3253" t="s">
        <v>2571</v>
      </c>
      <c r="D94" s="3253" t="s">
        <v>2572</v>
      </c>
      <c r="E94" s="3276">
        <v>0.15</v>
      </c>
      <c r="F94" s="3275">
        <v>20</v>
      </c>
    </row>
    <row r="95" spans="1:6" s="1025" customFormat="1" ht="48">
      <c r="A95" s="3275">
        <v>23</v>
      </c>
      <c r="B95" s="4002"/>
      <c r="C95" s="3253" t="s">
        <v>2573</v>
      </c>
      <c r="D95" s="3253" t="s">
        <v>2574</v>
      </c>
      <c r="E95" s="3276">
        <v>0.15</v>
      </c>
      <c r="F95" s="3275">
        <v>20</v>
      </c>
    </row>
    <row r="96" spans="1:6" s="1025" customFormat="1" ht="24">
      <c r="A96" s="3275">
        <v>24</v>
      </c>
      <c r="B96" s="4002"/>
      <c r="C96" s="3253" t="s">
        <v>2575</v>
      </c>
      <c r="D96" s="3253" t="s">
        <v>2576</v>
      </c>
      <c r="E96" s="3276">
        <v>0.1</v>
      </c>
      <c r="F96" s="3275">
        <v>15</v>
      </c>
    </row>
    <row r="97" spans="1:6" s="1025" customFormat="1" ht="24">
      <c r="A97" s="3275">
        <v>25</v>
      </c>
      <c r="B97" s="4002"/>
      <c r="C97" s="3253" t="s">
        <v>2577</v>
      </c>
      <c r="D97" s="3253" t="s">
        <v>2578</v>
      </c>
      <c r="E97" s="3276">
        <v>0.1</v>
      </c>
      <c r="F97" s="3275">
        <v>15</v>
      </c>
    </row>
    <row r="98" spans="1:6" s="1025" customFormat="1" ht="36">
      <c r="A98" s="3275">
        <v>26</v>
      </c>
      <c r="B98" s="4002"/>
      <c r="C98" s="3253" t="s">
        <v>2579</v>
      </c>
      <c r="D98" s="3253" t="s">
        <v>2580</v>
      </c>
      <c r="E98" s="3276">
        <v>0.1</v>
      </c>
      <c r="F98" s="3275">
        <v>15</v>
      </c>
    </row>
    <row r="99" spans="1:6" s="1025" customFormat="1" ht="24">
      <c r="A99" s="3275">
        <v>27</v>
      </c>
      <c r="B99" s="4002"/>
      <c r="C99" s="3253" t="s">
        <v>2581</v>
      </c>
      <c r="D99" s="3253" t="s">
        <v>2582</v>
      </c>
      <c r="E99" s="3276">
        <v>0.1</v>
      </c>
      <c r="F99" s="3275">
        <v>15</v>
      </c>
    </row>
    <row r="100" spans="1:6" s="1025" customFormat="1" ht="24">
      <c r="A100" s="3275">
        <v>28</v>
      </c>
      <c r="B100" s="4002"/>
      <c r="C100" s="3253" t="s">
        <v>2583</v>
      </c>
      <c r="D100" s="3253" t="s">
        <v>2584</v>
      </c>
      <c r="E100" s="3276">
        <v>0.1</v>
      </c>
      <c r="F100" s="3275">
        <v>15</v>
      </c>
    </row>
    <row r="101" spans="1:6" s="1025" customFormat="1" ht="24">
      <c r="A101" s="3275">
        <v>29</v>
      </c>
      <c r="B101" s="4002"/>
      <c r="C101" s="3253" t="s">
        <v>2585</v>
      </c>
      <c r="D101" s="3253" t="s">
        <v>2586</v>
      </c>
      <c r="E101" s="3276">
        <v>0.1</v>
      </c>
      <c r="F101" s="3275">
        <v>15</v>
      </c>
    </row>
    <row r="102" spans="1:6" s="1025" customFormat="1" ht="24">
      <c r="A102" s="3275">
        <v>30</v>
      </c>
      <c r="B102" s="4002"/>
      <c r="C102" s="3253" t="s">
        <v>2587</v>
      </c>
      <c r="D102" s="3253" t="s">
        <v>2588</v>
      </c>
      <c r="E102" s="3276">
        <v>0.1</v>
      </c>
      <c r="F102" s="3275">
        <v>15</v>
      </c>
    </row>
    <row r="103" spans="1:6" s="1025" customFormat="1" ht="24">
      <c r="A103" s="3275">
        <v>31</v>
      </c>
      <c r="B103" s="4002"/>
      <c r="C103" s="3253" t="s">
        <v>2589</v>
      </c>
      <c r="D103" s="3253" t="s">
        <v>2590</v>
      </c>
      <c r="E103" s="3276">
        <v>0.1</v>
      </c>
      <c r="F103" s="3275">
        <v>15</v>
      </c>
    </row>
    <row r="104" spans="1:6" s="1025" customFormat="1" ht="36">
      <c r="A104" s="3275">
        <v>32</v>
      </c>
      <c r="B104" s="4002"/>
      <c r="C104" s="3253" t="s">
        <v>2591</v>
      </c>
      <c r="D104" s="3253" t="s">
        <v>2592</v>
      </c>
      <c r="E104" s="3276">
        <v>0.1</v>
      </c>
      <c r="F104" s="3275">
        <v>15</v>
      </c>
    </row>
    <row r="105" spans="1:6" s="1025" customFormat="1" ht="36">
      <c r="A105" s="3275">
        <v>33</v>
      </c>
      <c r="B105" s="4002"/>
      <c r="C105" s="3253" t="s">
        <v>2593</v>
      </c>
      <c r="D105" s="3253" t="s">
        <v>2594</v>
      </c>
      <c r="E105" s="3276">
        <v>0.1</v>
      </c>
      <c r="F105" s="3275">
        <v>15</v>
      </c>
    </row>
    <row r="106" spans="1:6" s="1025" customFormat="1" ht="24">
      <c r="A106" s="3275">
        <v>34</v>
      </c>
      <c r="B106" s="4001"/>
      <c r="C106" s="3253" t="s">
        <v>2595</v>
      </c>
      <c r="D106" s="3253" t="s">
        <v>2596</v>
      </c>
      <c r="E106" s="3276">
        <v>0.1</v>
      </c>
      <c r="F106" s="3275">
        <v>15</v>
      </c>
    </row>
    <row r="107" spans="1:6" s="1025" customFormat="1" ht="36">
      <c r="A107" s="3275">
        <v>35</v>
      </c>
      <c r="B107" s="4000" t="s">
        <v>2597</v>
      </c>
      <c r="C107" s="3275" t="s">
        <v>2598</v>
      </c>
      <c r="D107" s="3253" t="s">
        <v>2599</v>
      </c>
      <c r="E107" s="3276">
        <v>0.15</v>
      </c>
      <c r="F107" s="3275">
        <v>20</v>
      </c>
    </row>
    <row r="108" spans="1:6" s="1025" customFormat="1" ht="24">
      <c r="A108" s="3275">
        <v>36</v>
      </c>
      <c r="B108" s="4002"/>
      <c r="C108" s="3275" t="s">
        <v>2600</v>
      </c>
      <c r="D108" s="3253" t="s">
        <v>2601</v>
      </c>
      <c r="E108" s="3276">
        <v>0.15</v>
      </c>
      <c r="F108" s="3275">
        <v>20</v>
      </c>
    </row>
    <row r="109" spans="1:6" s="1025" customFormat="1" ht="24">
      <c r="A109" s="3275">
        <v>37</v>
      </c>
      <c r="B109" s="4002"/>
      <c r="C109" s="3275" t="s">
        <v>2602</v>
      </c>
      <c r="D109" s="3253" t="s">
        <v>2603</v>
      </c>
      <c r="E109" s="3276">
        <v>0.15</v>
      </c>
      <c r="F109" s="3275">
        <v>20</v>
      </c>
    </row>
    <row r="110" spans="1:6" s="1025" customFormat="1" ht="24">
      <c r="A110" s="3275">
        <v>38</v>
      </c>
      <c r="B110" s="4002"/>
      <c r="C110" s="3275" t="s">
        <v>2604</v>
      </c>
      <c r="D110" s="3253" t="s">
        <v>2605</v>
      </c>
      <c r="E110" s="3276">
        <v>0.1</v>
      </c>
      <c r="F110" s="3275">
        <v>15</v>
      </c>
    </row>
    <row r="111" spans="1:6" s="1025" customFormat="1" ht="24">
      <c r="A111" s="3275">
        <v>39</v>
      </c>
      <c r="B111" s="4002"/>
      <c r="C111" s="3275" t="s">
        <v>2606</v>
      </c>
      <c r="D111" s="3253" t="s">
        <v>2607</v>
      </c>
      <c r="E111" s="3276">
        <v>0.1</v>
      </c>
      <c r="F111" s="3275">
        <v>15</v>
      </c>
    </row>
    <row r="112" spans="1:6" s="1025" customFormat="1" ht="24">
      <c r="A112" s="3275">
        <v>40</v>
      </c>
      <c r="B112" s="4001"/>
      <c r="C112" s="3275" t="s">
        <v>2608</v>
      </c>
      <c r="D112" s="3253" t="s">
        <v>2609</v>
      </c>
      <c r="E112" s="3276">
        <v>0.1</v>
      </c>
      <c r="F112" s="3275">
        <v>15</v>
      </c>
    </row>
    <row r="113" spans="1:6" s="1025" customFormat="1" ht="24">
      <c r="A113" s="3275">
        <v>41</v>
      </c>
      <c r="B113" s="3999" t="s">
        <v>2610</v>
      </c>
      <c r="C113" s="3275" t="s">
        <v>2611</v>
      </c>
      <c r="D113" s="3253" t="s">
        <v>2612</v>
      </c>
      <c r="E113" s="3276">
        <v>0.1</v>
      </c>
      <c r="F113" s="3275">
        <v>15</v>
      </c>
    </row>
    <row r="114" spans="1:6" s="1025" customFormat="1" ht="24">
      <c r="A114" s="3275">
        <v>42</v>
      </c>
      <c r="B114" s="3999"/>
      <c r="C114" s="3275" t="s">
        <v>2613</v>
      </c>
      <c r="D114" s="3253" t="s">
        <v>2614</v>
      </c>
      <c r="E114" s="3276">
        <v>0.1</v>
      </c>
      <c r="F114" s="3275">
        <v>15</v>
      </c>
    </row>
    <row r="115" spans="1:6" s="1025" customFormat="1" ht="24">
      <c r="A115" s="3275">
        <v>43</v>
      </c>
      <c r="B115" s="3999"/>
      <c r="C115" s="3275" t="s">
        <v>2615</v>
      </c>
      <c r="D115" s="3253" t="s">
        <v>2616</v>
      </c>
      <c r="E115" s="3276">
        <v>0.1</v>
      </c>
      <c r="F115" s="3275">
        <v>15</v>
      </c>
    </row>
    <row r="116" spans="1:6" s="1025" customFormat="1" ht="24">
      <c r="A116" s="3275">
        <v>44</v>
      </c>
      <c r="B116" s="4000" t="s">
        <v>2617</v>
      </c>
      <c r="C116" s="3275" t="s">
        <v>2618</v>
      </c>
      <c r="D116" s="3253" t="s">
        <v>2619</v>
      </c>
      <c r="E116" s="3276">
        <v>0.1</v>
      </c>
      <c r="F116" s="3275">
        <v>15</v>
      </c>
    </row>
    <row r="117" spans="1:6" s="1025" customFormat="1" ht="24">
      <c r="A117" s="3275">
        <v>45</v>
      </c>
      <c r="B117" s="4001"/>
      <c r="C117" s="3253" t="s">
        <v>2620</v>
      </c>
      <c r="D117" s="3253" t="s">
        <v>2621</v>
      </c>
      <c r="E117" s="3276">
        <v>0.1</v>
      </c>
      <c r="F117" s="3275">
        <v>15</v>
      </c>
    </row>
    <row r="118" spans="1:6" s="1025" customFormat="1" ht="24">
      <c r="A118" s="3275">
        <v>46</v>
      </c>
      <c r="B118" s="4000" t="s">
        <v>2622</v>
      </c>
      <c r="C118" s="3275" t="s">
        <v>2623</v>
      </c>
      <c r="D118" s="3253" t="s">
        <v>2624</v>
      </c>
      <c r="E118" s="3276">
        <v>0.1</v>
      </c>
      <c r="F118" s="3275">
        <v>15</v>
      </c>
    </row>
    <row r="119" spans="1:6" s="1025" customFormat="1" ht="24">
      <c r="A119" s="3275">
        <v>47</v>
      </c>
      <c r="B119" s="4001"/>
      <c r="C119" s="3275" t="s">
        <v>2625</v>
      </c>
      <c r="D119" s="3253" t="s">
        <v>2626</v>
      </c>
      <c r="E119" s="3276">
        <v>0.1</v>
      </c>
      <c r="F119" s="3275">
        <v>15</v>
      </c>
    </row>
    <row r="120" spans="1:6" s="1025" customFormat="1" ht="24">
      <c r="A120" s="3275">
        <v>48</v>
      </c>
      <c r="B120" s="4000" t="s">
        <v>2627</v>
      </c>
      <c r="C120" s="3275" t="s">
        <v>2628</v>
      </c>
      <c r="D120" s="3253" t="s">
        <v>2629</v>
      </c>
      <c r="E120" s="3276">
        <v>0.1</v>
      </c>
      <c r="F120" s="3275">
        <v>15</v>
      </c>
    </row>
    <row r="121" spans="1:6" s="1025" customFormat="1" ht="24">
      <c r="A121" s="3275">
        <v>49</v>
      </c>
      <c r="B121" s="4001"/>
      <c r="C121" s="3275" t="s">
        <v>2630</v>
      </c>
      <c r="D121" s="3253" t="s">
        <v>2631</v>
      </c>
      <c r="E121" s="3276">
        <v>0.1</v>
      </c>
      <c r="F121" s="3275">
        <v>15</v>
      </c>
    </row>
    <row r="122" spans="1:6" s="1025" customFormat="1" ht="24">
      <c r="A122" s="3275">
        <v>50</v>
      </c>
      <c r="B122" s="3999" t="s">
        <v>2632</v>
      </c>
      <c r="C122" s="3275" t="s">
        <v>2633</v>
      </c>
      <c r="D122" s="3253" t="s">
        <v>2634</v>
      </c>
      <c r="E122" s="3276">
        <v>0.1</v>
      </c>
      <c r="F122" s="3275">
        <v>15</v>
      </c>
    </row>
    <row r="123" spans="1:6" s="1025" customFormat="1" ht="24">
      <c r="A123" s="3275">
        <v>51</v>
      </c>
      <c r="B123" s="3999"/>
      <c r="C123" s="3275" t="s">
        <v>2635</v>
      </c>
      <c r="D123" s="3253" t="s">
        <v>2636</v>
      </c>
      <c r="E123" s="3276">
        <v>0.1</v>
      </c>
      <c r="F123" s="3275">
        <v>15</v>
      </c>
    </row>
    <row r="124" spans="1:6" s="1025" customFormat="1" ht="24">
      <c r="A124" s="3275">
        <v>52</v>
      </c>
      <c r="B124" s="3999" t="s">
        <v>2637</v>
      </c>
      <c r="C124" s="3275" t="s">
        <v>2638</v>
      </c>
      <c r="D124" s="3253" t="s">
        <v>2639</v>
      </c>
      <c r="E124" s="3276">
        <v>0.1</v>
      </c>
      <c r="F124" s="3275">
        <v>15</v>
      </c>
    </row>
    <row r="125" spans="1:6" s="1025" customFormat="1" ht="24">
      <c r="A125" s="3275">
        <v>53</v>
      </c>
      <c r="B125" s="3999"/>
      <c r="C125" s="3275" t="s">
        <v>2640</v>
      </c>
      <c r="D125" s="3253" t="s">
        <v>2641</v>
      </c>
      <c r="E125" s="3276">
        <v>0.1</v>
      </c>
      <c r="F125" s="3275">
        <v>15</v>
      </c>
    </row>
    <row r="126" spans="1:6" ht="24">
      <c r="A126" s="3275">
        <v>54</v>
      </c>
      <c r="B126" s="3275" t="s">
        <v>2642</v>
      </c>
      <c r="C126" s="3275" t="s">
        <v>2643</v>
      </c>
      <c r="D126" s="3253" t="s">
        <v>2644</v>
      </c>
      <c r="E126" s="3276">
        <v>0.1</v>
      </c>
      <c r="F126" s="3275">
        <v>15</v>
      </c>
    </row>
    <row r="127" spans="1:6" ht="24">
      <c r="A127" s="3275">
        <v>55</v>
      </c>
      <c r="B127" s="3999" t="s">
        <v>2645</v>
      </c>
      <c r="C127" s="3275" t="s">
        <v>2646</v>
      </c>
      <c r="D127" s="3253" t="s">
        <v>2647</v>
      </c>
      <c r="E127" s="3276">
        <v>0.1</v>
      </c>
      <c r="F127" s="3275">
        <v>15</v>
      </c>
    </row>
    <row r="128" spans="1:6" ht="24">
      <c r="A128" s="3275">
        <v>56</v>
      </c>
      <c r="B128" s="3999"/>
      <c r="C128" s="3275" t="s">
        <v>2648</v>
      </c>
      <c r="D128" s="3253" t="s">
        <v>2649</v>
      </c>
      <c r="E128" s="3276">
        <v>0.1</v>
      </c>
      <c r="F128" s="3275">
        <v>15</v>
      </c>
    </row>
    <row r="129" spans="1:14" ht="24">
      <c r="A129" s="3275">
        <v>57</v>
      </c>
      <c r="B129" s="3999"/>
      <c r="C129" s="3275" t="s">
        <v>2650</v>
      </c>
      <c r="D129" s="3253" t="s">
        <v>2651</v>
      </c>
      <c r="E129" s="3276">
        <v>0.1</v>
      </c>
      <c r="F129" s="3275">
        <v>15</v>
      </c>
    </row>
    <row r="130" spans="1:14" ht="24">
      <c r="A130" s="3275">
        <v>58</v>
      </c>
      <c r="B130" s="3999" t="s">
        <v>2652</v>
      </c>
      <c r="C130" s="3275" t="s">
        <v>2653</v>
      </c>
      <c r="D130" s="3253" t="s">
        <v>2654</v>
      </c>
      <c r="E130" s="3276">
        <v>0.1</v>
      </c>
      <c r="F130" s="3275">
        <v>15</v>
      </c>
    </row>
    <row r="131" spans="1:14" ht="24">
      <c r="A131" s="3275">
        <v>59</v>
      </c>
      <c r="B131" s="3999"/>
      <c r="C131" s="3275" t="s">
        <v>2655</v>
      </c>
      <c r="D131" s="3253" t="s">
        <v>2656</v>
      </c>
      <c r="E131" s="3276">
        <v>0.1</v>
      </c>
      <c r="F131" s="3275">
        <v>15</v>
      </c>
    </row>
    <row r="132" spans="1:14" ht="24">
      <c r="A132" s="3275">
        <v>60</v>
      </c>
      <c r="B132" s="4000" t="s">
        <v>2657</v>
      </c>
      <c r="C132" s="3275" t="s">
        <v>2658</v>
      </c>
      <c r="D132" s="3253" t="s">
        <v>2659</v>
      </c>
      <c r="E132" s="3276">
        <v>0.1</v>
      </c>
      <c r="F132" s="3275">
        <v>15</v>
      </c>
    </row>
    <row r="133" spans="1:14" ht="24">
      <c r="A133" s="3275">
        <v>61</v>
      </c>
      <c r="B133" s="4001"/>
      <c r="C133" s="3275" t="s">
        <v>2660</v>
      </c>
      <c r="D133" s="3253" t="s">
        <v>2661</v>
      </c>
      <c r="E133" s="3276">
        <v>0.1</v>
      </c>
      <c r="F133" s="3275">
        <v>15</v>
      </c>
    </row>
    <row r="134" spans="1:14" ht="24">
      <c r="A134" s="3275">
        <v>62</v>
      </c>
      <c r="B134" s="3275" t="s">
        <v>2662</v>
      </c>
      <c r="C134" s="3275" t="s">
        <v>2663</v>
      </c>
      <c r="D134" s="3253" t="s">
        <v>2664</v>
      </c>
      <c r="E134" s="3276">
        <v>0.1</v>
      </c>
      <c r="F134" s="3275">
        <v>15</v>
      </c>
    </row>
    <row r="135" spans="1:14" ht="24">
      <c r="A135" s="3275">
        <v>63</v>
      </c>
      <c r="B135" s="3999" t="s">
        <v>2665</v>
      </c>
      <c r="C135" s="3275" t="s">
        <v>2666</v>
      </c>
      <c r="D135" s="3253" t="s">
        <v>2667</v>
      </c>
      <c r="E135" s="3276">
        <v>0.1</v>
      </c>
      <c r="F135" s="3275">
        <v>15</v>
      </c>
    </row>
    <row r="136" spans="1:14" ht="24">
      <c r="A136" s="3275">
        <v>64</v>
      </c>
      <c r="B136" s="3999"/>
      <c r="C136" s="3275" t="s">
        <v>2668</v>
      </c>
      <c r="D136" s="3253" t="s">
        <v>2669</v>
      </c>
      <c r="E136" s="3276">
        <v>0.1</v>
      </c>
      <c r="F136" s="3275">
        <v>15</v>
      </c>
    </row>
    <row r="137" spans="1:14" ht="24">
      <c r="A137" s="3275">
        <v>65</v>
      </c>
      <c r="B137" s="3275" t="s">
        <v>2670</v>
      </c>
      <c r="C137" s="3275" t="s">
        <v>2671</v>
      </c>
      <c r="D137" s="3253" t="s">
        <v>2672</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4011" t="s">
        <v>2811</v>
      </c>
      <c r="B1" s="4011"/>
      <c r="C1" s="4011"/>
      <c r="D1" s="4011"/>
      <c r="E1" s="4011"/>
      <c r="F1" s="4011"/>
      <c r="G1" s="4012"/>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5" thickBot="1">
      <c r="A2" s="3420" t="s">
        <v>2812</v>
      </c>
      <c r="B2" s="3420"/>
      <c r="C2" s="3420"/>
      <c r="D2" s="3420"/>
      <c r="E2" s="3420"/>
      <c r="F2" s="3420"/>
      <c r="G2" s="3415" t="s">
        <v>2813</v>
      </c>
      <c r="J2" s="3444" t="s">
        <v>2819</v>
      </c>
      <c r="K2" s="3424" t="s">
        <v>2821</v>
      </c>
      <c r="L2" s="3424" t="s">
        <v>2823</v>
      </c>
      <c r="M2" s="3424" t="s">
        <v>2829</v>
      </c>
      <c r="N2" s="3424" t="s">
        <v>2839</v>
      </c>
      <c r="O2" s="3424" t="s">
        <v>2854</v>
      </c>
      <c r="P2" s="3424" t="s">
        <v>2891</v>
      </c>
      <c r="Q2" s="3424" t="s">
        <v>2922</v>
      </c>
      <c r="R2" s="3424" t="s">
        <v>2950</v>
      </c>
      <c r="S2" s="3424" t="s">
        <v>2985</v>
      </c>
      <c r="T2" s="3424" t="s">
        <v>3005</v>
      </c>
      <c r="U2" s="3424" t="s">
        <v>3017</v>
      </c>
    </row>
    <row r="3" spans="1:21" s="1012" customFormat="1" ht="19.5" customHeight="1">
      <c r="A3" s="4013" t="s">
        <v>2814</v>
      </c>
      <c r="B3" s="3416"/>
      <c r="C3" s="3417" t="s">
        <v>2792</v>
      </c>
      <c r="D3" s="3417" t="s">
        <v>2815</v>
      </c>
      <c r="E3" s="3417" t="s">
        <v>2794</v>
      </c>
      <c r="F3" s="3417" t="s">
        <v>2816</v>
      </c>
      <c r="G3" s="3417" t="s">
        <v>2737</v>
      </c>
      <c r="H3" s="1015"/>
      <c r="J3" s="3444" t="s">
        <v>2820</v>
      </c>
      <c r="K3" s="3424" t="s">
        <v>973</v>
      </c>
      <c r="L3" s="3424" t="s">
        <v>974</v>
      </c>
      <c r="M3" s="3424" t="s">
        <v>975</v>
      </c>
      <c r="N3" s="3424" t="s">
        <v>976</v>
      </c>
      <c r="O3" s="3424" t="s">
        <v>977</v>
      </c>
      <c r="P3" s="3424" t="s">
        <v>978</v>
      </c>
      <c r="Q3" s="3424" t="s">
        <v>979</v>
      </c>
      <c r="R3" s="3424" t="s">
        <v>980</v>
      </c>
      <c r="S3" s="3424" t="s">
        <v>981</v>
      </c>
      <c r="T3" s="3424" t="s">
        <v>3006</v>
      </c>
      <c r="U3" s="3424" t="s">
        <v>3018</v>
      </c>
    </row>
    <row r="4" spans="1:21" s="1012" customFormat="1" ht="19.5" customHeight="1" thickBot="1">
      <c r="A4" s="4014"/>
      <c r="B4" s="3418" t="s">
        <v>2817</v>
      </c>
      <c r="C4" s="3418" t="s">
        <v>2818</v>
      </c>
      <c r="D4" s="3418" t="s">
        <v>2818</v>
      </c>
      <c r="E4" s="3418" t="s">
        <v>2818</v>
      </c>
      <c r="F4" s="3419" t="s">
        <v>2818</v>
      </c>
      <c r="G4" s="3419" t="s">
        <v>2818</v>
      </c>
      <c r="H4" s="1015"/>
      <c r="J4" s="3444" t="s">
        <v>982</v>
      </c>
      <c r="K4" s="3424" t="s">
        <v>983</v>
      </c>
      <c r="L4" s="3424" t="s">
        <v>984</v>
      </c>
      <c r="M4" s="3424" t="s">
        <v>985</v>
      </c>
      <c r="N4" s="3424" t="s">
        <v>986</v>
      </c>
      <c r="O4" s="3424" t="s">
        <v>987</v>
      </c>
      <c r="P4" s="3424" t="s">
        <v>988</v>
      </c>
      <c r="Q4" s="3424" t="s">
        <v>989</v>
      </c>
      <c r="R4" s="3424" t="s">
        <v>2951</v>
      </c>
      <c r="S4" s="3424" t="s">
        <v>2986</v>
      </c>
      <c r="T4" s="3424" t="s">
        <v>3007</v>
      </c>
      <c r="U4" s="3424" t="s">
        <v>3019</v>
      </c>
    </row>
    <row r="5" spans="1:21" ht="14.25" customHeight="1">
      <c r="A5" s="3421" t="s">
        <v>990</v>
      </c>
      <c r="B5" s="3422" t="s">
        <v>2819</v>
      </c>
      <c r="C5" s="3422">
        <v>34550</v>
      </c>
      <c r="D5" s="3422">
        <v>34470</v>
      </c>
      <c r="E5" s="3422">
        <v>34330</v>
      </c>
      <c r="F5" s="3423">
        <v>13400</v>
      </c>
      <c r="G5" s="3423">
        <v>25450</v>
      </c>
      <c r="H5" s="1016" t="s">
        <v>961</v>
      </c>
      <c r="I5" s="1017">
        <f>SUMPRODUCT((B5:B9='基准地价-住宅'!I2)*(C3:G3='基准地价-住宅'!E2)*(C5:G9))</f>
        <v>0</v>
      </c>
      <c r="J5" s="3444" t="s">
        <v>991</v>
      </c>
      <c r="K5" s="3424" t="s">
        <v>992</v>
      </c>
      <c r="L5" s="3424" t="s">
        <v>993</v>
      </c>
      <c r="M5" s="3424" t="s">
        <v>994</v>
      </c>
      <c r="N5" s="3424" t="s">
        <v>995</v>
      </c>
      <c r="O5" s="3424" t="s">
        <v>996</v>
      </c>
      <c r="P5" s="3424" t="s">
        <v>997</v>
      </c>
      <c r="Q5" s="3424" t="s">
        <v>998</v>
      </c>
      <c r="R5" s="3424" t="s">
        <v>2952</v>
      </c>
      <c r="S5" s="3424" t="s">
        <v>2987</v>
      </c>
      <c r="T5" s="3424" t="s">
        <v>999</v>
      </c>
      <c r="U5" s="3424" t="s">
        <v>3020</v>
      </c>
    </row>
    <row r="6" spans="1:21" ht="14.25" customHeight="1">
      <c r="A6" s="3424" t="s">
        <v>990</v>
      </c>
      <c r="B6" s="3424" t="s">
        <v>2820</v>
      </c>
      <c r="C6" s="3424">
        <v>36990</v>
      </c>
      <c r="D6" s="3424">
        <v>36850</v>
      </c>
      <c r="E6" s="3424">
        <v>36700</v>
      </c>
      <c r="F6" s="3425">
        <v>14590</v>
      </c>
      <c r="G6" s="3425">
        <v>27450</v>
      </c>
      <c r="H6" s="1018" t="s">
        <v>1000</v>
      </c>
      <c r="I6" s="1019">
        <f>SUMPRODUCT((B10:B29='基准地价-住宅'!I2)*(C3:G3='基准地价-住宅'!E2)*(C10:G29))</f>
        <v>0</v>
      </c>
      <c r="J6" s="3444" t="s">
        <v>1001</v>
      </c>
      <c r="K6" s="3424" t="s">
        <v>1002</v>
      </c>
      <c r="L6" s="3424" t="s">
        <v>1003</v>
      </c>
      <c r="M6" s="3424" t="s">
        <v>1004</v>
      </c>
      <c r="N6" s="3424" t="s">
        <v>1005</v>
      </c>
      <c r="O6" s="3424" t="s">
        <v>1006</v>
      </c>
      <c r="P6" s="3424" t="s">
        <v>1007</v>
      </c>
      <c r="Q6" s="3424" t="s">
        <v>2923</v>
      </c>
      <c r="R6" s="3424" t="s">
        <v>2953</v>
      </c>
      <c r="S6" s="3424" t="s">
        <v>1008</v>
      </c>
      <c r="T6" s="3424" t="s">
        <v>3008</v>
      </c>
      <c r="U6" s="3424" t="s">
        <v>3021</v>
      </c>
    </row>
    <row r="7" spans="1:21" ht="14.25" customHeight="1">
      <c r="A7" s="3424" t="s">
        <v>990</v>
      </c>
      <c r="B7" s="1289" t="s">
        <v>982</v>
      </c>
      <c r="C7" s="3424">
        <v>34850</v>
      </c>
      <c r="D7" s="3424">
        <v>34690</v>
      </c>
      <c r="E7" s="3424">
        <v>34550</v>
      </c>
      <c r="F7" s="3425">
        <v>14360</v>
      </c>
      <c r="G7" s="3425">
        <v>25620</v>
      </c>
      <c r="H7" s="1018" t="s">
        <v>838</v>
      </c>
      <c r="I7" s="1019">
        <f>SUMPRODUCT((B30:B54='基准地价-住宅'!I2)*(C3:G3='基准地价-住宅'!E2)*(C30:G54))</f>
        <v>24350</v>
      </c>
      <c r="K7" s="3424" t="s">
        <v>1009</v>
      </c>
      <c r="L7" s="3424" t="s">
        <v>1010</v>
      </c>
      <c r="M7" s="3424" t="s">
        <v>1011</v>
      </c>
      <c r="N7" s="3424" t="s">
        <v>1012</v>
      </c>
      <c r="O7" s="3424" t="s">
        <v>1013</v>
      </c>
      <c r="P7" s="3424" t="s">
        <v>1014</v>
      </c>
      <c r="Q7" s="3424" t="s">
        <v>2924</v>
      </c>
      <c r="R7" s="3424" t="s">
        <v>2954</v>
      </c>
      <c r="S7" s="3424" t="s">
        <v>2988</v>
      </c>
      <c r="T7" s="3424" t="s">
        <v>3009</v>
      </c>
      <c r="U7" s="1289" t="s">
        <v>3022</v>
      </c>
    </row>
    <row r="8" spans="1:21" ht="14.25" customHeight="1">
      <c r="A8" s="3424" t="s">
        <v>990</v>
      </c>
      <c r="B8" s="3424" t="s">
        <v>991</v>
      </c>
      <c r="C8" s="3424">
        <v>32630</v>
      </c>
      <c r="D8" s="3424">
        <v>32510</v>
      </c>
      <c r="E8" s="3424">
        <v>32420</v>
      </c>
      <c r="F8" s="3425">
        <v>13300</v>
      </c>
      <c r="G8" s="3425">
        <v>24010</v>
      </c>
      <c r="H8" s="1018" t="s">
        <v>839</v>
      </c>
      <c r="I8" s="1019">
        <f>SUMPRODUCT((B55:B86='基准地价-住宅'!I2)*(C3:G3='基准地价-住宅'!E2)*(C55:G86))</f>
        <v>0</v>
      </c>
      <c r="K8" s="3424" t="s">
        <v>1015</v>
      </c>
      <c r="L8" s="3424" t="s">
        <v>1016</v>
      </c>
      <c r="M8" s="3424" t="s">
        <v>1017</v>
      </c>
      <c r="N8" s="3424" t="s">
        <v>1018</v>
      </c>
      <c r="O8" s="3424" t="s">
        <v>1019</v>
      </c>
      <c r="P8" s="3424" t="s">
        <v>1020</v>
      </c>
      <c r="Q8" s="3424" t="s">
        <v>2925</v>
      </c>
      <c r="R8" s="3424" t="s">
        <v>1021</v>
      </c>
      <c r="S8" s="3424" t="s">
        <v>2989</v>
      </c>
      <c r="T8" s="3424" t="s">
        <v>3010</v>
      </c>
      <c r="U8" s="3424" t="s">
        <v>3023</v>
      </c>
    </row>
    <row r="9" spans="1:21" ht="14.25" customHeight="1" thickBot="1">
      <c r="A9" s="3438" t="s">
        <v>990</v>
      </c>
      <c r="B9" s="3426" t="s">
        <v>1001</v>
      </c>
      <c r="C9" s="3427">
        <v>36370</v>
      </c>
      <c r="D9" s="3427">
        <v>36210</v>
      </c>
      <c r="E9" s="3427">
        <v>36050</v>
      </c>
      <c r="F9" s="3428"/>
      <c r="G9" s="3429">
        <v>26740</v>
      </c>
      <c r="H9" s="1018" t="s">
        <v>840</v>
      </c>
      <c r="I9" s="1019">
        <f>SUMPRODUCT((B87:B126='基准地价-住宅'!I2)*(C3:G3='基准地价-住宅'!E2)*(C87:G126))</f>
        <v>0</v>
      </c>
      <c r="K9" s="3424" t="s">
        <v>1022</v>
      </c>
      <c r="L9" s="3424" t="s">
        <v>1023</v>
      </c>
      <c r="M9" s="3424" t="s">
        <v>1024</v>
      </c>
      <c r="N9" s="3424" t="s">
        <v>1025</v>
      </c>
      <c r="O9" s="3424" t="s">
        <v>1026</v>
      </c>
      <c r="P9" s="3424" t="s">
        <v>1027</v>
      </c>
      <c r="Q9" s="3424" t="s">
        <v>2926</v>
      </c>
      <c r="R9" s="3424" t="s">
        <v>1029</v>
      </c>
      <c r="S9" s="3424" t="s">
        <v>1030</v>
      </c>
      <c r="T9" s="3424" t="s">
        <v>1047</v>
      </c>
    </row>
    <row r="10" spans="1:21" ht="14.25" customHeight="1">
      <c r="A10" s="3421" t="s">
        <v>1031</v>
      </c>
      <c r="B10" s="3422" t="s">
        <v>2821</v>
      </c>
      <c r="C10" s="3422">
        <v>32350</v>
      </c>
      <c r="D10" s="3422">
        <v>31430</v>
      </c>
      <c r="E10" s="3422">
        <v>31320</v>
      </c>
      <c r="F10" s="3423">
        <v>10850</v>
      </c>
      <c r="G10" s="3423">
        <v>22860</v>
      </c>
      <c r="H10" s="1018" t="s">
        <v>841</v>
      </c>
      <c r="I10" s="1019">
        <f>SUMPRODUCT((B127:B189='基准地价-住宅'!I2)*(C3:G3='基准地价-住宅'!E2)*(C127:G189))</f>
        <v>0</v>
      </c>
      <c r="K10" s="3424" t="s">
        <v>1032</v>
      </c>
      <c r="L10" s="3424" t="s">
        <v>1033</v>
      </c>
      <c r="M10" s="3424" t="s">
        <v>1034</v>
      </c>
      <c r="N10" s="3424" t="s">
        <v>1035</v>
      </c>
      <c r="O10" s="3424" t="s">
        <v>1036</v>
      </c>
      <c r="P10" s="3424" t="s">
        <v>1037</v>
      </c>
      <c r="Q10" s="3424" t="s">
        <v>1028</v>
      </c>
      <c r="R10" s="3424" t="s">
        <v>1039</v>
      </c>
      <c r="S10" s="3424" t="s">
        <v>1040</v>
      </c>
      <c r="T10" s="3424" t="s">
        <v>3011</v>
      </c>
    </row>
    <row r="11" spans="1:21" ht="14.25" customHeight="1">
      <c r="A11" s="3424" t="s">
        <v>1031</v>
      </c>
      <c r="B11" s="1289" t="s">
        <v>973</v>
      </c>
      <c r="C11" s="3424">
        <v>31590</v>
      </c>
      <c r="D11" s="3424">
        <v>29490</v>
      </c>
      <c r="E11" s="3424">
        <v>28700</v>
      </c>
      <c r="F11" s="3430">
        <v>10410</v>
      </c>
      <c r="G11" s="3430">
        <v>21460</v>
      </c>
      <c r="H11" s="1018" t="s">
        <v>842</v>
      </c>
      <c r="I11" s="1019">
        <f>SUMPRODUCT((B190:B233='基准地价-住宅'!I2)*(C3:G3='基准地价-住宅'!E2)*(C190:G233))</f>
        <v>0</v>
      </c>
      <c r="K11" s="3424" t="s">
        <v>1041</v>
      </c>
      <c r="L11" s="3424" t="s">
        <v>1042</v>
      </c>
      <c r="M11" s="3424" t="s">
        <v>1043</v>
      </c>
      <c r="N11" s="3424" t="s">
        <v>1044</v>
      </c>
      <c r="O11" s="3424" t="s">
        <v>1045</v>
      </c>
      <c r="P11" s="3424" t="s">
        <v>2892</v>
      </c>
      <c r="Q11" s="3424" t="s">
        <v>1038</v>
      </c>
      <c r="R11" s="3424" t="s">
        <v>1046</v>
      </c>
      <c r="S11" s="3424" t="s">
        <v>2990</v>
      </c>
      <c r="T11" s="3424" t="s">
        <v>3012</v>
      </c>
    </row>
    <row r="12" spans="1:21" ht="14.25" customHeight="1">
      <c r="A12" s="3424" t="s">
        <v>1031</v>
      </c>
      <c r="B12" s="1289" t="s">
        <v>983</v>
      </c>
      <c r="C12" s="3424">
        <v>29640</v>
      </c>
      <c r="D12" s="3424">
        <v>27550</v>
      </c>
      <c r="E12" s="3424">
        <v>28010</v>
      </c>
      <c r="F12" s="3430">
        <v>8730</v>
      </c>
      <c r="G12" s="3430">
        <v>20050</v>
      </c>
      <c r="H12" s="1018" t="s">
        <v>843</v>
      </c>
      <c r="I12" s="1019">
        <f>SUMPRODUCT((B234:B276='基准地价-住宅'!I2)*(C3:G3='基准地价-住宅'!E2)*(C234:G276))</f>
        <v>0</v>
      </c>
      <c r="K12" s="3424" t="s">
        <v>1048</v>
      </c>
      <c r="L12" s="3424" t="s">
        <v>1049</v>
      </c>
      <c r="M12" s="3424" t="s">
        <v>1050</v>
      </c>
      <c r="N12" s="3424" t="s">
        <v>1051</v>
      </c>
      <c r="O12" s="3424" t="s">
        <v>1052</v>
      </c>
      <c r="P12" s="3424" t="s">
        <v>2893</v>
      </c>
      <c r="Q12" s="3424" t="s">
        <v>2927</v>
      </c>
      <c r="R12" s="3424" t="s">
        <v>2955</v>
      </c>
      <c r="S12" s="3424" t="s">
        <v>2991</v>
      </c>
      <c r="T12" s="3424" t="s">
        <v>3013</v>
      </c>
    </row>
    <row r="13" spans="1:21" ht="14.25" customHeight="1">
      <c r="A13" s="3424" t="s">
        <v>1031</v>
      </c>
      <c r="B13" s="1289" t="s">
        <v>992</v>
      </c>
      <c r="C13" s="3424">
        <v>29680</v>
      </c>
      <c r="D13" s="3424">
        <v>27660</v>
      </c>
      <c r="E13" s="3424">
        <v>28210</v>
      </c>
      <c r="F13" s="3430">
        <v>9590</v>
      </c>
      <c r="G13" s="3430">
        <v>20120</v>
      </c>
      <c r="H13" s="1018" t="s">
        <v>844</v>
      </c>
      <c r="I13" s="1019">
        <f>SUMPRODUCT((B277:B326='基准地价-住宅'!I2)*(C3:G3='基准地价-住宅'!E2)*(C277:G326))</f>
        <v>0</v>
      </c>
      <c r="K13" s="3424" t="s">
        <v>1055</v>
      </c>
      <c r="L13" s="3424" t="s">
        <v>1056</v>
      </c>
      <c r="M13" s="3424" t="s">
        <v>1057</v>
      </c>
      <c r="N13" s="3424" t="s">
        <v>1058</v>
      </c>
      <c r="O13" s="3424" t="s">
        <v>1059</v>
      </c>
      <c r="P13" s="3424" t="s">
        <v>2894</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SUMPRODUCT((B327:B357='基准地价-住宅'!I2)*(C3:G3='基准地价-住宅'!E2)*(C327:G357))</f>
        <v>0</v>
      </c>
      <c r="K14" s="3424" t="s">
        <v>1062</v>
      </c>
      <c r="L14" s="3424" t="s">
        <v>1063</v>
      </c>
      <c r="M14" s="3424" t="s">
        <v>1064</v>
      </c>
      <c r="N14" s="3424" t="s">
        <v>1065</v>
      </c>
      <c r="O14" s="3424" t="s">
        <v>1066</v>
      </c>
      <c r="P14" s="3424" t="s">
        <v>1088</v>
      </c>
      <c r="Q14" s="3424" t="s">
        <v>1060</v>
      </c>
      <c r="R14" s="3424" t="s">
        <v>2956</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SUMPRODUCT((B358:B377='基准地价-住宅'!I2)*(C3:G3='基准地价-住宅'!E2)*(C358:G377))</f>
        <v>0</v>
      </c>
      <c r="K15" s="3424" t="s">
        <v>1070</v>
      </c>
      <c r="L15" s="3424" t="s">
        <v>1071</v>
      </c>
      <c r="M15" s="3424" t="s">
        <v>1072</v>
      </c>
      <c r="N15" s="3424" t="s">
        <v>1073</v>
      </c>
      <c r="O15" s="3424" t="s">
        <v>1074</v>
      </c>
      <c r="P15" s="3424" t="s">
        <v>2895</v>
      </c>
      <c r="Q15" s="3424" t="s">
        <v>2928</v>
      </c>
      <c r="R15" s="3424" t="s">
        <v>1090</v>
      </c>
      <c r="S15" s="3424" t="s">
        <v>2992</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SUMPRODUCT((B378:B384='基准地价-住宅'!I2)*(C3:G3='基准地价-住宅'!E2)*(C378:G384))</f>
        <v>0</v>
      </c>
      <c r="K16" s="3424" t="s">
        <v>1078</v>
      </c>
      <c r="L16" s="3424" t="s">
        <v>1079</v>
      </c>
      <c r="M16" s="3424" t="s">
        <v>1080</v>
      </c>
      <c r="N16" s="3424" t="s">
        <v>1081</v>
      </c>
      <c r="O16" s="3424" t="s">
        <v>1082</v>
      </c>
      <c r="P16" s="3424" t="s">
        <v>2896</v>
      </c>
      <c r="Q16" s="3424" t="s">
        <v>1075</v>
      </c>
      <c r="R16" s="3424" t="s">
        <v>1098</v>
      </c>
      <c r="S16" s="3424" t="s">
        <v>1054</v>
      </c>
      <c r="T16" s="3424" t="s">
        <v>3014</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2897</v>
      </c>
      <c r="Q17" s="3424" t="s">
        <v>2929</v>
      </c>
      <c r="R17" s="3424" t="s">
        <v>1104</v>
      </c>
      <c r="S17" s="3424" t="s">
        <v>2993</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2898</v>
      </c>
      <c r="Q18" s="3424" t="s">
        <v>1089</v>
      </c>
      <c r="R18" s="3424" t="s">
        <v>2957</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2899</v>
      </c>
      <c r="Q19" s="3424" t="s">
        <v>1097</v>
      </c>
      <c r="R19" s="3424" t="s">
        <v>2958</v>
      </c>
      <c r="S19" s="3424" t="s">
        <v>1113</v>
      </c>
      <c r="T19" s="3424" t="s">
        <v>3015</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2900</v>
      </c>
      <c r="Q20" s="3424" t="s">
        <v>2930</v>
      </c>
      <c r="R20" s="3424" t="s">
        <v>1139</v>
      </c>
      <c r="S20" s="3424" t="s">
        <v>2994</v>
      </c>
      <c r="T20" s="3424" t="s">
        <v>1126</v>
      </c>
    </row>
    <row r="21" spans="1:20" ht="14.25" customHeight="1">
      <c r="A21" s="3424" t="s">
        <v>1031</v>
      </c>
      <c r="B21" s="1289" t="s">
        <v>1055</v>
      </c>
      <c r="C21" s="3424">
        <v>32370</v>
      </c>
      <c r="D21" s="3424">
        <v>26730</v>
      </c>
      <c r="E21" s="3424">
        <v>26640</v>
      </c>
      <c r="F21" s="3430"/>
      <c r="G21" s="3431">
        <v>19440</v>
      </c>
      <c r="K21" s="3433" t="s">
        <v>2822</v>
      </c>
      <c r="L21" s="3424" t="s">
        <v>1115</v>
      </c>
      <c r="M21" s="3424" t="s">
        <v>1116</v>
      </c>
      <c r="N21" s="3424" t="s">
        <v>1117</v>
      </c>
      <c r="O21" s="3424" t="s">
        <v>1118</v>
      </c>
      <c r="P21" s="3424" t="s">
        <v>1112</v>
      </c>
      <c r="Q21" s="3424" t="s">
        <v>1132</v>
      </c>
      <c r="R21" s="3424" t="s">
        <v>1142</v>
      </c>
      <c r="S21" s="3424" t="s">
        <v>2995</v>
      </c>
      <c r="T21" s="3424" t="s">
        <v>3016</v>
      </c>
    </row>
    <row r="22" spans="1:20" ht="14.25" customHeight="1">
      <c r="A22" s="3424" t="s">
        <v>1031</v>
      </c>
      <c r="B22" s="1289" t="s">
        <v>1062</v>
      </c>
      <c r="C22" s="3424">
        <v>29830</v>
      </c>
      <c r="D22" s="3424">
        <v>27600</v>
      </c>
      <c r="E22" s="3424">
        <v>28150</v>
      </c>
      <c r="F22" s="3430"/>
      <c r="G22" s="3431">
        <v>20080</v>
      </c>
      <c r="L22" s="3433" t="s">
        <v>2824</v>
      </c>
      <c r="M22" s="3424" t="s">
        <v>1120</v>
      </c>
      <c r="N22" s="3424" t="s">
        <v>1121</v>
      </c>
      <c r="O22" s="3424" t="s">
        <v>1122</v>
      </c>
      <c r="P22" s="3424" t="s">
        <v>2901</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2825</v>
      </c>
      <c r="M23" s="3424" t="s">
        <v>1127</v>
      </c>
      <c r="N23" s="3424" t="s">
        <v>1128</v>
      </c>
      <c r="O23" s="3424" t="s">
        <v>2855</v>
      </c>
      <c r="P23" s="3424" t="s">
        <v>2902</v>
      </c>
      <c r="Q23" s="3424" t="s">
        <v>1138</v>
      </c>
      <c r="R23" s="3424" t="s">
        <v>1147</v>
      </c>
      <c r="S23" s="3424" t="s">
        <v>2996</v>
      </c>
    </row>
    <row r="24" spans="1:20" ht="14.25" customHeight="1">
      <c r="A24" s="3424" t="s">
        <v>1031</v>
      </c>
      <c r="B24" s="1289" t="s">
        <v>1078</v>
      </c>
      <c r="C24" s="3424">
        <v>27930</v>
      </c>
      <c r="D24" s="3424">
        <v>32260</v>
      </c>
      <c r="E24" s="3424">
        <v>32120</v>
      </c>
      <c r="F24" s="3430"/>
      <c r="G24" s="3431">
        <v>23470</v>
      </c>
      <c r="L24" s="3433" t="s">
        <v>2826</v>
      </c>
      <c r="M24" s="3424" t="s">
        <v>1130</v>
      </c>
      <c r="N24" s="3424" t="s">
        <v>1131</v>
      </c>
      <c r="O24" s="3424" t="s">
        <v>2856</v>
      </c>
      <c r="P24" s="3424" t="s">
        <v>1134</v>
      </c>
      <c r="Q24" s="3424" t="s">
        <v>2931</v>
      </c>
      <c r="R24" s="3424" t="s">
        <v>2959</v>
      </c>
      <c r="S24" s="3424" t="s">
        <v>2997</v>
      </c>
    </row>
    <row r="25" spans="1:20" ht="14.25" customHeight="1">
      <c r="A25" s="3424" t="s">
        <v>1031</v>
      </c>
      <c r="B25" s="1289" t="s">
        <v>1083</v>
      </c>
      <c r="C25" s="3424">
        <v>32230</v>
      </c>
      <c r="D25" s="3424">
        <v>29640</v>
      </c>
      <c r="E25" s="3424">
        <v>29510</v>
      </c>
      <c r="F25" s="3430"/>
      <c r="G25" s="3431">
        <v>21560</v>
      </c>
      <c r="L25" s="3433" t="s">
        <v>2827</v>
      </c>
      <c r="M25" s="3424" t="s">
        <v>2830</v>
      </c>
      <c r="N25" s="3424" t="s">
        <v>1133</v>
      </c>
      <c r="O25" s="3424" t="s">
        <v>1141</v>
      </c>
      <c r="P25" s="3424" t="s">
        <v>1137</v>
      </c>
      <c r="Q25" s="3424" t="s">
        <v>1124</v>
      </c>
      <c r="R25" s="3424" t="s">
        <v>1119</v>
      </c>
      <c r="S25" s="3424" t="s">
        <v>2998</v>
      </c>
    </row>
    <row r="26" spans="1:20" ht="14.25" customHeight="1">
      <c r="A26" s="3424" t="s">
        <v>1031</v>
      </c>
      <c r="B26" s="1289" t="s">
        <v>1092</v>
      </c>
      <c r="C26" s="3424">
        <v>31690</v>
      </c>
      <c r="D26" s="3424">
        <v>27650</v>
      </c>
      <c r="E26" s="3424">
        <v>28200</v>
      </c>
      <c r="F26" s="3430"/>
      <c r="G26" s="3431">
        <v>20110</v>
      </c>
      <c r="L26" s="3433" t="s">
        <v>2828</v>
      </c>
      <c r="M26" s="3424" t="s">
        <v>2831</v>
      </c>
      <c r="N26" s="3424" t="s">
        <v>1136</v>
      </c>
      <c r="O26" s="3424" t="s">
        <v>1143</v>
      </c>
      <c r="P26" s="3424" t="s">
        <v>2903</v>
      </c>
      <c r="Q26" s="3424" t="s">
        <v>2932</v>
      </c>
      <c r="R26" s="3424" t="s">
        <v>1125</v>
      </c>
      <c r="S26" s="3424" t="s">
        <v>2999</v>
      </c>
    </row>
    <row r="27" spans="1:20" ht="14.25" customHeight="1">
      <c r="A27" s="3424" t="s">
        <v>1031</v>
      </c>
      <c r="B27" s="1289" t="s">
        <v>1099</v>
      </c>
      <c r="C27" s="3424">
        <v>29610</v>
      </c>
      <c r="D27" s="3424">
        <v>27770</v>
      </c>
      <c r="E27" s="3424">
        <v>28300</v>
      </c>
      <c r="F27" s="3430"/>
      <c r="G27" s="3431">
        <v>20210</v>
      </c>
      <c r="M27" s="3424" t="s">
        <v>2832</v>
      </c>
      <c r="N27" s="3424" t="s">
        <v>1140</v>
      </c>
      <c r="O27" s="3424" t="s">
        <v>1146</v>
      </c>
      <c r="P27" s="3424" t="s">
        <v>1123</v>
      </c>
      <c r="Q27" s="3424" t="s">
        <v>2933</v>
      </c>
      <c r="R27" s="3424" t="s">
        <v>2960</v>
      </c>
      <c r="S27" s="3424" t="s">
        <v>3000</v>
      </c>
    </row>
    <row r="28" spans="1:20" ht="14.25" customHeight="1">
      <c r="A28" s="3438" t="s">
        <v>1031</v>
      </c>
      <c r="B28" s="2601" t="s">
        <v>1107</v>
      </c>
      <c r="C28" s="1287"/>
      <c r="D28" s="1287">
        <v>31520</v>
      </c>
      <c r="E28" s="1287">
        <v>31410</v>
      </c>
      <c r="F28" s="3435"/>
      <c r="G28" s="3436">
        <v>22940</v>
      </c>
      <c r="M28" s="3424" t="s">
        <v>2833</v>
      </c>
      <c r="N28" s="3424" t="s">
        <v>2840</v>
      </c>
      <c r="O28" s="3424" t="s">
        <v>2857</v>
      </c>
      <c r="P28" s="3424" t="s">
        <v>2904</v>
      </c>
      <c r="Q28" s="3424" t="s">
        <v>2934</v>
      </c>
      <c r="R28" s="3424" t="s">
        <v>2961</v>
      </c>
      <c r="S28" s="3433" t="s">
        <v>3001</v>
      </c>
    </row>
    <row r="29" spans="1:20" ht="14.25" customHeight="1" thickBot="1">
      <c r="A29" s="3439" t="s">
        <v>1031</v>
      </c>
      <c r="B29" s="3427" t="s">
        <v>2822</v>
      </c>
      <c r="C29" s="3427"/>
      <c r="D29" s="3427">
        <v>29460</v>
      </c>
      <c r="E29" s="3427">
        <v>28640</v>
      </c>
      <c r="F29" s="3428"/>
      <c r="G29" s="3440">
        <v>21430</v>
      </c>
      <c r="M29" s="3433" t="s">
        <v>2834</v>
      </c>
      <c r="N29" s="3424" t="s">
        <v>2841</v>
      </c>
      <c r="O29" s="3424" t="s">
        <v>2858</v>
      </c>
      <c r="P29" s="3424" t="s">
        <v>2905</v>
      </c>
      <c r="Q29" s="3424" t="s">
        <v>2935</v>
      </c>
      <c r="R29" s="3424" t="s">
        <v>2962</v>
      </c>
      <c r="S29" s="3433" t="s">
        <v>1129</v>
      </c>
    </row>
    <row r="30" spans="1:20" ht="14.25" customHeight="1">
      <c r="A30" s="3438" t="s">
        <v>1145</v>
      </c>
      <c r="B30" s="1289" t="s">
        <v>2823</v>
      </c>
      <c r="C30" s="1289">
        <v>26890</v>
      </c>
      <c r="D30" s="1289">
        <v>26770</v>
      </c>
      <c r="E30" s="1289">
        <v>25700</v>
      </c>
      <c r="F30" s="3425">
        <v>8180</v>
      </c>
      <c r="G30" s="3425">
        <v>18740</v>
      </c>
      <c r="I30" s="1022"/>
      <c r="M30" s="3433" t="s">
        <v>2835</v>
      </c>
      <c r="N30" s="3424" t="s">
        <v>2842</v>
      </c>
      <c r="O30" s="3424" t="s">
        <v>2859</v>
      </c>
      <c r="P30" s="3424" t="s">
        <v>2906</v>
      </c>
      <c r="Q30" s="3424" t="s">
        <v>2936</v>
      </c>
      <c r="R30" s="3424" t="s">
        <v>2963</v>
      </c>
      <c r="S30" s="3433" t="s">
        <v>3002</v>
      </c>
    </row>
    <row r="31" spans="1:20" ht="14.25" customHeight="1">
      <c r="A31" s="3424" t="s">
        <v>1145</v>
      </c>
      <c r="B31" s="1289" t="s">
        <v>974</v>
      </c>
      <c r="C31" s="3424">
        <v>24550</v>
      </c>
      <c r="D31" s="3424">
        <v>23990</v>
      </c>
      <c r="E31" s="3424">
        <v>22930</v>
      </c>
      <c r="F31" s="3430">
        <v>7470</v>
      </c>
      <c r="G31" s="3430">
        <v>16790</v>
      </c>
      <c r="I31" s="1022"/>
      <c r="M31" s="3433" t="s">
        <v>2836</v>
      </c>
      <c r="N31" s="3424" t="s">
        <v>2843</v>
      </c>
      <c r="O31" s="3424" t="s">
        <v>2860</v>
      </c>
      <c r="P31" s="3424" t="s">
        <v>2907</v>
      </c>
      <c r="Q31" s="3424" t="s">
        <v>2937</v>
      </c>
      <c r="R31" s="3424" t="s">
        <v>2964</v>
      </c>
      <c r="S31" s="3433" t="s">
        <v>3003</v>
      </c>
    </row>
    <row r="32" spans="1:20" ht="14.25" customHeight="1">
      <c r="A32" s="3424" t="s">
        <v>1145</v>
      </c>
      <c r="B32" s="1289" t="s">
        <v>984</v>
      </c>
      <c r="C32" s="3424">
        <v>27210</v>
      </c>
      <c r="D32" s="3424">
        <v>23240</v>
      </c>
      <c r="E32" s="3424">
        <v>23260</v>
      </c>
      <c r="F32" s="3430">
        <v>7130</v>
      </c>
      <c r="G32" s="3430">
        <v>16270</v>
      </c>
      <c r="I32" s="1022"/>
      <c r="M32" s="3433" t="s">
        <v>2837</v>
      </c>
      <c r="N32" s="3424" t="s">
        <v>2844</v>
      </c>
      <c r="O32" s="3424" t="s">
        <v>1149</v>
      </c>
      <c r="P32" s="3424" t="s">
        <v>2908</v>
      </c>
      <c r="Q32" s="3424" t="s">
        <v>1148</v>
      </c>
      <c r="R32" s="3424" t="s">
        <v>2965</v>
      </c>
      <c r="S32" s="3433" t="s">
        <v>3004</v>
      </c>
    </row>
    <row r="33" spans="1:18" ht="14.25" customHeight="1">
      <c r="A33" s="3424" t="s">
        <v>1145</v>
      </c>
      <c r="B33" s="1289" t="s">
        <v>993</v>
      </c>
      <c r="C33" s="3424">
        <v>27300</v>
      </c>
      <c r="D33" s="3424">
        <v>22980</v>
      </c>
      <c r="E33" s="3424">
        <v>24260</v>
      </c>
      <c r="F33" s="3430">
        <v>5860</v>
      </c>
      <c r="G33" s="3430">
        <v>16090</v>
      </c>
      <c r="I33" s="1022"/>
      <c r="M33" s="3433" t="s">
        <v>2838</v>
      </c>
      <c r="N33" s="3424" t="s">
        <v>2845</v>
      </c>
      <c r="O33" s="3424" t="s">
        <v>1150</v>
      </c>
      <c r="P33" s="3424" t="s">
        <v>2909</v>
      </c>
      <c r="Q33" s="3424" t="s">
        <v>2938</v>
      </c>
      <c r="R33" s="3424" t="s">
        <v>2966</v>
      </c>
    </row>
    <row r="34" spans="1:18" ht="14.25" customHeight="1">
      <c r="A34" s="3424" t="s">
        <v>1145</v>
      </c>
      <c r="B34" s="1289" t="s">
        <v>1003</v>
      </c>
      <c r="C34" s="3424">
        <v>23090</v>
      </c>
      <c r="D34" s="3424">
        <v>23390</v>
      </c>
      <c r="E34" s="3424">
        <v>23510</v>
      </c>
      <c r="F34" s="3430">
        <v>6700</v>
      </c>
      <c r="G34" s="3430">
        <v>16370</v>
      </c>
      <c r="I34" s="1022"/>
      <c r="N34" s="3424" t="s">
        <v>2846</v>
      </c>
      <c r="O34" s="3424" t="s">
        <v>1151</v>
      </c>
      <c r="P34" s="3424" t="s">
        <v>2910</v>
      </c>
      <c r="Q34" s="3424" t="s">
        <v>2939</v>
      </c>
      <c r="R34" s="3424" t="s">
        <v>2967</v>
      </c>
    </row>
    <row r="35" spans="1:18" ht="14.25" customHeight="1">
      <c r="A35" s="3424" t="s">
        <v>1145</v>
      </c>
      <c r="B35" s="1289" t="s">
        <v>1010</v>
      </c>
      <c r="C35" s="3424">
        <v>27270</v>
      </c>
      <c r="D35" s="3424">
        <v>24270</v>
      </c>
      <c r="E35" s="3424">
        <v>24950</v>
      </c>
      <c r="F35" s="3430">
        <v>6600</v>
      </c>
      <c r="G35" s="3430">
        <v>16990</v>
      </c>
      <c r="I35" s="1022"/>
      <c r="N35" s="3424" t="s">
        <v>2847</v>
      </c>
      <c r="O35" s="3424" t="s">
        <v>2861</v>
      </c>
      <c r="P35" s="3424" t="s">
        <v>2911</v>
      </c>
      <c r="Q35" s="3424" t="s">
        <v>2940</v>
      </c>
      <c r="R35" s="3424" t="s">
        <v>2968</v>
      </c>
    </row>
    <row r="36" spans="1:18" ht="14.25" customHeight="1">
      <c r="A36" s="3424" t="s">
        <v>1145</v>
      </c>
      <c r="B36" s="1289" t="s">
        <v>1016</v>
      </c>
      <c r="C36" s="3424">
        <v>23490</v>
      </c>
      <c r="D36" s="3424">
        <v>23020</v>
      </c>
      <c r="E36" s="3424">
        <v>25230</v>
      </c>
      <c r="F36" s="3430">
        <v>6780</v>
      </c>
      <c r="G36" s="3430">
        <v>16120</v>
      </c>
      <c r="I36" s="1022"/>
      <c r="N36" s="3433" t="s">
        <v>2848</v>
      </c>
      <c r="O36" s="3461" t="s">
        <v>2862</v>
      </c>
      <c r="P36" s="3424" t="s">
        <v>2912</v>
      </c>
      <c r="Q36" s="3424" t="s">
        <v>2941</v>
      </c>
      <c r="R36" s="3424" t="s">
        <v>2969</v>
      </c>
    </row>
    <row r="37" spans="1:18" ht="14.25" customHeight="1">
      <c r="A37" s="3424" t="s">
        <v>1145</v>
      </c>
      <c r="B37" s="1289" t="s">
        <v>1023</v>
      </c>
      <c r="C37" s="3424">
        <v>24380</v>
      </c>
      <c r="D37" s="3424">
        <v>22240</v>
      </c>
      <c r="E37" s="3424">
        <v>25980</v>
      </c>
      <c r="F37" s="3430">
        <v>8160</v>
      </c>
      <c r="G37" s="3430">
        <v>15570</v>
      </c>
      <c r="I37" s="1023"/>
      <c r="N37" s="3433" t="s">
        <v>2849</v>
      </c>
      <c r="O37" s="3461" t="s">
        <v>2863</v>
      </c>
      <c r="P37" s="3424" t="s">
        <v>2913</v>
      </c>
      <c r="Q37" s="3424" t="s">
        <v>2942</v>
      </c>
      <c r="R37" s="3424" t="s">
        <v>2970</v>
      </c>
    </row>
    <row r="38" spans="1:18" ht="14.25" customHeight="1">
      <c r="A38" s="3424" t="s">
        <v>1145</v>
      </c>
      <c r="B38" s="1289" t="s">
        <v>1033</v>
      </c>
      <c r="C38" s="3424">
        <v>23120</v>
      </c>
      <c r="D38" s="3424">
        <v>24630</v>
      </c>
      <c r="E38" s="3424">
        <v>25030</v>
      </c>
      <c r="F38" s="3430">
        <v>7710</v>
      </c>
      <c r="G38" s="3430">
        <v>17240</v>
      </c>
      <c r="I38" s="1024"/>
      <c r="N38" s="3433" t="s">
        <v>2850</v>
      </c>
      <c r="O38" s="3461" t="s">
        <v>2864</v>
      </c>
      <c r="P38" s="3424" t="s">
        <v>2914</v>
      </c>
      <c r="Q38" s="3424" t="s">
        <v>2943</v>
      </c>
      <c r="R38" s="3424" t="s">
        <v>2971</v>
      </c>
    </row>
    <row r="39" spans="1:18" ht="14.25" customHeight="1">
      <c r="A39" s="3424" t="s">
        <v>1145</v>
      </c>
      <c r="B39" s="1289" t="s">
        <v>1042</v>
      </c>
      <c r="C39" s="3424">
        <v>22330</v>
      </c>
      <c r="D39" s="3424">
        <v>21140</v>
      </c>
      <c r="E39" s="3424">
        <v>23970</v>
      </c>
      <c r="F39" s="3430">
        <v>7940</v>
      </c>
      <c r="G39" s="3430">
        <v>14790</v>
      </c>
      <c r="I39" s="1024"/>
      <c r="N39" s="3433" t="s">
        <v>2851</v>
      </c>
      <c r="O39" s="3461" t="s">
        <v>2865</v>
      </c>
      <c r="P39" s="3424" t="s">
        <v>2915</v>
      </c>
      <c r="Q39" s="3424" t="s">
        <v>2944</v>
      </c>
      <c r="R39" s="3424" t="s">
        <v>2972</v>
      </c>
    </row>
    <row r="40" spans="1:18" ht="14.25" customHeight="1">
      <c r="A40" s="3424" t="s">
        <v>1145</v>
      </c>
      <c r="B40" s="1289" t="s">
        <v>1049</v>
      </c>
      <c r="C40" s="3424">
        <v>24740</v>
      </c>
      <c r="D40" s="3424">
        <v>24690</v>
      </c>
      <c r="E40" s="3424">
        <v>22610</v>
      </c>
      <c r="F40" s="3430"/>
      <c r="G40" s="3430">
        <v>17280</v>
      </c>
      <c r="I40" s="1024"/>
      <c r="N40" s="3433" t="s">
        <v>2852</v>
      </c>
      <c r="O40" s="3461" t="s">
        <v>2866</v>
      </c>
      <c r="P40" s="3424" t="s">
        <v>2916</v>
      </c>
      <c r="Q40" s="3424" t="s">
        <v>2945</v>
      </c>
      <c r="R40" s="3424" t="s">
        <v>2973</v>
      </c>
    </row>
    <row r="41" spans="1:18" ht="14.25" customHeight="1">
      <c r="A41" s="3424" t="s">
        <v>1145</v>
      </c>
      <c r="B41" s="1289" t="s">
        <v>1056</v>
      </c>
      <c r="C41" s="3424">
        <v>21220</v>
      </c>
      <c r="D41" s="3424">
        <v>21120</v>
      </c>
      <c r="E41" s="3424">
        <v>22590</v>
      </c>
      <c r="F41" s="3430"/>
      <c r="G41" s="3430">
        <v>14780</v>
      </c>
      <c r="I41" s="1024"/>
      <c r="N41" s="3433" t="s">
        <v>2853</v>
      </c>
      <c r="O41" s="3462" t="s">
        <v>2867</v>
      </c>
      <c r="P41" s="1289" t="s">
        <v>2917</v>
      </c>
      <c r="Q41" s="3433" t="s">
        <v>2946</v>
      </c>
      <c r="R41" s="1289" t="s">
        <v>2974</v>
      </c>
    </row>
    <row r="42" spans="1:18" ht="14.25" customHeight="1">
      <c r="A42" s="3424" t="s">
        <v>1145</v>
      </c>
      <c r="B42" s="1289" t="s">
        <v>1063</v>
      </c>
      <c r="C42" s="3424">
        <v>24800</v>
      </c>
      <c r="D42" s="3424">
        <v>22280</v>
      </c>
      <c r="E42" s="3424">
        <v>24350</v>
      </c>
      <c r="F42" s="3430"/>
      <c r="G42" s="3430">
        <v>15590</v>
      </c>
      <c r="I42" s="1024"/>
      <c r="O42" s="3424" t="s">
        <v>2868</v>
      </c>
      <c r="P42" s="3424" t="s">
        <v>2918</v>
      </c>
      <c r="Q42" s="3433" t="s">
        <v>2947</v>
      </c>
      <c r="R42" s="3424" t="s">
        <v>2975</v>
      </c>
    </row>
    <row r="43" spans="1:18" ht="14.25" customHeight="1">
      <c r="A43" s="3424" t="s">
        <v>1145</v>
      </c>
      <c r="B43" s="1289" t="s">
        <v>1071</v>
      </c>
      <c r="C43" s="3424">
        <v>21210</v>
      </c>
      <c r="D43" s="3424">
        <v>21160</v>
      </c>
      <c r="E43" s="3424">
        <v>22650</v>
      </c>
      <c r="F43" s="3430"/>
      <c r="G43" s="3430">
        <v>14800</v>
      </c>
      <c r="I43" s="1024"/>
      <c r="O43" s="3424" t="s">
        <v>2869</v>
      </c>
      <c r="P43" s="3424" t="s">
        <v>2919</v>
      </c>
      <c r="Q43" s="3433" t="s">
        <v>2948</v>
      </c>
      <c r="R43" s="3424" t="s">
        <v>2976</v>
      </c>
    </row>
    <row r="44" spans="1:18" ht="14.25" customHeight="1">
      <c r="A44" s="3424" t="s">
        <v>1145</v>
      </c>
      <c r="B44" s="1289" t="s">
        <v>1079</v>
      </c>
      <c r="C44" s="3424">
        <v>22370</v>
      </c>
      <c r="D44" s="3424">
        <v>23140</v>
      </c>
      <c r="E44" s="3424">
        <v>25090</v>
      </c>
      <c r="F44" s="3430"/>
      <c r="G44" s="3430">
        <v>16190</v>
      </c>
      <c r="I44" s="1024"/>
      <c r="O44" s="3424" t="s">
        <v>2870</v>
      </c>
      <c r="P44" s="3424" t="s">
        <v>2920</v>
      </c>
      <c r="Q44" s="3433" t="s">
        <v>2949</v>
      </c>
      <c r="R44" s="3424" t="s">
        <v>2977</v>
      </c>
    </row>
    <row r="45" spans="1:18" ht="14.25" customHeight="1">
      <c r="A45" s="3424" t="s">
        <v>1145</v>
      </c>
      <c r="B45" s="1289" t="s">
        <v>1084</v>
      </c>
      <c r="C45" s="3424">
        <v>21240</v>
      </c>
      <c r="D45" s="3424">
        <v>27050</v>
      </c>
      <c r="E45" s="3424">
        <v>28000</v>
      </c>
      <c r="F45" s="3430"/>
      <c r="G45" s="3430">
        <v>18940</v>
      </c>
      <c r="I45" s="1022"/>
      <c r="O45" s="3424" t="s">
        <v>2871</v>
      </c>
      <c r="P45" s="3424" t="s">
        <v>2921</v>
      </c>
      <c r="R45" s="3424" t="s">
        <v>2978</v>
      </c>
    </row>
    <row r="46" spans="1:18" ht="14.25" customHeight="1">
      <c r="A46" s="3424" t="s">
        <v>1145</v>
      </c>
      <c r="B46" s="1289" t="s">
        <v>1093</v>
      </c>
      <c r="C46" s="3424">
        <v>23240</v>
      </c>
      <c r="D46" s="3424">
        <v>23000</v>
      </c>
      <c r="E46" s="3424">
        <v>24980</v>
      </c>
      <c r="F46" s="3430"/>
      <c r="G46" s="3430">
        <v>16100</v>
      </c>
      <c r="I46" s="1024"/>
      <c r="O46" s="3424" t="s">
        <v>2872</v>
      </c>
      <c r="P46" s="3424"/>
      <c r="R46" s="3424" t="s">
        <v>2979</v>
      </c>
    </row>
    <row r="47" spans="1:18" ht="14.25" customHeight="1">
      <c r="A47" s="3424" t="s">
        <v>1145</v>
      </c>
      <c r="B47" s="2601" t="s">
        <v>1100</v>
      </c>
      <c r="C47" s="1287">
        <v>27150</v>
      </c>
      <c r="D47" s="1287">
        <v>23310</v>
      </c>
      <c r="E47" s="1287">
        <v>25150</v>
      </c>
      <c r="F47" s="3435"/>
      <c r="G47" s="3435">
        <v>16310</v>
      </c>
      <c r="I47" s="1024"/>
      <c r="O47" s="3424" t="s">
        <v>2873</v>
      </c>
      <c r="P47" s="3424"/>
      <c r="R47" s="3433" t="s">
        <v>2980</v>
      </c>
    </row>
    <row r="48" spans="1:18" ht="14.25" customHeight="1">
      <c r="A48" s="3424" t="s">
        <v>1145</v>
      </c>
      <c r="B48" s="3424" t="s">
        <v>1108</v>
      </c>
      <c r="C48" s="3424">
        <v>23100</v>
      </c>
      <c r="D48" s="3424">
        <v>21110</v>
      </c>
      <c r="E48" s="3424">
        <v>23080</v>
      </c>
      <c r="F48" s="3430"/>
      <c r="G48" s="3437">
        <v>14780</v>
      </c>
      <c r="I48" s="1022"/>
      <c r="O48" s="3424" t="s">
        <v>2874</v>
      </c>
      <c r="P48" s="3424"/>
      <c r="R48" s="3433" t="s">
        <v>2981</v>
      </c>
    </row>
    <row r="49" spans="1:18" ht="14.25" customHeight="1">
      <c r="A49" s="3424" t="s">
        <v>1145</v>
      </c>
      <c r="B49" s="1289" t="s">
        <v>1115</v>
      </c>
      <c r="C49" s="1289">
        <v>23400</v>
      </c>
      <c r="D49" s="1289">
        <v>22920</v>
      </c>
      <c r="E49" s="1289">
        <v>24900</v>
      </c>
      <c r="F49" s="3425"/>
      <c r="G49" s="3425">
        <v>16040</v>
      </c>
      <c r="I49" s="1024"/>
      <c r="O49" s="3424" t="s">
        <v>2875</v>
      </c>
      <c r="P49" s="3424"/>
      <c r="R49" s="3433" t="s">
        <v>2982</v>
      </c>
    </row>
    <row r="50" spans="1:18" ht="14.25" customHeight="1">
      <c r="A50" s="3424" t="s">
        <v>1145</v>
      </c>
      <c r="B50" s="3424" t="s">
        <v>2824</v>
      </c>
      <c r="C50" s="3424">
        <v>21200</v>
      </c>
      <c r="D50" s="3424">
        <v>26540</v>
      </c>
      <c r="E50" s="3424">
        <v>23200</v>
      </c>
      <c r="F50" s="3430"/>
      <c r="G50" s="3430">
        <v>18580</v>
      </c>
      <c r="I50" s="1024"/>
      <c r="O50" s="3433" t="s">
        <v>2876</v>
      </c>
      <c r="R50" s="3433" t="s">
        <v>2983</v>
      </c>
    </row>
    <row r="51" spans="1:18" ht="14.25" customHeight="1">
      <c r="A51" s="3424" t="s">
        <v>1145</v>
      </c>
      <c r="B51" s="3424" t="s">
        <v>2825</v>
      </c>
      <c r="C51" s="3424">
        <v>23000</v>
      </c>
      <c r="D51" s="3424">
        <v>23460</v>
      </c>
      <c r="E51" s="3424">
        <v>25290</v>
      </c>
      <c r="F51" s="3430"/>
      <c r="G51" s="3430">
        <v>16420</v>
      </c>
      <c r="I51" s="1024"/>
      <c r="O51" s="3433" t="s">
        <v>2877</v>
      </c>
      <c r="R51" s="3433" t="s">
        <v>2984</v>
      </c>
    </row>
    <row r="52" spans="1:18" ht="14.25" customHeight="1">
      <c r="A52" s="3424" t="s">
        <v>1145</v>
      </c>
      <c r="B52" s="3424" t="s">
        <v>2826</v>
      </c>
      <c r="C52" s="3424">
        <v>26660</v>
      </c>
      <c r="D52" s="3424">
        <v>22350</v>
      </c>
      <c r="E52" s="3424">
        <v>22920</v>
      </c>
      <c r="F52" s="3430"/>
      <c r="G52" s="3430">
        <v>15640</v>
      </c>
      <c r="I52" s="1024"/>
      <c r="O52" s="3433" t="s">
        <v>2878</v>
      </c>
    </row>
    <row r="53" spans="1:18" ht="14.25" customHeight="1">
      <c r="A53" s="3424" t="s">
        <v>1145</v>
      </c>
      <c r="B53" s="3424" t="s">
        <v>2827</v>
      </c>
      <c r="C53" s="3424">
        <v>23580</v>
      </c>
      <c r="D53" s="3424"/>
      <c r="E53" s="3424">
        <v>24280</v>
      </c>
      <c r="F53" s="3430"/>
      <c r="G53" s="3430"/>
      <c r="I53" s="1024"/>
      <c r="O53" s="3433" t="s">
        <v>2879</v>
      </c>
    </row>
    <row r="54" spans="1:18" ht="14.25" customHeight="1" thickBot="1">
      <c r="A54" s="3439" t="s">
        <v>1145</v>
      </c>
      <c r="B54" s="3427" t="s">
        <v>2828</v>
      </c>
      <c r="C54" s="3427">
        <v>22460</v>
      </c>
      <c r="D54" s="3427"/>
      <c r="E54" s="3427"/>
      <c r="F54" s="3428"/>
      <c r="G54" s="3440"/>
      <c r="I54" s="1024"/>
      <c r="O54" s="3433" t="s">
        <v>2880</v>
      </c>
    </row>
    <row r="55" spans="1:18" ht="14.25" customHeight="1">
      <c r="A55" s="3438" t="s">
        <v>853</v>
      </c>
      <c r="B55" s="1289" t="s">
        <v>2829</v>
      </c>
      <c r="C55" s="1289">
        <v>21970</v>
      </c>
      <c r="D55" s="1289">
        <v>20370</v>
      </c>
      <c r="E55" s="1289">
        <v>20180</v>
      </c>
      <c r="F55" s="3425">
        <v>5730</v>
      </c>
      <c r="G55" s="3425">
        <v>13820</v>
      </c>
      <c r="I55" s="1024"/>
      <c r="O55" s="3433" t="s">
        <v>2881</v>
      </c>
    </row>
    <row r="56" spans="1:18" ht="14.25" customHeight="1">
      <c r="A56" s="3424" t="s">
        <v>853</v>
      </c>
      <c r="B56" s="3424" t="s">
        <v>975</v>
      </c>
      <c r="C56" s="3424">
        <v>20470</v>
      </c>
      <c r="D56" s="3424">
        <v>20700</v>
      </c>
      <c r="E56" s="3424">
        <v>20380</v>
      </c>
      <c r="F56" s="3430">
        <v>4760</v>
      </c>
      <c r="G56" s="3430">
        <v>14050</v>
      </c>
      <c r="I56" s="1024"/>
      <c r="O56" s="3433" t="s">
        <v>2882</v>
      </c>
    </row>
    <row r="57" spans="1:18" ht="14.25" customHeight="1">
      <c r="A57" s="3424" t="s">
        <v>853</v>
      </c>
      <c r="B57" s="3424" t="s">
        <v>985</v>
      </c>
      <c r="C57" s="3424">
        <v>20790</v>
      </c>
      <c r="D57" s="3424">
        <v>21370</v>
      </c>
      <c r="E57" s="3424">
        <v>20890</v>
      </c>
      <c r="F57" s="3430">
        <v>4910</v>
      </c>
      <c r="G57" s="3430">
        <v>14510</v>
      </c>
      <c r="I57" s="1024"/>
      <c r="O57" s="3433" t="s">
        <v>2883</v>
      </c>
    </row>
    <row r="58" spans="1:18" ht="14.25" customHeight="1">
      <c r="A58" s="3424" t="s">
        <v>853</v>
      </c>
      <c r="B58" s="3424" t="s">
        <v>994</v>
      </c>
      <c r="C58" s="3424">
        <v>21460</v>
      </c>
      <c r="D58" s="3424">
        <v>20920</v>
      </c>
      <c r="E58" s="3424">
        <v>23410</v>
      </c>
      <c r="F58" s="3430">
        <v>5100</v>
      </c>
      <c r="G58" s="3430">
        <v>14200</v>
      </c>
      <c r="I58" s="1024"/>
      <c r="O58" s="3433" t="s">
        <v>2884</v>
      </c>
    </row>
    <row r="59" spans="1:18" ht="14.25" customHeight="1">
      <c r="A59" s="3424" t="s">
        <v>853</v>
      </c>
      <c r="B59" s="3424" t="s">
        <v>1004</v>
      </c>
      <c r="C59" s="3424">
        <v>21000</v>
      </c>
      <c r="D59" s="3424">
        <v>21550</v>
      </c>
      <c r="E59" s="3424">
        <v>21150</v>
      </c>
      <c r="F59" s="3430">
        <v>5250</v>
      </c>
      <c r="G59" s="3430">
        <v>14630</v>
      </c>
      <c r="I59" s="1024"/>
      <c r="O59" s="3433" t="s">
        <v>2885</v>
      </c>
    </row>
    <row r="60" spans="1:18" ht="14.25" customHeight="1">
      <c r="A60" s="3424" t="s">
        <v>853</v>
      </c>
      <c r="B60" s="3424" t="s">
        <v>1011</v>
      </c>
      <c r="C60" s="3424">
        <v>21640</v>
      </c>
      <c r="D60" s="3424">
        <v>21260</v>
      </c>
      <c r="E60" s="3424">
        <v>24040</v>
      </c>
      <c r="F60" s="3430">
        <v>4470</v>
      </c>
      <c r="G60" s="3430">
        <v>14430</v>
      </c>
      <c r="I60" s="1024"/>
      <c r="O60" s="3433" t="s">
        <v>2886</v>
      </c>
    </row>
    <row r="61" spans="1:18" ht="14.25" customHeight="1">
      <c r="A61" s="3424" t="s">
        <v>853</v>
      </c>
      <c r="B61" s="3424" t="s">
        <v>1017</v>
      </c>
      <c r="C61" s="3424">
        <v>21330</v>
      </c>
      <c r="D61" s="3424">
        <v>18640</v>
      </c>
      <c r="E61" s="3424">
        <v>21190</v>
      </c>
      <c r="F61" s="3430">
        <v>4180</v>
      </c>
      <c r="G61" s="3432">
        <v>12650</v>
      </c>
      <c r="I61" s="1024"/>
      <c r="O61" s="3433" t="s">
        <v>2887</v>
      </c>
    </row>
    <row r="62" spans="1:18" ht="14.25" customHeight="1">
      <c r="A62" s="3424" t="s">
        <v>853</v>
      </c>
      <c r="B62" s="3424" t="s">
        <v>1024</v>
      </c>
      <c r="C62" s="3424">
        <v>18710</v>
      </c>
      <c r="D62" s="3424">
        <v>19400</v>
      </c>
      <c r="E62" s="3424">
        <v>23750</v>
      </c>
      <c r="F62" s="3430">
        <v>4860</v>
      </c>
      <c r="G62" s="3432">
        <v>13170</v>
      </c>
      <c r="I62" s="1024"/>
      <c r="O62" s="3433" t="s">
        <v>2888</v>
      </c>
    </row>
    <row r="63" spans="1:18" ht="14.25" customHeight="1">
      <c r="A63" s="3424" t="s">
        <v>853</v>
      </c>
      <c r="B63" s="3424" t="s">
        <v>1034</v>
      </c>
      <c r="C63" s="3424">
        <v>19480</v>
      </c>
      <c r="D63" s="3424">
        <v>16830</v>
      </c>
      <c r="E63" s="3424">
        <v>21590</v>
      </c>
      <c r="F63" s="3430">
        <v>4560</v>
      </c>
      <c r="G63" s="3432">
        <v>11420</v>
      </c>
      <c r="I63" s="1024"/>
      <c r="O63" s="3433" t="s">
        <v>2889</v>
      </c>
    </row>
    <row r="64" spans="1:18" ht="14.25" customHeight="1">
      <c r="A64" s="3424" t="s">
        <v>853</v>
      </c>
      <c r="B64" s="3424" t="s">
        <v>1043</v>
      </c>
      <c r="C64" s="3424">
        <v>16920</v>
      </c>
      <c r="D64" s="3424">
        <v>19190</v>
      </c>
      <c r="E64" s="3424">
        <v>22200</v>
      </c>
      <c r="F64" s="3430">
        <v>4390</v>
      </c>
      <c r="G64" s="3432">
        <v>13030</v>
      </c>
      <c r="I64" s="1024"/>
      <c r="O64" s="3433" t="s">
        <v>2890</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2830</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2831</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2832</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2833</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2834</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2835</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2836</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2837</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2838</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2839</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2840</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2841</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2842</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2843</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2844</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2845</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2846</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2847</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2848</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2849</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2850</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2851</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2852</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2853</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2854</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2855</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2856</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2857</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2858</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2859</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2860</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2861</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2862</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2863</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2864</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2865</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2866</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2867</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2868</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2869</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2870</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2871</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2872</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2873</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2874</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2875</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2876</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2877</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2878</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2879</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2880</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2881</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2882</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2883</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2884</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2885</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2886</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2887</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2888</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2889</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2890</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2891</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2892</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2893</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2894</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2895</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2896</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2897</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2898</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2899</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2900</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2901</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2902</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2903</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2904</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2905</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2906</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2907</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2908</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2909</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2910</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2911</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2912</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2913</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2914</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2915</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2916</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2917</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2918</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2919</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2920</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2921</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2922</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2923</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2924</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2925</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2926</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2927</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2928</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2929</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2930</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2931</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2932</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2933</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2934</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2935</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2936</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2937</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2938</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2939</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2940</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2941</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2942</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2943</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2944</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2945</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2946</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2947</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2948</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2949</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2950</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2951</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2952</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2953</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2954</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2955</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2956</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2957</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2958</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2959</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2960</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2961</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2962</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2963</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2964</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2965</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2966</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2967</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2968</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2969</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2970</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2971</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2972</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2973</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2974</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2975</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2976</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2977</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2978</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2979</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2980</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2981</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2982</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2983</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2984</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2985</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2986</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2987</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2988</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2989</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2990</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2991</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2992</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2993</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2994</v>
      </c>
      <c r="C345" s="3433">
        <v>3190</v>
      </c>
      <c r="D345" s="3433">
        <v>3140</v>
      </c>
      <c r="E345" s="3433">
        <v>3450</v>
      </c>
      <c r="F345" s="3433">
        <v>720</v>
      </c>
      <c r="G345" s="3433">
        <v>1880</v>
      </c>
      <c r="H345" s="3446"/>
    </row>
    <row r="346" spans="1:21">
      <c r="A346" s="3433" t="s">
        <v>1157</v>
      </c>
      <c r="B346" s="3433" t="s">
        <v>2995</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2996</v>
      </c>
      <c r="C348" s="3433">
        <v>4000</v>
      </c>
      <c r="D348" s="3433">
        <v>3950</v>
      </c>
      <c r="E348" s="3433">
        <v>4430</v>
      </c>
      <c r="F348" s="3433">
        <v>760</v>
      </c>
      <c r="G348" s="3433">
        <v>2360</v>
      </c>
      <c r="H348" s="3446"/>
    </row>
    <row r="349" spans="1:21">
      <c r="A349" s="3433" t="s">
        <v>1157</v>
      </c>
      <c r="B349" s="3433" t="s">
        <v>2997</v>
      </c>
      <c r="C349" s="3433">
        <v>3820</v>
      </c>
      <c r="D349" s="3433">
        <v>3780</v>
      </c>
      <c r="E349" s="3433">
        <v>4170</v>
      </c>
      <c r="F349" s="3433">
        <v>710</v>
      </c>
      <c r="G349" s="3433">
        <v>2260</v>
      </c>
      <c r="H349" s="3446"/>
    </row>
    <row r="350" spans="1:21">
      <c r="A350" s="3433" t="s">
        <v>1157</v>
      </c>
      <c r="B350" s="3433" t="s">
        <v>2998</v>
      </c>
      <c r="C350" s="3433">
        <v>3760</v>
      </c>
      <c r="D350" s="3433">
        <v>3730</v>
      </c>
      <c r="E350" s="3433">
        <v>4100</v>
      </c>
      <c r="F350" s="3433">
        <v>800</v>
      </c>
      <c r="G350" s="3433">
        <v>2230</v>
      </c>
      <c r="H350" s="3446"/>
    </row>
    <row r="351" spans="1:21">
      <c r="A351" s="3433" t="s">
        <v>1157</v>
      </c>
      <c r="B351" s="3433" t="s">
        <v>2999</v>
      </c>
      <c r="C351" s="3433">
        <v>3610</v>
      </c>
      <c r="D351" s="3433">
        <v>3580</v>
      </c>
      <c r="E351" s="3433">
        <v>3930</v>
      </c>
      <c r="F351" s="3433">
        <v>700</v>
      </c>
      <c r="G351" s="3433">
        <v>2140</v>
      </c>
      <c r="H351" s="3446"/>
    </row>
    <row r="352" spans="1:21">
      <c r="A352" s="3433" t="s">
        <v>1157</v>
      </c>
      <c r="B352" s="3433" t="s">
        <v>3000</v>
      </c>
      <c r="C352" s="3433">
        <v>3670</v>
      </c>
      <c r="D352" s="3433">
        <v>3630</v>
      </c>
      <c r="E352" s="3433">
        <v>4000</v>
      </c>
      <c r="F352" s="3433">
        <v>750</v>
      </c>
      <c r="G352" s="3433">
        <v>2180</v>
      </c>
      <c r="H352" s="3446"/>
    </row>
    <row r="353" spans="1:8">
      <c r="A353" s="3433" t="s">
        <v>1157</v>
      </c>
      <c r="B353" s="3433" t="s">
        <v>3001</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3002</v>
      </c>
      <c r="C355" s="3433">
        <v>3650</v>
      </c>
      <c r="D355" s="3433">
        <v>3610</v>
      </c>
      <c r="E355" s="3433">
        <v>4200</v>
      </c>
      <c r="F355" s="3433">
        <v>640</v>
      </c>
      <c r="G355" s="3433">
        <v>2160</v>
      </c>
      <c r="H355" s="3446"/>
    </row>
    <row r="356" spans="1:8">
      <c r="A356" s="3433" t="s">
        <v>1157</v>
      </c>
      <c r="B356" s="3433" t="s">
        <v>3003</v>
      </c>
      <c r="C356" s="3433">
        <v>3260</v>
      </c>
      <c r="D356" s="3433">
        <v>3230</v>
      </c>
      <c r="E356" s="3433">
        <v>3740</v>
      </c>
      <c r="F356" s="3433">
        <v>600</v>
      </c>
      <c r="G356" s="3433">
        <v>1930</v>
      </c>
      <c r="H356" s="3446"/>
    </row>
    <row r="357" spans="1:8" ht="15" thickBot="1">
      <c r="A357" s="3449" t="s">
        <v>1157</v>
      </c>
      <c r="B357" s="3449" t="s">
        <v>3004</v>
      </c>
      <c r="C357" s="3449">
        <v>3690</v>
      </c>
      <c r="D357" s="3449">
        <v>3650</v>
      </c>
      <c r="E357" s="3449">
        <v>4020</v>
      </c>
      <c r="F357" s="3449">
        <v>700</v>
      </c>
      <c r="G357" s="3449">
        <v>2190</v>
      </c>
      <c r="H357" s="3446"/>
    </row>
    <row r="358" spans="1:8">
      <c r="A358" s="3450" t="s">
        <v>2762</v>
      </c>
      <c r="B358" s="3451" t="s">
        <v>3005</v>
      </c>
      <c r="C358" s="3451">
        <v>2080</v>
      </c>
      <c r="D358" s="3451">
        <v>2040</v>
      </c>
      <c r="E358" s="3451">
        <v>2010</v>
      </c>
      <c r="F358" s="3451">
        <v>530</v>
      </c>
      <c r="G358" s="3452">
        <v>1230</v>
      </c>
      <c r="H358" s="3446"/>
    </row>
    <row r="359" spans="1:8">
      <c r="A359" s="3453" t="s">
        <v>2762</v>
      </c>
      <c r="B359" s="3433" t="s">
        <v>3006</v>
      </c>
      <c r="C359" s="3433">
        <v>1850</v>
      </c>
      <c r="D359" s="3433">
        <v>1820</v>
      </c>
      <c r="E359" s="3433">
        <v>1780</v>
      </c>
      <c r="F359" s="3433">
        <v>520</v>
      </c>
      <c r="G359" s="3445">
        <v>1100</v>
      </c>
      <c r="H359" s="3446"/>
    </row>
    <row r="360" spans="1:8">
      <c r="A360" s="3453" t="s">
        <v>2762</v>
      </c>
      <c r="B360" s="3433" t="s">
        <v>3007</v>
      </c>
      <c r="C360" s="3433">
        <v>2020</v>
      </c>
      <c r="D360" s="3433">
        <v>1990</v>
      </c>
      <c r="E360" s="3433">
        <v>1950</v>
      </c>
      <c r="F360" s="3433">
        <v>500</v>
      </c>
      <c r="G360" s="3445">
        <v>1200</v>
      </c>
      <c r="H360" s="3446"/>
    </row>
    <row r="361" spans="1:8">
      <c r="A361" s="3453" t="s">
        <v>2762</v>
      </c>
      <c r="B361" s="3433" t="s">
        <v>999</v>
      </c>
      <c r="C361" s="3433">
        <v>2260</v>
      </c>
      <c r="D361" s="3433">
        <v>2220</v>
      </c>
      <c r="E361" s="3433">
        <v>2180</v>
      </c>
      <c r="F361" s="3433">
        <v>580</v>
      </c>
      <c r="G361" s="3445">
        <v>1340</v>
      </c>
      <c r="H361" s="3446"/>
    </row>
    <row r="362" spans="1:8">
      <c r="A362" s="3453" t="s">
        <v>2762</v>
      </c>
      <c r="B362" s="3433" t="s">
        <v>3008</v>
      </c>
      <c r="C362" s="3433">
        <v>2650</v>
      </c>
      <c r="D362" s="3433">
        <v>2610</v>
      </c>
      <c r="E362" s="3433">
        <v>2570</v>
      </c>
      <c r="F362" s="3433">
        <v>630</v>
      </c>
      <c r="G362" s="3445">
        <v>1570</v>
      </c>
      <c r="H362" s="3446"/>
    </row>
    <row r="363" spans="1:8">
      <c r="A363" s="3453" t="s">
        <v>2762</v>
      </c>
      <c r="B363" s="3433" t="s">
        <v>3009</v>
      </c>
      <c r="C363" s="3433">
        <v>2390</v>
      </c>
      <c r="D363" s="3433">
        <v>2360</v>
      </c>
      <c r="E363" s="3433">
        <v>2320</v>
      </c>
      <c r="F363" s="3433">
        <v>600</v>
      </c>
      <c r="G363" s="3445">
        <v>1420</v>
      </c>
      <c r="H363" s="3446"/>
    </row>
    <row r="364" spans="1:8">
      <c r="A364" s="3453" t="s">
        <v>2762</v>
      </c>
      <c r="B364" s="3433" t="s">
        <v>3010</v>
      </c>
      <c r="C364" s="3433">
        <v>2050</v>
      </c>
      <c r="D364" s="3433">
        <v>2030</v>
      </c>
      <c r="E364" s="3433">
        <v>1990</v>
      </c>
      <c r="F364" s="3433">
        <v>550</v>
      </c>
      <c r="G364" s="3445">
        <v>1220</v>
      </c>
      <c r="H364" s="3446"/>
    </row>
    <row r="365" spans="1:8">
      <c r="A365" s="3453" t="s">
        <v>2762</v>
      </c>
      <c r="B365" s="3433" t="s">
        <v>1047</v>
      </c>
      <c r="C365" s="3433">
        <v>2140</v>
      </c>
      <c r="D365" s="3433">
        <v>2100</v>
      </c>
      <c r="E365" s="3433">
        <v>2060</v>
      </c>
      <c r="F365" s="3433">
        <v>540</v>
      </c>
      <c r="G365" s="3445">
        <v>1270</v>
      </c>
      <c r="H365" s="3446"/>
    </row>
    <row r="366" spans="1:8">
      <c r="A366" s="3453" t="s">
        <v>2762</v>
      </c>
      <c r="B366" s="3433" t="s">
        <v>3011</v>
      </c>
      <c r="C366" s="3433">
        <v>2410</v>
      </c>
      <c r="D366" s="3433">
        <v>2370</v>
      </c>
      <c r="E366" s="3433">
        <v>2330</v>
      </c>
      <c r="F366" s="3433">
        <v>570</v>
      </c>
      <c r="G366" s="3445">
        <v>1440</v>
      </c>
      <c r="H366" s="3446"/>
    </row>
    <row r="367" spans="1:8">
      <c r="A367" s="3453" t="s">
        <v>2762</v>
      </c>
      <c r="B367" s="3433" t="s">
        <v>3012</v>
      </c>
      <c r="C367" s="3433">
        <v>2300</v>
      </c>
      <c r="D367" s="3433">
        <v>2260</v>
      </c>
      <c r="E367" s="3433">
        <v>2220</v>
      </c>
      <c r="F367" s="3433">
        <v>560</v>
      </c>
      <c r="G367" s="3445">
        <v>1370</v>
      </c>
      <c r="H367" s="3446"/>
    </row>
    <row r="368" spans="1:8">
      <c r="A368" s="3453" t="s">
        <v>2762</v>
      </c>
      <c r="B368" s="3433" t="s">
        <v>3013</v>
      </c>
      <c r="C368" s="3433">
        <v>2430</v>
      </c>
      <c r="D368" s="3433">
        <v>2390</v>
      </c>
      <c r="E368" s="3433">
        <v>2350</v>
      </c>
      <c r="F368" s="3433">
        <v>570</v>
      </c>
      <c r="G368" s="3445">
        <v>1450</v>
      </c>
      <c r="H368" s="3446"/>
    </row>
    <row r="369" spans="1:8">
      <c r="A369" s="3453" t="s">
        <v>2762</v>
      </c>
      <c r="B369" s="3433" t="s">
        <v>1061</v>
      </c>
      <c r="C369" s="3433">
        <v>2320</v>
      </c>
      <c r="D369" s="3433">
        <v>2290</v>
      </c>
      <c r="E369" s="3433">
        <v>2250</v>
      </c>
      <c r="F369" s="3433">
        <v>550</v>
      </c>
      <c r="G369" s="3445">
        <v>1380</v>
      </c>
      <c r="H369" s="3446"/>
    </row>
    <row r="370" spans="1:8">
      <c r="A370" s="3453" t="s">
        <v>2762</v>
      </c>
      <c r="B370" s="3433" t="s">
        <v>1069</v>
      </c>
      <c r="C370" s="3433">
        <v>2190</v>
      </c>
      <c r="D370" s="3433">
        <v>2170</v>
      </c>
      <c r="E370" s="3433">
        <v>2130</v>
      </c>
      <c r="F370" s="3433">
        <v>530</v>
      </c>
      <c r="G370" s="3445">
        <v>1310</v>
      </c>
      <c r="H370" s="3446"/>
    </row>
    <row r="371" spans="1:8">
      <c r="A371" s="3453" t="s">
        <v>2762</v>
      </c>
      <c r="B371" s="3433" t="s">
        <v>1077</v>
      </c>
      <c r="C371" s="3433">
        <v>2460</v>
      </c>
      <c r="D371" s="3433">
        <v>2420</v>
      </c>
      <c r="E371" s="3433">
        <v>2370</v>
      </c>
      <c r="F371" s="3433">
        <v>560</v>
      </c>
      <c r="G371" s="3445">
        <v>1470</v>
      </c>
      <c r="H371" s="3446"/>
    </row>
    <row r="372" spans="1:8">
      <c r="A372" s="3453" t="s">
        <v>2762</v>
      </c>
      <c r="B372" s="3433" t="s">
        <v>3014</v>
      </c>
      <c r="C372" s="3433">
        <v>2250</v>
      </c>
      <c r="D372" s="3433">
        <v>2210</v>
      </c>
      <c r="E372" s="3433">
        <v>2180</v>
      </c>
      <c r="F372" s="3433">
        <v>550</v>
      </c>
      <c r="G372" s="3445">
        <v>1340</v>
      </c>
      <c r="H372" s="3446"/>
    </row>
    <row r="373" spans="1:8">
      <c r="A373" s="3453" t="s">
        <v>2762</v>
      </c>
      <c r="B373" s="3433" t="s">
        <v>1106</v>
      </c>
      <c r="C373" s="3433">
        <v>2210</v>
      </c>
      <c r="D373" s="3433">
        <v>2190</v>
      </c>
      <c r="E373" s="3433">
        <v>2150</v>
      </c>
      <c r="F373" s="3433">
        <v>530</v>
      </c>
      <c r="G373" s="3445">
        <v>1320</v>
      </c>
      <c r="H373" s="3446"/>
    </row>
    <row r="374" spans="1:8">
      <c r="A374" s="3453" t="s">
        <v>2762</v>
      </c>
      <c r="B374" s="3433" t="s">
        <v>1114</v>
      </c>
      <c r="C374" s="3433">
        <v>2320</v>
      </c>
      <c r="D374" s="3433">
        <v>2280</v>
      </c>
      <c r="E374" s="3433">
        <v>2230</v>
      </c>
      <c r="F374" s="3433">
        <v>580</v>
      </c>
      <c r="G374" s="3445">
        <v>1380</v>
      </c>
      <c r="H374" s="3446"/>
    </row>
    <row r="375" spans="1:8">
      <c r="A375" s="3453" t="s">
        <v>2762</v>
      </c>
      <c r="B375" s="3433" t="s">
        <v>3015</v>
      </c>
      <c r="C375" s="3433">
        <v>2090</v>
      </c>
      <c r="D375" s="3433">
        <v>2050</v>
      </c>
      <c r="E375" s="3433">
        <v>2020</v>
      </c>
      <c r="F375" s="3433">
        <v>520</v>
      </c>
      <c r="G375" s="3445">
        <v>1240</v>
      </c>
      <c r="H375" s="3446"/>
    </row>
    <row r="376" spans="1:8">
      <c r="A376" s="3453" t="s">
        <v>2762</v>
      </c>
      <c r="B376" s="3433" t="s">
        <v>1126</v>
      </c>
      <c r="C376" s="3433">
        <v>2010</v>
      </c>
      <c r="D376" s="3433">
        <v>1980</v>
      </c>
      <c r="E376" s="3433">
        <v>1940</v>
      </c>
      <c r="F376" s="3433">
        <v>540</v>
      </c>
      <c r="G376" s="3445">
        <v>1190</v>
      </c>
      <c r="H376" s="3446"/>
    </row>
    <row r="377" spans="1:8" ht="15" thickBot="1">
      <c r="A377" s="3455" t="s">
        <v>2762</v>
      </c>
      <c r="B377" s="3449" t="s">
        <v>3016</v>
      </c>
      <c r="C377" s="3449">
        <v>1930</v>
      </c>
      <c r="D377" s="3449">
        <v>1890</v>
      </c>
      <c r="E377" s="3449">
        <v>1860</v>
      </c>
      <c r="F377" s="3449">
        <v>530</v>
      </c>
      <c r="G377" s="3456">
        <v>1150</v>
      </c>
      <c r="H377" s="3446"/>
    </row>
    <row r="378" spans="1:8">
      <c r="A378" s="3450" t="s">
        <v>2763</v>
      </c>
      <c r="B378" s="3451" t="s">
        <v>3017</v>
      </c>
      <c r="C378" s="3451">
        <v>1520</v>
      </c>
      <c r="D378" s="3451">
        <v>1490</v>
      </c>
      <c r="E378" s="3451">
        <v>1460</v>
      </c>
      <c r="F378" s="3451">
        <v>460</v>
      </c>
      <c r="G378" s="3452">
        <v>940</v>
      </c>
      <c r="H378" s="3446"/>
    </row>
    <row r="379" spans="1:8">
      <c r="A379" s="3453" t="s">
        <v>2763</v>
      </c>
      <c r="B379" s="3433" t="s">
        <v>3018</v>
      </c>
      <c r="C379" s="3433">
        <v>1500</v>
      </c>
      <c r="D379" s="3433">
        <v>1470</v>
      </c>
      <c r="E379" s="3433">
        <v>1430</v>
      </c>
      <c r="F379" s="3433">
        <v>460</v>
      </c>
      <c r="G379" s="3445">
        <v>920</v>
      </c>
      <c r="H379" s="3446"/>
    </row>
    <row r="380" spans="1:8">
      <c r="A380" s="3453" t="s">
        <v>2763</v>
      </c>
      <c r="B380" s="3433" t="s">
        <v>3019</v>
      </c>
      <c r="C380" s="3433">
        <v>1620</v>
      </c>
      <c r="D380" s="3433">
        <v>1590</v>
      </c>
      <c r="E380" s="3433">
        <v>1560</v>
      </c>
      <c r="F380" s="3433">
        <v>480</v>
      </c>
      <c r="G380" s="3445">
        <v>1000</v>
      </c>
      <c r="H380" s="3446"/>
    </row>
    <row r="381" spans="1:8">
      <c r="A381" s="3453" t="s">
        <v>2763</v>
      </c>
      <c r="B381" s="3433" t="s">
        <v>3020</v>
      </c>
      <c r="C381" s="3433">
        <v>1460</v>
      </c>
      <c r="D381" s="3433">
        <v>1430</v>
      </c>
      <c r="E381" s="3433">
        <v>1390</v>
      </c>
      <c r="F381" s="3433">
        <v>450</v>
      </c>
      <c r="G381" s="3445">
        <v>900</v>
      </c>
      <c r="H381" s="3446"/>
    </row>
    <row r="382" spans="1:8">
      <c r="A382" s="3453" t="s">
        <v>2763</v>
      </c>
      <c r="B382" s="3433" t="s">
        <v>3021</v>
      </c>
      <c r="C382" s="3433">
        <v>1310</v>
      </c>
      <c r="D382" s="3433">
        <v>1280</v>
      </c>
      <c r="E382" s="3433">
        <v>1250</v>
      </c>
      <c r="F382" s="3433">
        <v>440</v>
      </c>
      <c r="G382" s="3445">
        <v>800</v>
      </c>
      <c r="H382" s="3446"/>
    </row>
    <row r="383" spans="1:8">
      <c r="A383" s="3453" t="s">
        <v>2763</v>
      </c>
      <c r="B383" s="3433" t="s">
        <v>3022</v>
      </c>
      <c r="C383" s="3433">
        <v>1260</v>
      </c>
      <c r="D383" s="3433">
        <v>1230</v>
      </c>
      <c r="E383" s="3433">
        <v>1200</v>
      </c>
      <c r="F383" s="3433">
        <v>420</v>
      </c>
      <c r="G383" s="3445">
        <v>770</v>
      </c>
      <c r="H383" s="3446"/>
    </row>
    <row r="384" spans="1:8" ht="15" thickBot="1">
      <c r="A384" s="3454" t="s">
        <v>2763</v>
      </c>
      <c r="B384" s="3448" t="s">
        <v>3023</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15" t="s">
        <v>3186</v>
      </c>
      <c r="B1" s="4015"/>
      <c r="C1" s="4015"/>
      <c r="D1" s="4015"/>
      <c r="E1" s="4015"/>
      <c r="F1" s="4016"/>
    </row>
    <row r="2" spans="1:6">
      <c r="A2" s="3500" t="s">
        <v>3187</v>
      </c>
      <c r="B2" s="3501"/>
      <c r="C2" s="3501"/>
      <c r="D2" s="3501"/>
      <c r="E2" s="3501"/>
      <c r="F2" s="3501"/>
    </row>
    <row r="3" spans="1:6">
      <c r="A3" s="3500" t="s">
        <v>3188</v>
      </c>
      <c r="B3" s="3501"/>
      <c r="C3" s="3501"/>
      <c r="D3" s="3501"/>
      <c r="E3" s="3501"/>
      <c r="F3" s="3502" t="s">
        <v>3189</v>
      </c>
    </row>
    <row r="4" spans="1:6">
      <c r="A4" s="3503" t="s">
        <v>3184</v>
      </c>
      <c r="B4" s="3503" t="s">
        <v>2738</v>
      </c>
      <c r="C4" s="3503" t="s">
        <v>1212</v>
      </c>
      <c r="D4" s="3503" t="s">
        <v>3185</v>
      </c>
      <c r="E4" s="3503" t="s">
        <v>905</v>
      </c>
      <c r="F4" s="3503" t="s">
        <v>3190</v>
      </c>
    </row>
    <row r="5" spans="1:6">
      <c r="A5" s="3504" t="s">
        <v>2761</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2762</v>
      </c>
      <c r="B16" s="3506">
        <v>2230</v>
      </c>
      <c r="C16" s="3506">
        <v>2200</v>
      </c>
      <c r="D16" s="3506">
        <v>2180</v>
      </c>
      <c r="E16" s="3506">
        <v>570</v>
      </c>
      <c r="F16" s="3506">
        <v>1330</v>
      </c>
    </row>
    <row r="17" spans="1:6">
      <c r="A17" s="3504" t="s">
        <v>2763</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9" customWidth="1"/>
    <col min="2" max="2" width="13.88671875" style="3499" customWidth="1"/>
    <col min="3" max="7" width="8.88671875" style="3464"/>
    <col min="8" max="16384" width="8.88671875" style="1581"/>
  </cols>
  <sheetData>
    <row r="1" spans="1:7">
      <c r="A1" s="4017" t="s">
        <v>3024</v>
      </c>
      <c r="B1" s="4017"/>
    </row>
    <row r="2" spans="1:7" ht="15" thickBot="1">
      <c r="A2" s="3465"/>
      <c r="B2" s="3465"/>
    </row>
    <row r="3" spans="1:7" ht="15" thickBot="1">
      <c r="A3" s="3465"/>
      <c r="B3" s="3465"/>
      <c r="C3" s="3466" t="s">
        <v>3025</v>
      </c>
      <c r="D3" s="3466" t="s">
        <v>3026</v>
      </c>
      <c r="E3" s="3466" t="s">
        <v>3027</v>
      </c>
      <c r="F3" s="3466" t="s">
        <v>3028</v>
      </c>
      <c r="G3" s="3466" t="s">
        <v>3029</v>
      </c>
    </row>
    <row r="4" spans="1:7" ht="15" thickBot="1">
      <c r="A4" s="3467" t="s">
        <v>3030</v>
      </c>
      <c r="B4" s="3468" t="s">
        <v>3031</v>
      </c>
      <c r="C4" s="3466"/>
      <c r="D4" s="3466"/>
      <c r="E4" s="3466"/>
      <c r="F4" s="3466"/>
      <c r="G4" s="3466"/>
    </row>
    <row r="5" spans="1:7">
      <c r="A5" s="3469" t="s">
        <v>3032</v>
      </c>
      <c r="B5" s="3470" t="s">
        <v>3033</v>
      </c>
      <c r="C5" s="3471">
        <v>9.8000000000000004E-2</v>
      </c>
      <c r="D5" s="3471">
        <v>8.6999999999999994E-2</v>
      </c>
      <c r="E5" s="3471">
        <v>8.6999999999999994E-2</v>
      </c>
      <c r="F5" s="3471">
        <v>9.8000000000000004E-2</v>
      </c>
      <c r="G5" s="3472">
        <v>9.5000000000000001E-2</v>
      </c>
    </row>
    <row r="6" spans="1:7">
      <c r="A6" s="3473" t="s">
        <v>990</v>
      </c>
      <c r="B6" s="3474" t="s">
        <v>3034</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5" thickBot="1">
      <c r="A9" s="3477" t="s">
        <v>990</v>
      </c>
      <c r="B9" s="3478" t="s">
        <v>1001</v>
      </c>
      <c r="C9" s="3479">
        <v>0.1</v>
      </c>
      <c r="D9" s="3479">
        <v>0.1</v>
      </c>
      <c r="E9" s="3479">
        <v>0.1</v>
      </c>
      <c r="F9" s="3480"/>
      <c r="G9" s="3481">
        <v>0.1</v>
      </c>
    </row>
    <row r="10" spans="1:7">
      <c r="A10" s="3469" t="s">
        <v>1031</v>
      </c>
      <c r="B10" s="3470" t="s">
        <v>3035</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3036</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5" thickBot="1">
      <c r="A29" s="3477" t="s">
        <v>1031</v>
      </c>
      <c r="B29" s="3478" t="s">
        <v>2822</v>
      </c>
      <c r="C29" s="3483"/>
      <c r="D29" s="3479">
        <v>5.1999999999999998E-2</v>
      </c>
      <c r="E29" s="3479">
        <v>7.0000000000000007E-2</v>
      </c>
      <c r="F29" s="3483"/>
      <c r="G29" s="3481">
        <v>7.0999999999999994E-2</v>
      </c>
    </row>
    <row r="30" spans="1:7">
      <c r="A30" s="3484" t="s">
        <v>1145</v>
      </c>
      <c r="B30" s="3470" t="s">
        <v>3037</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3038</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2824</v>
      </c>
      <c r="C50" s="3475">
        <v>9.8000000000000004E-2</v>
      </c>
      <c r="D50" s="3475">
        <v>7.2999999999999995E-2</v>
      </c>
      <c r="E50" s="3475">
        <v>7.0999999999999994E-2</v>
      </c>
      <c r="F50" s="3486"/>
      <c r="G50" s="3476">
        <v>7.2999999999999995E-2</v>
      </c>
    </row>
    <row r="51" spans="1:7">
      <c r="A51" s="3485" t="s">
        <v>1145</v>
      </c>
      <c r="B51" s="3474" t="s">
        <v>2825</v>
      </c>
      <c r="C51" s="3475">
        <v>9.9000000000000005E-2</v>
      </c>
      <c r="D51" s="3475">
        <v>8.5000000000000006E-2</v>
      </c>
      <c r="E51" s="3475">
        <v>6.3E-2</v>
      </c>
      <c r="F51" s="3486"/>
      <c r="G51" s="3476">
        <v>9.6000000000000002E-2</v>
      </c>
    </row>
    <row r="52" spans="1:7">
      <c r="A52" s="3485" t="s">
        <v>1145</v>
      </c>
      <c r="B52" s="3474" t="s">
        <v>2826</v>
      </c>
      <c r="C52" s="3475">
        <v>7.3999999999999996E-2</v>
      </c>
      <c r="D52" s="3475">
        <v>9.6000000000000002E-2</v>
      </c>
      <c r="E52" s="3475">
        <v>0.05</v>
      </c>
      <c r="F52" s="3486"/>
      <c r="G52" s="3476">
        <v>9.8000000000000004E-2</v>
      </c>
    </row>
    <row r="53" spans="1:7">
      <c r="A53" s="3485" t="s">
        <v>1145</v>
      </c>
      <c r="B53" s="3474" t="s">
        <v>2827</v>
      </c>
      <c r="C53" s="3475">
        <v>8.5999999999999993E-2</v>
      </c>
      <c r="D53" s="3486"/>
      <c r="E53" s="3475">
        <v>9.1999999999999998E-2</v>
      </c>
      <c r="F53" s="3486"/>
      <c r="G53" s="3487"/>
    </row>
    <row r="54" spans="1:7" ht="15" thickBot="1">
      <c r="A54" s="3488" t="s">
        <v>1145</v>
      </c>
      <c r="B54" s="3478" t="s">
        <v>2828</v>
      </c>
      <c r="C54" s="3479">
        <v>9.6000000000000002E-2</v>
      </c>
      <c r="D54" s="3480"/>
      <c r="E54" s="3489"/>
      <c r="F54" s="3480"/>
      <c r="G54" s="3490"/>
    </row>
    <row r="55" spans="1:7">
      <c r="A55" s="3484" t="s">
        <v>853</v>
      </c>
      <c r="B55" s="3470" t="s">
        <v>3039</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2830</v>
      </c>
      <c r="C78" s="3475">
        <v>0.1</v>
      </c>
      <c r="D78" s="3475">
        <v>8.5000000000000006E-2</v>
      </c>
      <c r="E78" s="3475">
        <v>9.6000000000000002E-2</v>
      </c>
      <c r="F78" s="3486"/>
      <c r="G78" s="3476">
        <v>9.6000000000000002E-2</v>
      </c>
    </row>
    <row r="79" spans="1:7">
      <c r="A79" s="3485" t="s">
        <v>853</v>
      </c>
      <c r="B79" s="3474" t="s">
        <v>2831</v>
      </c>
      <c r="C79" s="3475">
        <v>0.05</v>
      </c>
      <c r="D79" s="3475">
        <v>9.6000000000000002E-2</v>
      </c>
      <c r="E79" s="3475">
        <v>9.5000000000000001E-2</v>
      </c>
      <c r="F79" s="3486"/>
      <c r="G79" s="3476">
        <v>9.8000000000000004E-2</v>
      </c>
    </row>
    <row r="80" spans="1:7">
      <c r="A80" s="3485" t="s">
        <v>853</v>
      </c>
      <c r="B80" s="3474" t="s">
        <v>2832</v>
      </c>
      <c r="C80" s="3475">
        <v>8.5999999999999993E-2</v>
      </c>
      <c r="D80" s="3491"/>
      <c r="E80" s="3475">
        <v>0.1</v>
      </c>
      <c r="F80" s="3486"/>
      <c r="G80" s="3487"/>
    </row>
    <row r="81" spans="1:7">
      <c r="A81" s="3485" t="s">
        <v>853</v>
      </c>
      <c r="B81" s="3474" t="s">
        <v>2833</v>
      </c>
      <c r="C81" s="3475">
        <v>9.6000000000000002E-2</v>
      </c>
      <c r="D81" s="3486"/>
      <c r="E81" s="3475">
        <v>9.8000000000000004E-2</v>
      </c>
      <c r="F81" s="3486"/>
      <c r="G81" s="3487"/>
    </row>
    <row r="82" spans="1:7">
      <c r="A82" s="3485" t="s">
        <v>853</v>
      </c>
      <c r="B82" s="3474" t="s">
        <v>2834</v>
      </c>
      <c r="C82" s="3491"/>
      <c r="D82" s="3486"/>
      <c r="E82" s="3475">
        <v>7.6999999999999999E-2</v>
      </c>
      <c r="F82" s="3486"/>
      <c r="G82" s="3487"/>
    </row>
    <row r="83" spans="1:7">
      <c r="A83" s="3485" t="s">
        <v>853</v>
      </c>
      <c r="B83" s="3474" t="s">
        <v>3040</v>
      </c>
      <c r="C83" s="3486"/>
      <c r="D83" s="3486"/>
      <c r="E83" s="3486"/>
      <c r="F83" s="3475">
        <v>0.1</v>
      </c>
      <c r="G83" s="3492"/>
    </row>
    <row r="84" spans="1:7">
      <c r="A84" s="3485" t="s">
        <v>853</v>
      </c>
      <c r="B84" s="3474" t="s">
        <v>3041</v>
      </c>
      <c r="C84" s="3486"/>
      <c r="D84" s="3486"/>
      <c r="E84" s="3486"/>
      <c r="F84" s="3475">
        <v>0.1</v>
      </c>
      <c r="G84" s="3492"/>
    </row>
    <row r="85" spans="1:7">
      <c r="A85" s="3485" t="s">
        <v>853</v>
      </c>
      <c r="B85" s="3474" t="s">
        <v>3042</v>
      </c>
      <c r="C85" s="3486"/>
      <c r="D85" s="3486"/>
      <c r="E85" s="3486"/>
      <c r="F85" s="3475">
        <v>0.1</v>
      </c>
      <c r="G85" s="3492"/>
    </row>
    <row r="86" spans="1:7" ht="15" thickBot="1">
      <c r="A86" s="3488" t="s">
        <v>853</v>
      </c>
      <c r="B86" s="3478" t="s">
        <v>3043</v>
      </c>
      <c r="C86" s="3479">
        <v>9.8000000000000004E-2</v>
      </c>
      <c r="D86" s="3479">
        <v>9.8000000000000004E-2</v>
      </c>
      <c r="E86" s="3479">
        <v>9.6000000000000002E-2</v>
      </c>
      <c r="F86" s="3489"/>
      <c r="G86" s="3481">
        <v>0.1</v>
      </c>
    </row>
    <row r="87" spans="1:7">
      <c r="A87" s="3484" t="s">
        <v>1152</v>
      </c>
      <c r="B87" s="3470" t="s">
        <v>3044</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2840</v>
      </c>
      <c r="C113" s="3475">
        <v>0.1</v>
      </c>
      <c r="D113" s="3475">
        <v>0.1</v>
      </c>
      <c r="E113" s="3486"/>
      <c r="F113" s="3486"/>
      <c r="G113" s="3476">
        <v>0.1</v>
      </c>
    </row>
    <row r="114" spans="1:7">
      <c r="A114" s="3485" t="s">
        <v>1152</v>
      </c>
      <c r="B114" s="3474" t="s">
        <v>2841</v>
      </c>
      <c r="C114" s="3475">
        <v>9.7000000000000003E-2</v>
      </c>
      <c r="D114" s="3475">
        <v>9.7000000000000003E-2</v>
      </c>
      <c r="E114" s="3486"/>
      <c r="F114" s="3486"/>
      <c r="G114" s="3476">
        <v>9.9000000000000005E-2</v>
      </c>
    </row>
    <row r="115" spans="1:7">
      <c r="A115" s="3485" t="s">
        <v>1152</v>
      </c>
      <c r="B115" s="3474" t="s">
        <v>2842</v>
      </c>
      <c r="C115" s="3475">
        <v>0.1</v>
      </c>
      <c r="D115" s="3475">
        <v>0.1</v>
      </c>
      <c r="E115" s="3486"/>
      <c r="F115" s="3486"/>
      <c r="G115" s="3476">
        <v>0.1</v>
      </c>
    </row>
    <row r="116" spans="1:7">
      <c r="A116" s="3485" t="s">
        <v>1152</v>
      </c>
      <c r="B116" s="3474" t="s">
        <v>2843</v>
      </c>
      <c r="C116" s="3475">
        <v>0.1</v>
      </c>
      <c r="D116" s="3475">
        <v>0.1</v>
      </c>
      <c r="E116" s="3486"/>
      <c r="F116" s="3486"/>
      <c r="G116" s="3476">
        <v>0.1</v>
      </c>
    </row>
    <row r="117" spans="1:7">
      <c r="A117" s="3485" t="s">
        <v>1152</v>
      </c>
      <c r="B117" s="3474" t="s">
        <v>2844</v>
      </c>
      <c r="C117" s="3475">
        <v>9.7000000000000003E-2</v>
      </c>
      <c r="D117" s="3475">
        <v>9.7000000000000003E-2</v>
      </c>
      <c r="E117" s="3486"/>
      <c r="F117" s="3486"/>
      <c r="G117" s="3476">
        <v>9.7000000000000003E-2</v>
      </c>
    </row>
    <row r="118" spans="1:7">
      <c r="A118" s="3485" t="s">
        <v>1152</v>
      </c>
      <c r="B118" s="3474" t="s">
        <v>2845</v>
      </c>
      <c r="C118" s="3475">
        <v>0.1</v>
      </c>
      <c r="D118" s="3475">
        <v>0.1</v>
      </c>
      <c r="E118" s="3486"/>
      <c r="F118" s="3486"/>
      <c r="G118" s="3476">
        <v>0.1</v>
      </c>
    </row>
    <row r="119" spans="1:7">
      <c r="A119" s="3485" t="s">
        <v>1152</v>
      </c>
      <c r="B119" s="3474" t="s">
        <v>2846</v>
      </c>
      <c r="C119" s="3475">
        <v>5.0999999999999997E-2</v>
      </c>
      <c r="D119" s="3475">
        <v>5.1999999999999998E-2</v>
      </c>
      <c r="E119" s="3486"/>
      <c r="F119" s="3491"/>
      <c r="G119" s="3476">
        <v>0.06</v>
      </c>
    </row>
    <row r="120" spans="1:7">
      <c r="A120" s="3485" t="s">
        <v>1152</v>
      </c>
      <c r="B120" s="3474" t="s">
        <v>3045</v>
      </c>
      <c r="C120" s="3486"/>
      <c r="D120" s="3486"/>
      <c r="E120" s="3486"/>
      <c r="F120" s="3475">
        <v>0.1</v>
      </c>
      <c r="G120" s="3492"/>
    </row>
    <row r="121" spans="1:7">
      <c r="A121" s="3485" t="s">
        <v>1152</v>
      </c>
      <c r="B121" s="3474" t="s">
        <v>3046</v>
      </c>
      <c r="C121" s="3486"/>
      <c r="D121" s="3486"/>
      <c r="E121" s="3486"/>
      <c r="F121" s="3475">
        <v>0.1</v>
      </c>
      <c r="G121" s="3492"/>
    </row>
    <row r="122" spans="1:7">
      <c r="A122" s="3485" t="s">
        <v>1152</v>
      </c>
      <c r="B122" s="3474" t="s">
        <v>3047</v>
      </c>
      <c r="C122" s="3475">
        <v>0.1</v>
      </c>
      <c r="D122" s="3475">
        <v>0.1</v>
      </c>
      <c r="E122" s="3475">
        <v>9.8000000000000004E-2</v>
      </c>
      <c r="F122" s="3475">
        <v>0.1</v>
      </c>
      <c r="G122" s="3476">
        <v>0.1</v>
      </c>
    </row>
    <row r="123" spans="1:7">
      <c r="A123" s="3485" t="s">
        <v>1152</v>
      </c>
      <c r="B123" s="3474" t="s">
        <v>2850</v>
      </c>
      <c r="C123" s="3475">
        <v>0.1</v>
      </c>
      <c r="D123" s="3475">
        <v>0.1</v>
      </c>
      <c r="E123" s="3475">
        <v>9.8000000000000004E-2</v>
      </c>
      <c r="F123" s="3475">
        <v>0.1</v>
      </c>
      <c r="G123" s="3476">
        <v>0.1</v>
      </c>
    </row>
    <row r="124" spans="1:7">
      <c r="A124" s="3485" t="s">
        <v>1152</v>
      </c>
      <c r="B124" s="3474" t="s">
        <v>2851</v>
      </c>
      <c r="C124" s="3475">
        <v>0.1</v>
      </c>
      <c r="D124" s="3475">
        <v>0.1</v>
      </c>
      <c r="E124" s="3475">
        <v>9.8000000000000004E-2</v>
      </c>
      <c r="F124" s="3491"/>
      <c r="G124" s="3476">
        <v>0.1</v>
      </c>
    </row>
    <row r="125" spans="1:7">
      <c r="A125" s="3485" t="s">
        <v>1152</v>
      </c>
      <c r="B125" s="3474" t="s">
        <v>2852</v>
      </c>
      <c r="C125" s="3475">
        <v>9.8000000000000004E-2</v>
      </c>
      <c r="D125" s="3475">
        <v>9.8000000000000004E-2</v>
      </c>
      <c r="E125" s="3475">
        <v>9.6000000000000002E-2</v>
      </c>
      <c r="F125" s="3491"/>
      <c r="G125" s="3476">
        <v>0.1</v>
      </c>
    </row>
    <row r="126" spans="1:7" ht="15" thickBot="1">
      <c r="A126" s="3488" t="s">
        <v>1152</v>
      </c>
      <c r="B126" s="3478" t="s">
        <v>3048</v>
      </c>
      <c r="C126" s="3479">
        <v>0.1</v>
      </c>
      <c r="D126" s="3479">
        <v>0.1</v>
      </c>
      <c r="E126" s="3479">
        <v>9.8000000000000004E-2</v>
      </c>
      <c r="F126" s="3479">
        <v>0.1</v>
      </c>
      <c r="G126" s="3481">
        <v>0.1</v>
      </c>
    </row>
    <row r="127" spans="1:7">
      <c r="A127" s="3484" t="s">
        <v>1153</v>
      </c>
      <c r="B127" s="3470" t="s">
        <v>3049</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3050</v>
      </c>
      <c r="C148" s="3475">
        <v>0.13</v>
      </c>
      <c r="D148" s="3475">
        <v>0.13</v>
      </c>
      <c r="E148" s="3475">
        <v>0.13</v>
      </c>
      <c r="F148" s="3486"/>
      <c r="G148" s="3476">
        <v>0.13</v>
      </c>
    </row>
    <row r="149" spans="1:7">
      <c r="A149" s="3485" t="s">
        <v>1153</v>
      </c>
      <c r="B149" s="3474" t="s">
        <v>3051</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2857</v>
      </c>
      <c r="C153" s="3475">
        <v>0.13</v>
      </c>
      <c r="D153" s="3475">
        <v>0.13</v>
      </c>
      <c r="E153" s="3475">
        <v>0.13</v>
      </c>
      <c r="F153" s="3475">
        <v>0.13</v>
      </c>
      <c r="G153" s="3476">
        <v>0.13</v>
      </c>
    </row>
    <row r="154" spans="1:7">
      <c r="A154" s="3485" t="s">
        <v>1153</v>
      </c>
      <c r="B154" s="3474" t="s">
        <v>3052</v>
      </c>
      <c r="C154" s="3475">
        <v>0.121</v>
      </c>
      <c r="D154" s="3475">
        <v>0.121</v>
      </c>
      <c r="E154" s="3475">
        <v>0.105</v>
      </c>
      <c r="F154" s="3475">
        <v>0.121</v>
      </c>
      <c r="G154" s="3476">
        <v>0.123</v>
      </c>
    </row>
    <row r="155" spans="1:7">
      <c r="A155" s="3485" t="s">
        <v>1153</v>
      </c>
      <c r="B155" s="3474" t="s">
        <v>2859</v>
      </c>
      <c r="C155" s="3475">
        <v>0.1</v>
      </c>
      <c r="D155" s="3475">
        <v>0.1</v>
      </c>
      <c r="E155" s="3475">
        <v>0.1</v>
      </c>
      <c r="F155" s="3475">
        <v>0.1</v>
      </c>
      <c r="G155" s="3476">
        <v>0.1</v>
      </c>
    </row>
    <row r="156" spans="1:7">
      <c r="A156" s="3485" t="s">
        <v>1153</v>
      </c>
      <c r="B156" s="3474" t="s">
        <v>3053</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3054</v>
      </c>
      <c r="C160" s="3475">
        <v>0.13</v>
      </c>
      <c r="D160" s="3475">
        <v>0.13</v>
      </c>
      <c r="E160" s="3475">
        <v>0.124</v>
      </c>
      <c r="F160" s="3475">
        <v>0.126</v>
      </c>
      <c r="G160" s="3476">
        <v>0.13</v>
      </c>
    </row>
    <row r="161" spans="1:7">
      <c r="A161" s="3485" t="s">
        <v>1153</v>
      </c>
      <c r="B161" s="3474" t="s">
        <v>2862</v>
      </c>
      <c r="C161" s="3475">
        <v>0.13</v>
      </c>
      <c r="D161" s="3475">
        <v>0.13</v>
      </c>
      <c r="E161" s="3475">
        <v>0.124</v>
      </c>
      <c r="F161" s="3475">
        <v>0.127</v>
      </c>
      <c r="G161" s="3476">
        <v>0.13</v>
      </c>
    </row>
    <row r="162" spans="1:7">
      <c r="A162" s="3485" t="s">
        <v>1153</v>
      </c>
      <c r="B162" s="3474" t="s">
        <v>2863</v>
      </c>
      <c r="C162" s="3475">
        <v>0.1</v>
      </c>
      <c r="D162" s="3475">
        <v>0.1</v>
      </c>
      <c r="E162" s="3475">
        <v>0.1</v>
      </c>
      <c r="F162" s="3475">
        <v>0.121</v>
      </c>
      <c r="G162" s="3476">
        <v>0.105</v>
      </c>
    </row>
    <row r="163" spans="1:7">
      <c r="A163" s="3485" t="s">
        <v>1153</v>
      </c>
      <c r="B163" s="3474" t="s">
        <v>2864</v>
      </c>
      <c r="C163" s="3475">
        <v>0.1</v>
      </c>
      <c r="D163" s="3475">
        <v>0.1</v>
      </c>
      <c r="E163" s="3475">
        <v>0.1</v>
      </c>
      <c r="F163" s="3475">
        <v>0.1</v>
      </c>
      <c r="G163" s="3476">
        <v>0.1</v>
      </c>
    </row>
    <row r="164" spans="1:7">
      <c r="A164" s="3485" t="s">
        <v>1153</v>
      </c>
      <c r="B164" s="3474" t="s">
        <v>2865</v>
      </c>
      <c r="C164" s="3491"/>
      <c r="D164" s="3491"/>
      <c r="E164" s="3491"/>
      <c r="F164" s="3475">
        <v>0.1</v>
      </c>
      <c r="G164" s="3487"/>
    </row>
    <row r="165" spans="1:7">
      <c r="A165" s="3485" t="s">
        <v>1153</v>
      </c>
      <c r="B165" s="3474" t="s">
        <v>3055</v>
      </c>
      <c r="C165" s="3475">
        <v>0.126</v>
      </c>
      <c r="D165" s="3475">
        <v>0.126</v>
      </c>
      <c r="E165" s="3475">
        <v>0.11899999999999999</v>
      </c>
      <c r="F165" s="3475">
        <v>0.13</v>
      </c>
      <c r="G165" s="3476">
        <v>0.128</v>
      </c>
    </row>
    <row r="166" spans="1:7">
      <c r="A166" s="3485" t="s">
        <v>1153</v>
      </c>
      <c r="B166" s="3474" t="s">
        <v>2867</v>
      </c>
      <c r="C166" s="3475">
        <v>0.129</v>
      </c>
      <c r="D166" s="3475">
        <v>0.129</v>
      </c>
      <c r="E166" s="3475">
        <v>0.123</v>
      </c>
      <c r="F166" s="3475">
        <v>0.128</v>
      </c>
      <c r="G166" s="3476">
        <v>0.13</v>
      </c>
    </row>
    <row r="167" spans="1:7">
      <c r="A167" s="3485" t="s">
        <v>1153</v>
      </c>
      <c r="B167" s="3474" t="s">
        <v>2868</v>
      </c>
      <c r="C167" s="3475">
        <v>0.125</v>
      </c>
      <c r="D167" s="3475">
        <v>0.125</v>
      </c>
      <c r="E167" s="3475">
        <v>0.11700000000000001</v>
      </c>
      <c r="F167" s="3475">
        <v>0.13</v>
      </c>
      <c r="G167" s="3476">
        <v>0.126</v>
      </c>
    </row>
    <row r="168" spans="1:7">
      <c r="A168" s="3485" t="s">
        <v>1153</v>
      </c>
      <c r="B168" s="3474" t="s">
        <v>2869</v>
      </c>
      <c r="C168" s="3475">
        <v>0.128</v>
      </c>
      <c r="D168" s="3475">
        <v>0.128</v>
      </c>
      <c r="E168" s="3475">
        <v>0.123</v>
      </c>
      <c r="F168" s="3486"/>
      <c r="G168" s="3476">
        <v>0.13</v>
      </c>
    </row>
    <row r="169" spans="1:7">
      <c r="A169" s="3485" t="s">
        <v>1153</v>
      </c>
      <c r="B169" s="3474" t="s">
        <v>3056</v>
      </c>
      <c r="C169" s="3491"/>
      <c r="D169" s="3491"/>
      <c r="E169" s="3491"/>
      <c r="F169" s="3475">
        <v>0.05</v>
      </c>
      <c r="G169" s="3487"/>
    </row>
    <row r="170" spans="1:7">
      <c r="A170" s="3485" t="s">
        <v>1153</v>
      </c>
      <c r="B170" s="3474" t="s">
        <v>3057</v>
      </c>
      <c r="C170" s="3491"/>
      <c r="D170" s="3491"/>
      <c r="E170" s="3491"/>
      <c r="F170" s="3475">
        <v>0.05</v>
      </c>
      <c r="G170" s="3487"/>
    </row>
    <row r="171" spans="1:7">
      <c r="A171" s="3485" t="s">
        <v>1153</v>
      </c>
      <c r="B171" s="3474" t="s">
        <v>3058</v>
      </c>
      <c r="C171" s="3491"/>
      <c r="D171" s="3491"/>
      <c r="E171" s="3491"/>
      <c r="F171" s="3475">
        <v>0.05</v>
      </c>
      <c r="G171" s="3492"/>
    </row>
    <row r="172" spans="1:7">
      <c r="A172" s="3485" t="s">
        <v>1153</v>
      </c>
      <c r="B172" s="3474" t="s">
        <v>3059</v>
      </c>
      <c r="C172" s="3491"/>
      <c r="D172" s="3491"/>
      <c r="E172" s="3491"/>
      <c r="F172" s="3475">
        <v>0.05</v>
      </c>
      <c r="G172" s="3492"/>
    </row>
    <row r="173" spans="1:7">
      <c r="A173" s="3485" t="s">
        <v>1153</v>
      </c>
      <c r="B173" s="3474" t="s">
        <v>3060</v>
      </c>
      <c r="C173" s="3491"/>
      <c r="D173" s="3491"/>
      <c r="E173" s="3491"/>
      <c r="F173" s="3475">
        <v>0.05</v>
      </c>
      <c r="G173" s="3487"/>
    </row>
    <row r="174" spans="1:7">
      <c r="A174" s="3485" t="s">
        <v>1153</v>
      </c>
      <c r="B174" s="3474" t="s">
        <v>3061</v>
      </c>
      <c r="C174" s="3491"/>
      <c r="D174" s="3491"/>
      <c r="E174" s="3491"/>
      <c r="F174" s="3475">
        <v>0.05</v>
      </c>
      <c r="G174" s="3487"/>
    </row>
    <row r="175" spans="1:7">
      <c r="A175" s="3485" t="s">
        <v>1153</v>
      </c>
      <c r="B175" s="3474" t="s">
        <v>3062</v>
      </c>
      <c r="C175" s="3491"/>
      <c r="D175" s="3491"/>
      <c r="E175" s="3491"/>
      <c r="F175" s="3475">
        <v>0.05</v>
      </c>
      <c r="G175" s="3487"/>
    </row>
    <row r="176" spans="1:7">
      <c r="A176" s="3485" t="s">
        <v>1153</v>
      </c>
      <c r="B176" s="3474" t="s">
        <v>3063</v>
      </c>
      <c r="C176" s="3491"/>
      <c r="D176" s="3491"/>
      <c r="E176" s="3491"/>
      <c r="F176" s="3475">
        <v>0.05</v>
      </c>
      <c r="G176" s="3487"/>
    </row>
    <row r="177" spans="1:7">
      <c r="A177" s="3485" t="s">
        <v>1153</v>
      </c>
      <c r="B177" s="3474" t="s">
        <v>3064</v>
      </c>
      <c r="C177" s="3486"/>
      <c r="D177" s="3486"/>
      <c r="E177" s="3486"/>
      <c r="F177" s="3475">
        <v>0.05</v>
      </c>
      <c r="G177" s="3492"/>
    </row>
    <row r="178" spans="1:7">
      <c r="A178" s="3485" t="s">
        <v>1153</v>
      </c>
      <c r="B178" s="3474" t="s">
        <v>3065</v>
      </c>
      <c r="C178" s="3486"/>
      <c r="D178" s="3486"/>
      <c r="E178" s="3486"/>
      <c r="F178" s="3475">
        <v>0.05</v>
      </c>
      <c r="G178" s="3492"/>
    </row>
    <row r="179" spans="1:7">
      <c r="A179" s="3485" t="s">
        <v>1153</v>
      </c>
      <c r="B179" s="3474" t="s">
        <v>3066</v>
      </c>
      <c r="C179" s="3486"/>
      <c r="D179" s="3486"/>
      <c r="E179" s="3486"/>
      <c r="F179" s="3475">
        <v>0.05</v>
      </c>
      <c r="G179" s="3492"/>
    </row>
    <row r="180" spans="1:7">
      <c r="A180" s="3485" t="s">
        <v>1153</v>
      </c>
      <c r="B180" s="3474" t="s">
        <v>3067</v>
      </c>
      <c r="C180" s="3486"/>
      <c r="D180" s="3486"/>
      <c r="E180" s="3486"/>
      <c r="F180" s="3475">
        <v>0.05</v>
      </c>
      <c r="G180" s="3492"/>
    </row>
    <row r="181" spans="1:7">
      <c r="A181" s="3485" t="s">
        <v>1153</v>
      </c>
      <c r="B181" s="3474" t="s">
        <v>3068</v>
      </c>
      <c r="C181" s="3486"/>
      <c r="D181" s="3486"/>
      <c r="E181" s="3486"/>
      <c r="F181" s="3475">
        <v>0.05</v>
      </c>
      <c r="G181" s="3492"/>
    </row>
    <row r="182" spans="1:7">
      <c r="A182" s="3485" t="s">
        <v>1153</v>
      </c>
      <c r="B182" s="3474" t="s">
        <v>3069</v>
      </c>
      <c r="C182" s="3486"/>
      <c r="D182" s="3486"/>
      <c r="E182" s="3486"/>
      <c r="F182" s="3475">
        <v>0.05</v>
      </c>
      <c r="G182" s="3492"/>
    </row>
    <row r="183" spans="1:7">
      <c r="A183" s="3485" t="s">
        <v>1153</v>
      </c>
      <c r="B183" s="3474" t="s">
        <v>3070</v>
      </c>
      <c r="C183" s="3486"/>
      <c r="D183" s="3486"/>
      <c r="E183" s="3486"/>
      <c r="F183" s="3475">
        <v>0.05</v>
      </c>
      <c r="G183" s="3492"/>
    </row>
    <row r="184" spans="1:7">
      <c r="A184" s="3485" t="s">
        <v>1153</v>
      </c>
      <c r="B184" s="3474" t="s">
        <v>3071</v>
      </c>
      <c r="C184" s="3486"/>
      <c r="D184" s="3486"/>
      <c r="E184" s="3486"/>
      <c r="F184" s="3475">
        <v>0.05</v>
      </c>
      <c r="G184" s="3492"/>
    </row>
    <row r="185" spans="1:7">
      <c r="A185" s="3485" t="s">
        <v>1153</v>
      </c>
      <c r="B185" s="3474" t="s">
        <v>3072</v>
      </c>
      <c r="C185" s="3486"/>
      <c r="D185" s="3486"/>
      <c r="E185" s="3486"/>
      <c r="F185" s="3475">
        <v>0.05</v>
      </c>
      <c r="G185" s="3492"/>
    </row>
    <row r="186" spans="1:7">
      <c r="A186" s="3485" t="s">
        <v>1153</v>
      </c>
      <c r="B186" s="3474" t="s">
        <v>3073</v>
      </c>
      <c r="C186" s="3486"/>
      <c r="D186" s="3486"/>
      <c r="E186" s="3486"/>
      <c r="F186" s="3475">
        <v>0.05</v>
      </c>
      <c r="G186" s="3492"/>
    </row>
    <row r="187" spans="1:7">
      <c r="A187" s="3485" t="s">
        <v>1153</v>
      </c>
      <c r="B187" s="3474" t="s">
        <v>3074</v>
      </c>
      <c r="C187" s="3486"/>
      <c r="D187" s="3486"/>
      <c r="E187" s="3486"/>
      <c r="F187" s="3475">
        <v>0.05</v>
      </c>
      <c r="G187" s="3492"/>
    </row>
    <row r="188" spans="1:7">
      <c r="A188" s="3485" t="s">
        <v>1153</v>
      </c>
      <c r="B188" s="3474" t="s">
        <v>3075</v>
      </c>
      <c r="C188" s="3486"/>
      <c r="D188" s="3486"/>
      <c r="E188" s="3486"/>
      <c r="F188" s="3475">
        <v>0.05</v>
      </c>
      <c r="G188" s="3492"/>
    </row>
    <row r="189" spans="1:7" ht="15" thickBot="1">
      <c r="A189" s="3488" t="s">
        <v>1153</v>
      </c>
      <c r="B189" s="3478" t="s">
        <v>3076</v>
      </c>
      <c r="C189" s="3480"/>
      <c r="D189" s="3480"/>
      <c r="E189" s="3480"/>
      <c r="F189" s="3479">
        <v>0.05</v>
      </c>
      <c r="G189" s="3493"/>
    </row>
    <row r="190" spans="1:7">
      <c r="A190" s="3484" t="s">
        <v>1154</v>
      </c>
      <c r="B190" s="3470" t="s">
        <v>3077</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3078</v>
      </c>
      <c r="C199" s="3475">
        <v>0.13</v>
      </c>
      <c r="D199" s="3475">
        <v>0.13</v>
      </c>
      <c r="E199" s="3475">
        <v>0.13</v>
      </c>
      <c r="F199" s="3475">
        <v>0.13</v>
      </c>
      <c r="G199" s="3476">
        <v>0.13</v>
      </c>
    </row>
    <row r="200" spans="1:7">
      <c r="A200" s="3485" t="s">
        <v>1154</v>
      </c>
      <c r="B200" s="3474" t="s">
        <v>2893</v>
      </c>
      <c r="C200" s="3491"/>
      <c r="D200" s="3491"/>
      <c r="E200" s="3491"/>
      <c r="F200" s="3475">
        <v>0.13</v>
      </c>
      <c r="G200" s="3487"/>
    </row>
    <row r="201" spans="1:7">
      <c r="A201" s="3485" t="s">
        <v>1154</v>
      </c>
      <c r="B201" s="3474" t="s">
        <v>3079</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3080</v>
      </c>
      <c r="C203" s="3475">
        <v>0.129</v>
      </c>
      <c r="D203" s="3475">
        <v>0.129</v>
      </c>
      <c r="E203" s="3475">
        <v>0.13</v>
      </c>
      <c r="F203" s="3475">
        <v>0.13</v>
      </c>
      <c r="G203" s="3476">
        <v>0.13</v>
      </c>
    </row>
    <row r="204" spans="1:7">
      <c r="A204" s="3485" t="s">
        <v>1154</v>
      </c>
      <c r="B204" s="3474" t="s">
        <v>2896</v>
      </c>
      <c r="C204" s="3475">
        <v>0.129</v>
      </c>
      <c r="D204" s="3475">
        <v>0.129</v>
      </c>
      <c r="E204" s="3475">
        <v>0.123</v>
      </c>
      <c r="F204" s="3475">
        <v>0.13</v>
      </c>
      <c r="G204" s="3476">
        <v>0.13</v>
      </c>
    </row>
    <row r="205" spans="1:7">
      <c r="A205" s="3485" t="s">
        <v>1154</v>
      </c>
      <c r="B205" s="3474" t="s">
        <v>2897</v>
      </c>
      <c r="C205" s="3475">
        <v>0.13</v>
      </c>
      <c r="D205" s="3475">
        <v>0.13</v>
      </c>
      <c r="E205" s="3475">
        <v>0.13</v>
      </c>
      <c r="F205" s="3475">
        <v>0.13</v>
      </c>
      <c r="G205" s="3476">
        <v>0.13</v>
      </c>
    </row>
    <row r="206" spans="1:7">
      <c r="A206" s="3485" t="s">
        <v>1154</v>
      </c>
      <c r="B206" s="3474" t="s">
        <v>2898</v>
      </c>
      <c r="C206" s="3475">
        <v>0.13</v>
      </c>
      <c r="D206" s="3475">
        <v>0.13</v>
      </c>
      <c r="E206" s="3475">
        <v>0.13</v>
      </c>
      <c r="F206" s="3475">
        <v>0.128</v>
      </c>
      <c r="G206" s="3476">
        <v>0.13</v>
      </c>
    </row>
    <row r="207" spans="1:7">
      <c r="A207" s="3485" t="s">
        <v>1154</v>
      </c>
      <c r="B207" s="3474" t="s">
        <v>2899</v>
      </c>
      <c r="C207" s="3475">
        <v>0.13</v>
      </c>
      <c r="D207" s="3475">
        <v>0.13</v>
      </c>
      <c r="E207" s="3475">
        <v>0.13</v>
      </c>
      <c r="F207" s="3475">
        <v>0.13</v>
      </c>
      <c r="G207" s="3476">
        <v>0.13</v>
      </c>
    </row>
    <row r="208" spans="1:7">
      <c r="A208" s="3485" t="s">
        <v>1154</v>
      </c>
      <c r="B208" s="3474" t="s">
        <v>3081</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2901</v>
      </c>
      <c r="C210" s="3475">
        <v>0.121</v>
      </c>
      <c r="D210" s="3475">
        <v>0.121</v>
      </c>
      <c r="E210" s="3475">
        <v>0.125</v>
      </c>
      <c r="F210" s="3475">
        <v>0.13</v>
      </c>
      <c r="G210" s="3476">
        <v>0.123</v>
      </c>
    </row>
    <row r="211" spans="1:7">
      <c r="A211" s="3485" t="s">
        <v>1154</v>
      </c>
      <c r="B211" s="3474" t="s">
        <v>3082</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3083</v>
      </c>
      <c r="C214" s="3475">
        <v>0.128</v>
      </c>
      <c r="D214" s="3475">
        <v>0.128</v>
      </c>
      <c r="E214" s="3475">
        <v>0.13</v>
      </c>
      <c r="F214" s="3475">
        <v>0.13</v>
      </c>
      <c r="G214" s="3476">
        <v>0.13</v>
      </c>
    </row>
    <row r="215" spans="1:7">
      <c r="A215" s="3485" t="s">
        <v>1154</v>
      </c>
      <c r="B215" s="3474" t="s">
        <v>3084</v>
      </c>
      <c r="C215" s="3475">
        <v>0.13</v>
      </c>
      <c r="D215" s="3475">
        <v>0.13</v>
      </c>
      <c r="E215" s="3475">
        <v>0.13</v>
      </c>
      <c r="F215" s="3475">
        <v>0.129</v>
      </c>
      <c r="G215" s="3476">
        <v>0.13</v>
      </c>
    </row>
    <row r="216" spans="1:7">
      <c r="A216" s="3485" t="s">
        <v>1154</v>
      </c>
      <c r="B216" s="3474" t="s">
        <v>3085</v>
      </c>
      <c r="C216" s="3475">
        <v>0.13</v>
      </c>
      <c r="D216" s="3475">
        <v>0.13</v>
      </c>
      <c r="E216" s="3475">
        <v>0.13</v>
      </c>
      <c r="F216" s="3475">
        <v>0.13</v>
      </c>
      <c r="G216" s="3476">
        <v>0.13</v>
      </c>
    </row>
    <row r="217" spans="1:7">
      <c r="A217" s="3485" t="s">
        <v>1154</v>
      </c>
      <c r="B217" s="3474" t="s">
        <v>2905</v>
      </c>
      <c r="C217" s="3475">
        <v>0.129</v>
      </c>
      <c r="D217" s="3475">
        <v>0.129</v>
      </c>
      <c r="E217" s="3475">
        <v>0.13</v>
      </c>
      <c r="F217" s="3475">
        <v>0.13</v>
      </c>
      <c r="G217" s="3476">
        <v>0.13</v>
      </c>
    </row>
    <row r="218" spans="1:7">
      <c r="A218" s="3485" t="s">
        <v>1154</v>
      </c>
      <c r="B218" s="3474" t="s">
        <v>3086</v>
      </c>
      <c r="C218" s="3486"/>
      <c r="D218" s="3486"/>
      <c r="E218" s="3486"/>
      <c r="F218" s="3475">
        <v>0.05</v>
      </c>
      <c r="G218" s="3492"/>
    </row>
    <row r="219" spans="1:7">
      <c r="A219" s="3485" t="s">
        <v>1154</v>
      </c>
      <c r="B219" s="3474" t="s">
        <v>3087</v>
      </c>
      <c r="C219" s="3486"/>
      <c r="D219" s="3486"/>
      <c r="E219" s="3486"/>
      <c r="F219" s="3475">
        <v>0.05</v>
      </c>
      <c r="G219" s="3492"/>
    </row>
    <row r="220" spans="1:7">
      <c r="A220" s="3485" t="s">
        <v>1154</v>
      </c>
      <c r="B220" s="3474" t="s">
        <v>3088</v>
      </c>
      <c r="C220" s="3486"/>
      <c r="D220" s="3486"/>
      <c r="E220" s="3486"/>
      <c r="F220" s="3475">
        <v>0.05</v>
      </c>
      <c r="G220" s="3492"/>
    </row>
    <row r="221" spans="1:7">
      <c r="A221" s="3485" t="s">
        <v>1154</v>
      </c>
      <c r="B221" s="3474" t="s">
        <v>3089</v>
      </c>
      <c r="C221" s="3486"/>
      <c r="D221" s="3486"/>
      <c r="E221" s="3486"/>
      <c r="F221" s="3475">
        <v>0.05</v>
      </c>
      <c r="G221" s="3492"/>
    </row>
    <row r="222" spans="1:7">
      <c r="A222" s="3485" t="s">
        <v>1154</v>
      </c>
      <c r="B222" s="3474" t="s">
        <v>3090</v>
      </c>
      <c r="C222" s="3486"/>
      <c r="D222" s="3486"/>
      <c r="E222" s="3486"/>
      <c r="F222" s="3475">
        <v>0.05</v>
      </c>
      <c r="G222" s="3492"/>
    </row>
    <row r="223" spans="1:7">
      <c r="A223" s="3485" t="s">
        <v>1154</v>
      </c>
      <c r="B223" s="3474" t="s">
        <v>3091</v>
      </c>
      <c r="C223" s="3486"/>
      <c r="D223" s="3486"/>
      <c r="E223" s="3486"/>
      <c r="F223" s="3475">
        <v>0.05</v>
      </c>
      <c r="G223" s="3492"/>
    </row>
    <row r="224" spans="1:7">
      <c r="A224" s="3485" t="s">
        <v>1154</v>
      </c>
      <c r="B224" s="3474" t="s">
        <v>3092</v>
      </c>
      <c r="C224" s="3486"/>
      <c r="D224" s="3486"/>
      <c r="E224" s="3486"/>
      <c r="F224" s="3475">
        <v>0.05</v>
      </c>
      <c r="G224" s="3492"/>
    </row>
    <row r="225" spans="1:7">
      <c r="A225" s="3485" t="s">
        <v>1154</v>
      </c>
      <c r="B225" s="3474" t="s">
        <v>3093</v>
      </c>
      <c r="C225" s="3486"/>
      <c r="D225" s="3486"/>
      <c r="E225" s="3486"/>
      <c r="F225" s="3475">
        <v>0.05</v>
      </c>
      <c r="G225" s="3492"/>
    </row>
    <row r="226" spans="1:7">
      <c r="A226" s="3485" t="s">
        <v>1154</v>
      </c>
      <c r="B226" s="3474" t="s">
        <v>3094</v>
      </c>
      <c r="C226" s="3486"/>
      <c r="D226" s="3486"/>
      <c r="E226" s="3486"/>
      <c r="F226" s="3475">
        <v>0.05</v>
      </c>
      <c r="G226" s="3492"/>
    </row>
    <row r="227" spans="1:7">
      <c r="A227" s="3485" t="s">
        <v>1154</v>
      </c>
      <c r="B227" s="3474" t="s">
        <v>3095</v>
      </c>
      <c r="C227" s="3486"/>
      <c r="D227" s="3486"/>
      <c r="E227" s="3486"/>
      <c r="F227" s="3475">
        <v>0.05</v>
      </c>
      <c r="G227" s="3492"/>
    </row>
    <row r="228" spans="1:7">
      <c r="A228" s="3485" t="s">
        <v>1154</v>
      </c>
      <c r="B228" s="3474" t="s">
        <v>3096</v>
      </c>
      <c r="C228" s="3486"/>
      <c r="D228" s="3486"/>
      <c r="E228" s="3486"/>
      <c r="F228" s="3475">
        <v>0.05</v>
      </c>
      <c r="G228" s="3492"/>
    </row>
    <row r="229" spans="1:7">
      <c r="A229" s="3485" t="s">
        <v>1154</v>
      </c>
      <c r="B229" s="3474" t="s">
        <v>3097</v>
      </c>
      <c r="C229" s="3486"/>
      <c r="D229" s="3486"/>
      <c r="E229" s="3486"/>
      <c r="F229" s="3475">
        <v>0.05</v>
      </c>
      <c r="G229" s="3492"/>
    </row>
    <row r="230" spans="1:7">
      <c r="A230" s="3485" t="s">
        <v>1154</v>
      </c>
      <c r="B230" s="3474" t="s">
        <v>3098</v>
      </c>
      <c r="C230" s="3486"/>
      <c r="D230" s="3486"/>
      <c r="E230" s="3486"/>
      <c r="F230" s="3475">
        <v>0.05</v>
      </c>
      <c r="G230" s="3492"/>
    </row>
    <row r="231" spans="1:7">
      <c r="A231" s="3485" t="s">
        <v>1154</v>
      </c>
      <c r="B231" s="3474" t="s">
        <v>3099</v>
      </c>
      <c r="C231" s="3486"/>
      <c r="D231" s="3486"/>
      <c r="E231" s="3486"/>
      <c r="F231" s="3475">
        <v>0.05</v>
      </c>
      <c r="G231" s="3492"/>
    </row>
    <row r="232" spans="1:7">
      <c r="A232" s="3485" t="s">
        <v>1154</v>
      </c>
      <c r="B232" s="3474" t="s">
        <v>3100</v>
      </c>
      <c r="C232" s="3486"/>
      <c r="D232" s="3486"/>
      <c r="E232" s="3486"/>
      <c r="F232" s="3475">
        <v>0.05</v>
      </c>
      <c r="G232" s="3492"/>
    </row>
    <row r="233" spans="1:7" ht="15" thickBot="1">
      <c r="A233" s="3488" t="s">
        <v>1154</v>
      </c>
      <c r="B233" s="3478" t="s">
        <v>3101</v>
      </c>
      <c r="C233" s="3480"/>
      <c r="D233" s="3480"/>
      <c r="E233" s="3480"/>
      <c r="F233" s="3479">
        <v>0.05</v>
      </c>
      <c r="G233" s="3493"/>
    </row>
    <row r="234" spans="1:7">
      <c r="A234" s="3484" t="s">
        <v>1155</v>
      </c>
      <c r="B234" s="3470" t="s">
        <v>3102</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2923</v>
      </c>
      <c r="C238" s="3475">
        <v>0.14899999999999999</v>
      </c>
      <c r="D238" s="3475">
        <v>0.14899999999999999</v>
      </c>
      <c r="E238" s="3475">
        <v>0.15</v>
      </c>
      <c r="F238" s="3475">
        <v>0.15</v>
      </c>
      <c r="G238" s="3476">
        <v>0.15</v>
      </c>
    </row>
    <row r="239" spans="1:7">
      <c r="A239" s="3485" t="s">
        <v>1155</v>
      </c>
      <c r="B239" s="3474" t="s">
        <v>3103</v>
      </c>
      <c r="C239" s="3475">
        <v>0.15</v>
      </c>
      <c r="D239" s="3475">
        <v>0.15</v>
      </c>
      <c r="E239" s="3475">
        <v>0.15</v>
      </c>
      <c r="F239" s="3475">
        <v>0.15</v>
      </c>
      <c r="G239" s="3476">
        <v>0.15</v>
      </c>
    </row>
    <row r="240" spans="1:7">
      <c r="A240" s="3485" t="s">
        <v>1155</v>
      </c>
      <c r="B240" s="3474" t="s">
        <v>3104</v>
      </c>
      <c r="C240" s="3475">
        <v>0.15</v>
      </c>
      <c r="D240" s="3475">
        <v>0.15</v>
      </c>
      <c r="E240" s="3475">
        <v>0.15</v>
      </c>
      <c r="F240" s="3475">
        <v>0.15</v>
      </c>
      <c r="G240" s="3476">
        <v>0.15</v>
      </c>
    </row>
    <row r="241" spans="1:7">
      <c r="A241" s="3485" t="s">
        <v>1155</v>
      </c>
      <c r="B241" s="3474" t="s">
        <v>3105</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3106</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3107</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3108</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3109</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3110</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2932</v>
      </c>
      <c r="C258" s="3475">
        <v>0.14299999999999999</v>
      </c>
      <c r="D258" s="3475">
        <v>0.14299999999999999</v>
      </c>
      <c r="E258" s="3475">
        <v>0.15</v>
      </c>
      <c r="F258" s="3475">
        <v>0.14799999999999999</v>
      </c>
      <c r="G258" s="3476">
        <v>0.14599999999999999</v>
      </c>
    </row>
    <row r="259" spans="1:7">
      <c r="A259" s="3485" t="s">
        <v>1155</v>
      </c>
      <c r="B259" s="3474" t="s">
        <v>3111</v>
      </c>
      <c r="C259" s="3475">
        <v>0.14399999999999999</v>
      </c>
      <c r="D259" s="3475">
        <v>0.14399999999999999</v>
      </c>
      <c r="E259" s="3475">
        <v>0.14899999999999999</v>
      </c>
      <c r="F259" s="3475">
        <v>0.14699999999999999</v>
      </c>
      <c r="G259" s="3476">
        <v>0.14599999999999999</v>
      </c>
    </row>
    <row r="260" spans="1:7">
      <c r="A260" s="3485" t="s">
        <v>1155</v>
      </c>
      <c r="B260" s="3474" t="s">
        <v>3112</v>
      </c>
      <c r="C260" s="3475">
        <v>0.109</v>
      </c>
      <c r="D260" s="3475">
        <v>0.111</v>
      </c>
      <c r="E260" s="3475">
        <v>0.13100000000000001</v>
      </c>
      <c r="F260" s="3475">
        <v>0.126</v>
      </c>
      <c r="G260" s="3476">
        <v>0.11899999999999999</v>
      </c>
    </row>
    <row r="261" spans="1:7">
      <c r="A261" s="3485" t="s">
        <v>1155</v>
      </c>
      <c r="B261" s="3474" t="s">
        <v>3113</v>
      </c>
      <c r="C261" s="3475">
        <v>0.1</v>
      </c>
      <c r="D261" s="3475">
        <v>0.1</v>
      </c>
      <c r="E261" s="3475">
        <v>0.11799999999999999</v>
      </c>
      <c r="F261" s="3475">
        <v>0.108</v>
      </c>
      <c r="G261" s="3476">
        <v>0.107</v>
      </c>
    </row>
    <row r="262" spans="1:7">
      <c r="A262" s="3485" t="s">
        <v>1155</v>
      </c>
      <c r="B262" s="3474" t="s">
        <v>3114</v>
      </c>
      <c r="C262" s="3475">
        <v>0.1</v>
      </c>
      <c r="D262" s="3475">
        <v>0.1</v>
      </c>
      <c r="E262" s="3475">
        <v>0.1</v>
      </c>
      <c r="F262" s="3475">
        <v>0.14099999999999999</v>
      </c>
      <c r="G262" s="3476">
        <v>0.1</v>
      </c>
    </row>
    <row r="263" spans="1:7">
      <c r="A263" s="3485" t="s">
        <v>1155</v>
      </c>
      <c r="B263" s="3474" t="s">
        <v>3115</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3116</v>
      </c>
      <c r="C265" s="3486"/>
      <c r="D265" s="3486"/>
      <c r="E265" s="3486"/>
      <c r="F265" s="3475">
        <v>0.05</v>
      </c>
      <c r="G265" s="3492"/>
    </row>
    <row r="266" spans="1:7">
      <c r="A266" s="3485" t="s">
        <v>1155</v>
      </c>
      <c r="B266" s="3474" t="s">
        <v>3117</v>
      </c>
      <c r="C266" s="3486"/>
      <c r="D266" s="3486"/>
      <c r="E266" s="3486"/>
      <c r="F266" s="3475">
        <v>0.05</v>
      </c>
      <c r="G266" s="3492"/>
    </row>
    <row r="267" spans="1:7">
      <c r="A267" s="3485" t="s">
        <v>1155</v>
      </c>
      <c r="B267" s="3474" t="s">
        <v>3118</v>
      </c>
      <c r="C267" s="3486"/>
      <c r="D267" s="3486"/>
      <c r="E267" s="3486"/>
      <c r="F267" s="3475">
        <v>0.05</v>
      </c>
      <c r="G267" s="3492"/>
    </row>
    <row r="268" spans="1:7">
      <c r="A268" s="3485" t="s">
        <v>1155</v>
      </c>
      <c r="B268" s="3474" t="s">
        <v>3119</v>
      </c>
      <c r="C268" s="3486"/>
      <c r="D268" s="3486"/>
      <c r="E268" s="3486"/>
      <c r="F268" s="3475">
        <v>0.05</v>
      </c>
      <c r="G268" s="3492"/>
    </row>
    <row r="269" spans="1:7">
      <c r="A269" s="3485" t="s">
        <v>1155</v>
      </c>
      <c r="B269" s="3474" t="s">
        <v>3120</v>
      </c>
      <c r="C269" s="3486"/>
      <c r="D269" s="3486"/>
      <c r="E269" s="3486"/>
      <c r="F269" s="3475">
        <v>0.05</v>
      </c>
      <c r="G269" s="3492"/>
    </row>
    <row r="270" spans="1:7">
      <c r="A270" s="3485" t="s">
        <v>1155</v>
      </c>
      <c r="B270" s="3474" t="s">
        <v>3121</v>
      </c>
      <c r="C270" s="3486"/>
      <c r="D270" s="3486"/>
      <c r="E270" s="3486"/>
      <c r="F270" s="3475">
        <v>0.05</v>
      </c>
      <c r="G270" s="3492"/>
    </row>
    <row r="271" spans="1:7">
      <c r="A271" s="3485" t="s">
        <v>1155</v>
      </c>
      <c r="B271" s="3474" t="s">
        <v>3122</v>
      </c>
      <c r="C271" s="3486"/>
      <c r="D271" s="3486"/>
      <c r="E271" s="3486"/>
      <c r="F271" s="3475">
        <v>0.05</v>
      </c>
      <c r="G271" s="3492"/>
    </row>
    <row r="272" spans="1:7">
      <c r="A272" s="3485" t="s">
        <v>1155</v>
      </c>
      <c r="B272" s="3474" t="s">
        <v>3123</v>
      </c>
      <c r="C272" s="3486"/>
      <c r="D272" s="3486"/>
      <c r="E272" s="3486"/>
      <c r="F272" s="3475">
        <v>0.05</v>
      </c>
      <c r="G272" s="3492"/>
    </row>
    <row r="273" spans="1:7">
      <c r="A273" s="3485" t="s">
        <v>1155</v>
      </c>
      <c r="B273" s="3474" t="s">
        <v>3124</v>
      </c>
      <c r="C273" s="3486"/>
      <c r="D273" s="3486"/>
      <c r="E273" s="3486"/>
      <c r="F273" s="3475">
        <v>0.05</v>
      </c>
      <c r="G273" s="3492"/>
    </row>
    <row r="274" spans="1:7">
      <c r="A274" s="3485" t="s">
        <v>1155</v>
      </c>
      <c r="B274" s="3474" t="s">
        <v>3125</v>
      </c>
      <c r="C274" s="3486"/>
      <c r="D274" s="3486"/>
      <c r="E274" s="3486"/>
      <c r="F274" s="3475">
        <v>0.05</v>
      </c>
      <c r="G274" s="3492"/>
    </row>
    <row r="275" spans="1:7">
      <c r="A275" s="3485" t="s">
        <v>1155</v>
      </c>
      <c r="B275" s="3474" t="s">
        <v>3126</v>
      </c>
      <c r="C275" s="3486"/>
      <c r="D275" s="3486"/>
      <c r="E275" s="3486"/>
      <c r="F275" s="3475">
        <v>0.05</v>
      </c>
      <c r="G275" s="3492"/>
    </row>
    <row r="276" spans="1:7" ht="15" thickBot="1">
      <c r="A276" s="3488" t="s">
        <v>1155</v>
      </c>
      <c r="B276" s="3478" t="s">
        <v>3127</v>
      </c>
      <c r="C276" s="3480"/>
      <c r="D276" s="3480"/>
      <c r="E276" s="3480"/>
      <c r="F276" s="3479">
        <v>0.05</v>
      </c>
      <c r="G276" s="3493"/>
    </row>
    <row r="277" spans="1:7">
      <c r="A277" s="3484" t="s">
        <v>1156</v>
      </c>
      <c r="B277" s="3470" t="s">
        <v>3128</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3129</v>
      </c>
      <c r="C279" s="3475">
        <v>0.15</v>
      </c>
      <c r="D279" s="3475">
        <v>0.15</v>
      </c>
      <c r="E279" s="3475">
        <v>0.15</v>
      </c>
      <c r="F279" s="3475">
        <v>0.15</v>
      </c>
      <c r="G279" s="3476">
        <v>0.15</v>
      </c>
    </row>
    <row r="280" spans="1:7">
      <c r="A280" s="3485" t="s">
        <v>1156</v>
      </c>
      <c r="B280" s="3474" t="s">
        <v>3130</v>
      </c>
      <c r="C280" s="3475">
        <v>0.15</v>
      </c>
      <c r="D280" s="3475">
        <v>0.15</v>
      </c>
      <c r="E280" s="3475">
        <v>0.15</v>
      </c>
      <c r="F280" s="3475">
        <v>0.15</v>
      </c>
      <c r="G280" s="3476">
        <v>0.15</v>
      </c>
    </row>
    <row r="281" spans="1:7">
      <c r="A281" s="3485" t="s">
        <v>1156</v>
      </c>
      <c r="B281" s="3474" t="s">
        <v>3131</v>
      </c>
      <c r="C281" s="3475">
        <v>0.15</v>
      </c>
      <c r="D281" s="3475">
        <v>0.15</v>
      </c>
      <c r="E281" s="3475">
        <v>0.15</v>
      </c>
      <c r="F281" s="3475">
        <v>0.15</v>
      </c>
      <c r="G281" s="3476">
        <v>0.15</v>
      </c>
    </row>
    <row r="282" spans="1:7">
      <c r="A282" s="3485" t="s">
        <v>1156</v>
      </c>
      <c r="B282" s="3474" t="s">
        <v>3132</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3133</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3134</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2957</v>
      </c>
      <c r="C293" s="3475">
        <v>0.15</v>
      </c>
      <c r="D293" s="3475">
        <v>0.15</v>
      </c>
      <c r="E293" s="3475">
        <v>0.15</v>
      </c>
      <c r="F293" s="3475">
        <v>0.14499999999999999</v>
      </c>
      <c r="G293" s="3476">
        <v>0.15</v>
      </c>
    </row>
    <row r="294" spans="1:7">
      <c r="A294" s="3485" t="s">
        <v>1156</v>
      </c>
      <c r="B294" s="3474" t="s">
        <v>3135</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2959</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3136</v>
      </c>
      <c r="C302" s="3475">
        <v>0.15</v>
      </c>
      <c r="D302" s="3475">
        <v>0.15</v>
      </c>
      <c r="E302" s="3475">
        <v>0.15</v>
      </c>
      <c r="F302" s="3475">
        <v>0.14699999999999999</v>
      </c>
      <c r="G302" s="3476">
        <v>0.15</v>
      </c>
    </row>
    <row r="303" spans="1:7">
      <c r="A303" s="3485" t="s">
        <v>1156</v>
      </c>
      <c r="B303" s="3474" t="s">
        <v>2961</v>
      </c>
      <c r="C303" s="3475">
        <v>0.15</v>
      </c>
      <c r="D303" s="3475">
        <v>0.15</v>
      </c>
      <c r="E303" s="3475">
        <v>0.15</v>
      </c>
      <c r="F303" s="3475">
        <v>0.14199999999999999</v>
      </c>
      <c r="G303" s="3476">
        <v>0.15</v>
      </c>
    </row>
    <row r="304" spans="1:7">
      <c r="A304" s="3485" t="s">
        <v>1156</v>
      </c>
      <c r="B304" s="3474" t="s">
        <v>2962</v>
      </c>
      <c r="C304" s="3475">
        <v>0.15</v>
      </c>
      <c r="D304" s="3475">
        <v>0.15</v>
      </c>
      <c r="E304" s="3475">
        <v>0.15</v>
      </c>
      <c r="F304" s="3475">
        <v>0.14499999999999999</v>
      </c>
      <c r="G304" s="3476">
        <v>0.15</v>
      </c>
    </row>
    <row r="305" spans="1:7">
      <c r="A305" s="3485" t="s">
        <v>1156</v>
      </c>
      <c r="B305" s="3474" t="s">
        <v>2963</v>
      </c>
      <c r="C305" s="3475">
        <v>0.15</v>
      </c>
      <c r="D305" s="3475">
        <v>0.15</v>
      </c>
      <c r="E305" s="3475">
        <v>0.15</v>
      </c>
      <c r="F305" s="3475">
        <v>0.111</v>
      </c>
      <c r="G305" s="3476">
        <v>0.15</v>
      </c>
    </row>
    <row r="306" spans="1:7">
      <c r="A306" s="3485" t="s">
        <v>1156</v>
      </c>
      <c r="B306" s="3474" t="s">
        <v>3137</v>
      </c>
      <c r="C306" s="3475">
        <v>0.15</v>
      </c>
      <c r="D306" s="3475">
        <v>0.15</v>
      </c>
      <c r="E306" s="3475">
        <v>0.15</v>
      </c>
      <c r="F306" s="3475">
        <v>0.126</v>
      </c>
      <c r="G306" s="3476">
        <v>0.15</v>
      </c>
    </row>
    <row r="307" spans="1:7">
      <c r="A307" s="3485" t="s">
        <v>1156</v>
      </c>
      <c r="B307" s="3474" t="s">
        <v>2965</v>
      </c>
      <c r="C307" s="3475">
        <v>0.15</v>
      </c>
      <c r="D307" s="3475">
        <v>0.15</v>
      </c>
      <c r="E307" s="3475">
        <v>0.15</v>
      </c>
      <c r="F307" s="3475">
        <v>0.12</v>
      </c>
      <c r="G307" s="3476">
        <v>0.15</v>
      </c>
    </row>
    <row r="308" spans="1:7">
      <c r="A308" s="3485" t="s">
        <v>1156</v>
      </c>
      <c r="B308" s="3474" t="s">
        <v>3138</v>
      </c>
      <c r="C308" s="3475">
        <v>0.15</v>
      </c>
      <c r="D308" s="3475">
        <v>0.15</v>
      </c>
      <c r="E308" s="3475">
        <v>0.15</v>
      </c>
      <c r="F308" s="3475">
        <v>0.13</v>
      </c>
      <c r="G308" s="3476">
        <v>0.15</v>
      </c>
    </row>
    <row r="309" spans="1:7">
      <c r="A309" s="3485" t="s">
        <v>1156</v>
      </c>
      <c r="B309" s="3474" t="s">
        <v>3139</v>
      </c>
      <c r="C309" s="3475">
        <v>0.15</v>
      </c>
      <c r="D309" s="3475">
        <v>0.15</v>
      </c>
      <c r="E309" s="3475">
        <v>0.15</v>
      </c>
      <c r="F309" s="3475">
        <v>0.14099999999999999</v>
      </c>
      <c r="G309" s="3476">
        <v>0.15</v>
      </c>
    </row>
    <row r="310" spans="1:7">
      <c r="A310" s="3485" t="s">
        <v>1156</v>
      </c>
      <c r="B310" s="3474" t="s">
        <v>2968</v>
      </c>
      <c r="C310" s="3475">
        <v>0.15</v>
      </c>
      <c r="D310" s="3475">
        <v>0.15</v>
      </c>
      <c r="E310" s="3475">
        <v>0.15</v>
      </c>
      <c r="F310" s="3475">
        <v>0.15</v>
      </c>
      <c r="G310" s="3476">
        <v>0.15</v>
      </c>
    </row>
    <row r="311" spans="1:7">
      <c r="A311" s="3485" t="s">
        <v>1156</v>
      </c>
      <c r="B311" s="3474" t="s">
        <v>3140</v>
      </c>
      <c r="C311" s="3475">
        <v>0.13200000000000001</v>
      </c>
      <c r="D311" s="3475">
        <v>0.13300000000000001</v>
      </c>
      <c r="E311" s="3475">
        <v>0.14499999999999999</v>
      </c>
      <c r="F311" s="3475">
        <v>0.14199999999999999</v>
      </c>
      <c r="G311" s="3476">
        <v>0.14000000000000001</v>
      </c>
    </row>
    <row r="312" spans="1:7">
      <c r="A312" s="3485" t="s">
        <v>1156</v>
      </c>
      <c r="B312" s="3474" t="s">
        <v>2970</v>
      </c>
      <c r="C312" s="3475">
        <v>0.13800000000000001</v>
      </c>
      <c r="D312" s="3475">
        <v>0.14000000000000001</v>
      </c>
      <c r="E312" s="3475">
        <v>0.14599999999999999</v>
      </c>
      <c r="F312" s="3475">
        <v>0.14899999999999999</v>
      </c>
      <c r="G312" s="3476">
        <v>0.14199999999999999</v>
      </c>
    </row>
    <row r="313" spans="1:7">
      <c r="A313" s="3485" t="s">
        <v>1156</v>
      </c>
      <c r="B313" s="3474" t="s">
        <v>2971</v>
      </c>
      <c r="C313" s="3475">
        <v>0.125</v>
      </c>
      <c r="D313" s="3475">
        <v>0.127</v>
      </c>
      <c r="E313" s="3475">
        <v>0.14399999999999999</v>
      </c>
      <c r="F313" s="3475">
        <v>0.115</v>
      </c>
      <c r="G313" s="3476">
        <v>0.13600000000000001</v>
      </c>
    </row>
    <row r="314" spans="1:7">
      <c r="A314" s="3485" t="s">
        <v>1156</v>
      </c>
      <c r="B314" s="3474" t="s">
        <v>3141</v>
      </c>
      <c r="C314" s="3491"/>
      <c r="D314" s="3491"/>
      <c r="E314" s="3491"/>
      <c r="F314" s="3475">
        <v>0.05</v>
      </c>
      <c r="G314" s="3492"/>
    </row>
    <row r="315" spans="1:7">
      <c r="A315" s="3485" t="s">
        <v>1156</v>
      </c>
      <c r="B315" s="3474" t="s">
        <v>3142</v>
      </c>
      <c r="C315" s="3491"/>
      <c r="D315" s="3491"/>
      <c r="E315" s="3491"/>
      <c r="F315" s="3475">
        <v>0.05</v>
      </c>
      <c r="G315" s="3492"/>
    </row>
    <row r="316" spans="1:7">
      <c r="A316" s="3485" t="s">
        <v>1156</v>
      </c>
      <c r="B316" s="3474" t="s">
        <v>3143</v>
      </c>
      <c r="C316" s="3486"/>
      <c r="D316" s="3486"/>
      <c r="E316" s="3486"/>
      <c r="F316" s="3475">
        <v>0.05</v>
      </c>
      <c r="G316" s="3492"/>
    </row>
    <row r="317" spans="1:7">
      <c r="A317" s="3485" t="s">
        <v>1156</v>
      </c>
      <c r="B317" s="3474" t="s">
        <v>3144</v>
      </c>
      <c r="C317" s="3486"/>
      <c r="D317" s="3486"/>
      <c r="E317" s="3486"/>
      <c r="F317" s="3475">
        <v>0.05</v>
      </c>
      <c r="G317" s="3492"/>
    </row>
    <row r="318" spans="1:7">
      <c r="A318" s="3485" t="s">
        <v>1156</v>
      </c>
      <c r="B318" s="3474" t="s">
        <v>3145</v>
      </c>
      <c r="C318" s="3486"/>
      <c r="D318" s="3486"/>
      <c r="E318" s="3486"/>
      <c r="F318" s="3475">
        <v>0.05</v>
      </c>
      <c r="G318" s="3492"/>
    </row>
    <row r="319" spans="1:7">
      <c r="A319" s="3485" t="s">
        <v>1156</v>
      </c>
      <c r="B319" s="3474" t="s">
        <v>3146</v>
      </c>
      <c r="C319" s="3486"/>
      <c r="D319" s="3486"/>
      <c r="E319" s="3486"/>
      <c r="F319" s="3475">
        <v>0.05</v>
      </c>
      <c r="G319" s="3492"/>
    </row>
    <row r="320" spans="1:7">
      <c r="A320" s="3485" t="s">
        <v>1156</v>
      </c>
      <c r="B320" s="3474" t="s">
        <v>3147</v>
      </c>
      <c r="C320" s="3486"/>
      <c r="D320" s="3486"/>
      <c r="E320" s="3486"/>
      <c r="F320" s="3475">
        <v>0.05</v>
      </c>
      <c r="G320" s="3492"/>
    </row>
    <row r="321" spans="1:7">
      <c r="A321" s="3485" t="s">
        <v>1156</v>
      </c>
      <c r="B321" s="3474" t="s">
        <v>3148</v>
      </c>
      <c r="C321" s="3486"/>
      <c r="D321" s="3486"/>
      <c r="E321" s="3486"/>
      <c r="F321" s="3475">
        <v>0.05</v>
      </c>
      <c r="G321" s="3492"/>
    </row>
    <row r="322" spans="1:7">
      <c r="A322" s="3485" t="s">
        <v>1156</v>
      </c>
      <c r="B322" s="3474" t="s">
        <v>3149</v>
      </c>
      <c r="C322" s="3486"/>
      <c r="D322" s="3486"/>
      <c r="E322" s="3486"/>
      <c r="F322" s="3475">
        <v>0.05</v>
      </c>
      <c r="G322" s="3492"/>
    </row>
    <row r="323" spans="1:7">
      <c r="A323" s="3485" t="s">
        <v>1156</v>
      </c>
      <c r="B323" s="3474" t="s">
        <v>3150</v>
      </c>
      <c r="C323" s="3486"/>
      <c r="D323" s="3486"/>
      <c r="E323" s="3486"/>
      <c r="F323" s="3475">
        <v>0.05</v>
      </c>
      <c r="G323" s="3492"/>
    </row>
    <row r="324" spans="1:7">
      <c r="A324" s="3485" t="s">
        <v>1156</v>
      </c>
      <c r="B324" s="3474" t="s">
        <v>3151</v>
      </c>
      <c r="C324" s="3486"/>
      <c r="D324" s="3486"/>
      <c r="E324" s="3486"/>
      <c r="F324" s="3475">
        <v>0.05</v>
      </c>
      <c r="G324" s="3492"/>
    </row>
    <row r="325" spans="1:7">
      <c r="A325" s="3485" t="s">
        <v>1156</v>
      </c>
      <c r="B325" s="3474" t="s">
        <v>3152</v>
      </c>
      <c r="C325" s="3486"/>
      <c r="D325" s="3486"/>
      <c r="E325" s="3486"/>
      <c r="F325" s="3475">
        <v>0.05</v>
      </c>
      <c r="G325" s="3492"/>
    </row>
    <row r="326" spans="1:7" ht="15" thickBot="1">
      <c r="A326" s="3488" t="s">
        <v>1156</v>
      </c>
      <c r="B326" s="3478" t="s">
        <v>3153</v>
      </c>
      <c r="C326" s="3480"/>
      <c r="D326" s="3480"/>
      <c r="E326" s="3480"/>
      <c r="F326" s="3479">
        <v>0.05</v>
      </c>
      <c r="G326" s="3493"/>
    </row>
    <row r="327" spans="1:7">
      <c r="A327" s="3484" t="s">
        <v>1157</v>
      </c>
      <c r="B327" s="3470" t="s">
        <v>3154</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3155</v>
      </c>
      <c r="C329" s="3475">
        <v>0.15</v>
      </c>
      <c r="D329" s="3475">
        <v>0.15</v>
      </c>
      <c r="E329" s="3475">
        <v>0.15</v>
      </c>
      <c r="F329" s="3475">
        <v>0.15</v>
      </c>
      <c r="G329" s="3476">
        <v>0.15</v>
      </c>
    </row>
    <row r="330" spans="1:7">
      <c r="A330" s="3485" t="s">
        <v>1157</v>
      </c>
      <c r="B330" s="3474" t="s">
        <v>3156</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2988</v>
      </c>
      <c r="C332" s="3475">
        <v>0.15</v>
      </c>
      <c r="D332" s="3475">
        <v>0.15</v>
      </c>
      <c r="E332" s="3475">
        <v>0.15</v>
      </c>
      <c r="F332" s="3475">
        <v>0.15</v>
      </c>
      <c r="G332" s="3476">
        <v>0.15</v>
      </c>
    </row>
    <row r="333" spans="1:7">
      <c r="A333" s="3485" t="s">
        <v>1157</v>
      </c>
      <c r="B333" s="3474" t="s">
        <v>3157</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2990</v>
      </c>
      <c r="C336" s="3475">
        <v>0.15</v>
      </c>
      <c r="D336" s="3475">
        <v>0.15</v>
      </c>
      <c r="E336" s="3475">
        <v>0.15</v>
      </c>
      <c r="F336" s="3475">
        <v>0.14199999999999999</v>
      </c>
      <c r="G336" s="3476">
        <v>0.15</v>
      </c>
    </row>
    <row r="337" spans="1:7">
      <c r="A337" s="3485" t="s">
        <v>1157</v>
      </c>
      <c r="B337" s="3474" t="s">
        <v>3158</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3159</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3160</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2994</v>
      </c>
      <c r="C345" s="3475">
        <v>0.15</v>
      </c>
      <c r="D345" s="3475">
        <v>0.15</v>
      </c>
      <c r="E345" s="3475">
        <v>0.15</v>
      </c>
      <c r="F345" s="3475">
        <v>0.13800000000000001</v>
      </c>
      <c r="G345" s="3476">
        <v>0.15</v>
      </c>
    </row>
    <row r="346" spans="1:7">
      <c r="A346" s="3485" t="s">
        <v>1157</v>
      </c>
      <c r="B346" s="3474" t="s">
        <v>3161</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2996</v>
      </c>
      <c r="C348" s="3475">
        <v>0.15</v>
      </c>
      <c r="D348" s="3475">
        <v>0.15</v>
      </c>
      <c r="E348" s="3475">
        <v>0.15</v>
      </c>
      <c r="F348" s="3475">
        <v>0.14399999999999999</v>
      </c>
      <c r="G348" s="3476">
        <v>0.15</v>
      </c>
    </row>
    <row r="349" spans="1:7">
      <c r="A349" s="3485" t="s">
        <v>1157</v>
      </c>
      <c r="B349" s="3474" t="s">
        <v>2997</v>
      </c>
      <c r="C349" s="3475">
        <v>0.15</v>
      </c>
      <c r="D349" s="3475">
        <v>0.15</v>
      </c>
      <c r="E349" s="3475">
        <v>0.15</v>
      </c>
      <c r="F349" s="3475">
        <v>0.15</v>
      </c>
      <c r="G349" s="3476">
        <v>0.15</v>
      </c>
    </row>
    <row r="350" spans="1:7">
      <c r="A350" s="3485" t="s">
        <v>1157</v>
      </c>
      <c r="B350" s="3474" t="s">
        <v>3162</v>
      </c>
      <c r="C350" s="3475">
        <v>0.15</v>
      </c>
      <c r="D350" s="3475">
        <v>0.15</v>
      </c>
      <c r="E350" s="3475">
        <v>0.15</v>
      </c>
      <c r="F350" s="3475">
        <v>0.14699999999999999</v>
      </c>
      <c r="G350" s="3476">
        <v>0.15</v>
      </c>
    </row>
    <row r="351" spans="1:7">
      <c r="A351" s="3485" t="s">
        <v>1157</v>
      </c>
      <c r="B351" s="3474" t="s">
        <v>2999</v>
      </c>
      <c r="C351" s="3475">
        <v>0.15</v>
      </c>
      <c r="D351" s="3475">
        <v>0.15</v>
      </c>
      <c r="E351" s="3475">
        <v>0.15</v>
      </c>
      <c r="F351" s="3475">
        <v>0.13</v>
      </c>
      <c r="G351" s="3476">
        <v>0.15</v>
      </c>
    </row>
    <row r="352" spans="1:7">
      <c r="A352" s="3485" t="s">
        <v>1157</v>
      </c>
      <c r="B352" s="3474" t="s">
        <v>3000</v>
      </c>
      <c r="C352" s="3475">
        <v>0.15</v>
      </c>
      <c r="D352" s="3475">
        <v>0.15</v>
      </c>
      <c r="E352" s="3475">
        <v>0.15</v>
      </c>
      <c r="F352" s="3475">
        <v>0.14599999999999999</v>
      </c>
      <c r="G352" s="3476">
        <v>0.15</v>
      </c>
    </row>
    <row r="353" spans="1:7">
      <c r="A353" s="3485" t="s">
        <v>1157</v>
      </c>
      <c r="B353" s="3474" t="s">
        <v>3163</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3002</v>
      </c>
      <c r="C355" s="3475">
        <v>0.15</v>
      </c>
      <c r="D355" s="3475">
        <v>0.15</v>
      </c>
      <c r="E355" s="3475">
        <v>0.15</v>
      </c>
      <c r="F355" s="3475">
        <v>0.15</v>
      </c>
      <c r="G355" s="3476">
        <v>0.15</v>
      </c>
    </row>
    <row r="356" spans="1:7">
      <c r="A356" s="3485" t="s">
        <v>1157</v>
      </c>
      <c r="B356" s="3474" t="s">
        <v>3003</v>
      </c>
      <c r="C356" s="3475">
        <v>0.15</v>
      </c>
      <c r="D356" s="3475">
        <v>0.15</v>
      </c>
      <c r="E356" s="3475">
        <v>0.15</v>
      </c>
      <c r="F356" s="3475">
        <v>0.15</v>
      </c>
      <c r="G356" s="3476">
        <v>0.15</v>
      </c>
    </row>
    <row r="357" spans="1:7" ht="15" thickBot="1">
      <c r="A357" s="3488" t="s">
        <v>1157</v>
      </c>
      <c r="B357" s="3478" t="s">
        <v>3164</v>
      </c>
      <c r="C357" s="3479">
        <v>0.126</v>
      </c>
      <c r="D357" s="3479">
        <v>0.127</v>
      </c>
      <c r="E357" s="3479">
        <v>0.14299999999999999</v>
      </c>
      <c r="F357" s="3479">
        <v>0.125</v>
      </c>
      <c r="G357" s="3481">
        <v>0.129</v>
      </c>
    </row>
    <row r="358" spans="1:7">
      <c r="A358" s="3484" t="s">
        <v>3165</v>
      </c>
      <c r="B358" s="3470" t="s">
        <v>3166</v>
      </c>
      <c r="C358" s="3471">
        <v>0.15</v>
      </c>
      <c r="D358" s="3471">
        <v>0.15</v>
      </c>
      <c r="E358" s="3471">
        <v>0.15</v>
      </c>
      <c r="F358" s="3471">
        <v>0.15</v>
      </c>
      <c r="G358" s="3472">
        <v>0.15</v>
      </c>
    </row>
    <row r="359" spans="1:7">
      <c r="A359" s="3485" t="s">
        <v>3165</v>
      </c>
      <c r="B359" s="3474" t="s">
        <v>3167</v>
      </c>
      <c r="C359" s="3475">
        <v>0.1</v>
      </c>
      <c r="D359" s="3475">
        <v>0.1</v>
      </c>
      <c r="E359" s="3475">
        <v>0.1</v>
      </c>
      <c r="F359" s="3475">
        <v>0.1</v>
      </c>
      <c r="G359" s="3476">
        <v>0.1</v>
      </c>
    </row>
    <row r="360" spans="1:7">
      <c r="A360" s="3485" t="s">
        <v>3165</v>
      </c>
      <c r="B360" s="3474" t="s">
        <v>3168</v>
      </c>
      <c r="C360" s="3475">
        <v>0.15</v>
      </c>
      <c r="D360" s="3475">
        <v>0.15</v>
      </c>
      <c r="E360" s="3475">
        <v>0.15</v>
      </c>
      <c r="F360" s="3475">
        <v>0.14899999999999999</v>
      </c>
      <c r="G360" s="3476">
        <v>0.15</v>
      </c>
    </row>
    <row r="361" spans="1:7">
      <c r="A361" s="3485" t="s">
        <v>3165</v>
      </c>
      <c r="B361" s="3474" t="s">
        <v>999</v>
      </c>
      <c r="C361" s="3475">
        <v>0.15</v>
      </c>
      <c r="D361" s="3475">
        <v>0.15</v>
      </c>
      <c r="E361" s="3475">
        <v>0.15</v>
      </c>
      <c r="F361" s="3475">
        <v>0.115</v>
      </c>
      <c r="G361" s="3476">
        <v>0.15</v>
      </c>
    </row>
    <row r="362" spans="1:7">
      <c r="A362" s="3485" t="s">
        <v>3165</v>
      </c>
      <c r="B362" s="3474" t="s">
        <v>3169</v>
      </c>
      <c r="C362" s="3475">
        <v>0.15</v>
      </c>
      <c r="D362" s="3475">
        <v>0.15</v>
      </c>
      <c r="E362" s="3475">
        <v>0.15</v>
      </c>
      <c r="F362" s="3475">
        <v>0.106</v>
      </c>
      <c r="G362" s="3476">
        <v>0.15</v>
      </c>
    </row>
    <row r="363" spans="1:7">
      <c r="A363" s="3485" t="s">
        <v>3165</v>
      </c>
      <c r="B363" s="3474" t="s">
        <v>3009</v>
      </c>
      <c r="C363" s="3475">
        <v>0.15</v>
      </c>
      <c r="D363" s="3475">
        <v>0.15</v>
      </c>
      <c r="E363" s="3475">
        <v>0.15</v>
      </c>
      <c r="F363" s="3475">
        <v>0.14699999999999999</v>
      </c>
      <c r="G363" s="3476">
        <v>0.15</v>
      </c>
    </row>
    <row r="364" spans="1:7">
      <c r="A364" s="3485" t="s">
        <v>3165</v>
      </c>
      <c r="B364" s="3474" t="s">
        <v>3170</v>
      </c>
      <c r="C364" s="3475">
        <v>0.15</v>
      </c>
      <c r="D364" s="3475">
        <v>0.15</v>
      </c>
      <c r="E364" s="3475">
        <v>0.15</v>
      </c>
      <c r="F364" s="3475">
        <v>0.14799999999999999</v>
      </c>
      <c r="G364" s="3476">
        <v>0.15</v>
      </c>
    </row>
    <row r="365" spans="1:7">
      <c r="A365" s="3485" t="s">
        <v>3165</v>
      </c>
      <c r="B365" s="3474" t="s">
        <v>1047</v>
      </c>
      <c r="C365" s="3475">
        <v>0.15</v>
      </c>
      <c r="D365" s="3475">
        <v>0.15</v>
      </c>
      <c r="E365" s="3475">
        <v>0.15</v>
      </c>
      <c r="F365" s="3475">
        <v>0.15</v>
      </c>
      <c r="G365" s="3476">
        <v>0.15</v>
      </c>
    </row>
    <row r="366" spans="1:7">
      <c r="A366" s="3485" t="s">
        <v>3165</v>
      </c>
      <c r="B366" s="3474" t="s">
        <v>3011</v>
      </c>
      <c r="C366" s="3475">
        <v>0.15</v>
      </c>
      <c r="D366" s="3475">
        <v>0.15</v>
      </c>
      <c r="E366" s="3475">
        <v>0.15</v>
      </c>
      <c r="F366" s="3475">
        <v>0.15</v>
      </c>
      <c r="G366" s="3476">
        <v>0.15</v>
      </c>
    </row>
    <row r="367" spans="1:7">
      <c r="A367" s="3485" t="s">
        <v>3165</v>
      </c>
      <c r="B367" s="3474" t="s">
        <v>3171</v>
      </c>
      <c r="C367" s="3475">
        <v>0.15</v>
      </c>
      <c r="D367" s="3475">
        <v>0.15</v>
      </c>
      <c r="E367" s="3475">
        <v>0.15</v>
      </c>
      <c r="F367" s="3475">
        <v>0.14699999999999999</v>
      </c>
      <c r="G367" s="3476">
        <v>0.15</v>
      </c>
    </row>
    <row r="368" spans="1:7">
      <c r="A368" s="3485" t="s">
        <v>3165</v>
      </c>
      <c r="B368" s="3474" t="s">
        <v>3172</v>
      </c>
      <c r="C368" s="3475">
        <v>0.15</v>
      </c>
      <c r="D368" s="3475">
        <v>0.15</v>
      </c>
      <c r="E368" s="3475">
        <v>0.15</v>
      </c>
      <c r="F368" s="3475">
        <v>0.13600000000000001</v>
      </c>
      <c r="G368" s="3476">
        <v>0.15</v>
      </c>
    </row>
    <row r="369" spans="1:7">
      <c r="A369" s="3485" t="s">
        <v>3165</v>
      </c>
      <c r="B369" s="3474" t="s">
        <v>1061</v>
      </c>
      <c r="C369" s="3475">
        <v>0.15</v>
      </c>
      <c r="D369" s="3475">
        <v>0.15</v>
      </c>
      <c r="E369" s="3475">
        <v>0.15</v>
      </c>
      <c r="F369" s="3475">
        <v>0.14399999999999999</v>
      </c>
      <c r="G369" s="3476">
        <v>0.15</v>
      </c>
    </row>
    <row r="370" spans="1:7">
      <c r="A370" s="3485" t="s">
        <v>3165</v>
      </c>
      <c r="B370" s="3474" t="s">
        <v>1069</v>
      </c>
      <c r="C370" s="3475">
        <v>0.15</v>
      </c>
      <c r="D370" s="3475">
        <v>0.15</v>
      </c>
      <c r="E370" s="3475">
        <v>0.15</v>
      </c>
      <c r="F370" s="3475">
        <v>0.14599999999999999</v>
      </c>
      <c r="G370" s="3476">
        <v>0.15</v>
      </c>
    </row>
    <row r="371" spans="1:7">
      <c r="A371" s="3485" t="s">
        <v>3165</v>
      </c>
      <c r="B371" s="3474" t="s">
        <v>1077</v>
      </c>
      <c r="C371" s="3475">
        <v>0.15</v>
      </c>
      <c r="D371" s="3475">
        <v>0.15</v>
      </c>
      <c r="E371" s="3475">
        <v>0.15</v>
      </c>
      <c r="F371" s="3475">
        <v>0.12</v>
      </c>
      <c r="G371" s="3476">
        <v>0.15</v>
      </c>
    </row>
    <row r="372" spans="1:7">
      <c r="A372" s="3485" t="s">
        <v>3165</v>
      </c>
      <c r="B372" s="3474" t="s">
        <v>3173</v>
      </c>
      <c r="C372" s="3475">
        <v>0.15</v>
      </c>
      <c r="D372" s="3475">
        <v>0.15</v>
      </c>
      <c r="E372" s="3475">
        <v>0.15</v>
      </c>
      <c r="F372" s="3475">
        <v>0.14299999999999999</v>
      </c>
      <c r="G372" s="3476">
        <v>0.15</v>
      </c>
    </row>
    <row r="373" spans="1:7">
      <c r="A373" s="3485" t="s">
        <v>3165</v>
      </c>
      <c r="B373" s="3474" t="s">
        <v>1106</v>
      </c>
      <c r="C373" s="3475">
        <v>0.15</v>
      </c>
      <c r="D373" s="3475">
        <v>0.15</v>
      </c>
      <c r="E373" s="3475">
        <v>0.15</v>
      </c>
      <c r="F373" s="3475">
        <v>0.14599999999999999</v>
      </c>
      <c r="G373" s="3476">
        <v>0.15</v>
      </c>
    </row>
    <row r="374" spans="1:7">
      <c r="A374" s="3485" t="s">
        <v>3165</v>
      </c>
      <c r="B374" s="3474" t="s">
        <v>1114</v>
      </c>
      <c r="C374" s="3475">
        <v>0.15</v>
      </c>
      <c r="D374" s="3475">
        <v>0.15</v>
      </c>
      <c r="E374" s="3475">
        <v>0.15</v>
      </c>
      <c r="F374" s="3475">
        <v>0.14399999999999999</v>
      </c>
      <c r="G374" s="3476">
        <v>0.15</v>
      </c>
    </row>
    <row r="375" spans="1:7">
      <c r="A375" s="3485" t="s">
        <v>3165</v>
      </c>
      <c r="B375" s="3474" t="s">
        <v>3174</v>
      </c>
      <c r="C375" s="3475">
        <v>0.15</v>
      </c>
      <c r="D375" s="3475">
        <v>0.15</v>
      </c>
      <c r="E375" s="3475">
        <v>0.15</v>
      </c>
      <c r="F375" s="3475">
        <v>0.13</v>
      </c>
      <c r="G375" s="3476">
        <v>0.15</v>
      </c>
    </row>
    <row r="376" spans="1:7">
      <c r="A376" s="3485" t="s">
        <v>3165</v>
      </c>
      <c r="B376" s="3474" t="s">
        <v>1126</v>
      </c>
      <c r="C376" s="3475">
        <v>0.15</v>
      </c>
      <c r="D376" s="3475">
        <v>0.15</v>
      </c>
      <c r="E376" s="3475">
        <v>0.15</v>
      </c>
      <c r="F376" s="3475">
        <v>0.14199999999999999</v>
      </c>
      <c r="G376" s="3476">
        <v>0.15</v>
      </c>
    </row>
    <row r="377" spans="1:7" ht="15" thickBot="1">
      <c r="A377" s="3488" t="s">
        <v>3165</v>
      </c>
      <c r="B377" s="3478" t="s">
        <v>3016</v>
      </c>
      <c r="C377" s="3479">
        <v>0.15</v>
      </c>
      <c r="D377" s="3479">
        <v>0.15</v>
      </c>
      <c r="E377" s="3479">
        <v>0.15</v>
      </c>
      <c r="F377" s="3479">
        <v>0.14000000000000001</v>
      </c>
      <c r="G377" s="3481">
        <v>0.15</v>
      </c>
    </row>
    <row r="378" spans="1:7">
      <c r="A378" s="3484" t="s">
        <v>3175</v>
      </c>
      <c r="B378" s="3470" t="s">
        <v>3176</v>
      </c>
      <c r="C378" s="3471">
        <v>0.15</v>
      </c>
      <c r="D378" s="3471">
        <v>0.15</v>
      </c>
      <c r="E378" s="3471">
        <v>0.15</v>
      </c>
      <c r="F378" s="3471">
        <v>0.107</v>
      </c>
      <c r="G378" s="3472">
        <v>0.15</v>
      </c>
    </row>
    <row r="379" spans="1:7">
      <c r="A379" s="3485" t="s">
        <v>3175</v>
      </c>
      <c r="B379" s="3474" t="s">
        <v>3177</v>
      </c>
      <c r="C379" s="3475">
        <v>0.15</v>
      </c>
      <c r="D379" s="3475">
        <v>0.15</v>
      </c>
      <c r="E379" s="3475">
        <v>0.15</v>
      </c>
      <c r="F379" s="3475">
        <v>0.115</v>
      </c>
      <c r="G379" s="3476">
        <v>0.14899999999999999</v>
      </c>
    </row>
    <row r="380" spans="1:7">
      <c r="A380" s="3485" t="s">
        <v>3178</v>
      </c>
      <c r="B380" s="3474" t="s">
        <v>3179</v>
      </c>
      <c r="C380" s="3475">
        <v>0.15</v>
      </c>
      <c r="D380" s="3475">
        <v>0.15</v>
      </c>
      <c r="E380" s="3475">
        <v>0.15</v>
      </c>
      <c r="F380" s="3475">
        <v>0.1</v>
      </c>
      <c r="G380" s="3476">
        <v>0.14799999999999999</v>
      </c>
    </row>
    <row r="381" spans="1:7">
      <c r="A381" s="3485" t="s">
        <v>3178</v>
      </c>
      <c r="B381" s="3474" t="s">
        <v>3180</v>
      </c>
      <c r="C381" s="3475">
        <v>0.15</v>
      </c>
      <c r="D381" s="3475">
        <v>0.15</v>
      </c>
      <c r="E381" s="3475">
        <v>0.15</v>
      </c>
      <c r="F381" s="3475">
        <v>0.126</v>
      </c>
      <c r="G381" s="3476">
        <v>0.15</v>
      </c>
    </row>
    <row r="382" spans="1:7">
      <c r="A382" s="3485" t="s">
        <v>3178</v>
      </c>
      <c r="B382" s="3474" t="s">
        <v>3181</v>
      </c>
      <c r="C382" s="3475">
        <v>0.15</v>
      </c>
      <c r="D382" s="3475">
        <v>0.15</v>
      </c>
      <c r="E382" s="3475">
        <v>0.15</v>
      </c>
      <c r="F382" s="3475">
        <v>0.15</v>
      </c>
      <c r="G382" s="3476">
        <v>0.15</v>
      </c>
    </row>
    <row r="383" spans="1:7">
      <c r="A383" s="3485" t="s">
        <v>3178</v>
      </c>
      <c r="B383" s="3474" t="s">
        <v>3182</v>
      </c>
      <c r="C383" s="3475">
        <v>0.15</v>
      </c>
      <c r="D383" s="3475">
        <v>0.15</v>
      </c>
      <c r="E383" s="3475">
        <v>0.15</v>
      </c>
      <c r="F383" s="3475">
        <v>0.14699999999999999</v>
      </c>
      <c r="G383" s="3476">
        <v>0.15</v>
      </c>
    </row>
    <row r="384" spans="1:7" ht="15" thickBot="1">
      <c r="A384" s="3495" t="s">
        <v>3178</v>
      </c>
      <c r="B384" s="3496" t="s">
        <v>3183</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4020" t="s">
        <v>1858</v>
      </c>
      <c r="C1" s="4020"/>
      <c r="D1" s="4020"/>
      <c r="E1" s="4020"/>
      <c r="F1" s="4020"/>
      <c r="G1" s="4019" t="s">
        <v>1859</v>
      </c>
      <c r="H1" s="4019"/>
      <c r="I1" s="4019"/>
      <c r="J1" s="4019"/>
      <c r="K1" s="4019"/>
      <c r="L1" s="4019"/>
      <c r="N1" s="4019" t="s">
        <v>1860</v>
      </c>
      <c r="O1" s="4019"/>
      <c r="P1" s="4019"/>
      <c r="Q1" s="4019"/>
      <c r="S1" s="4019" t="s">
        <v>1861</v>
      </c>
      <c r="T1" s="4019"/>
      <c r="U1" s="4019"/>
      <c r="V1" s="4019"/>
      <c r="X1" s="4018" t="s">
        <v>1921</v>
      </c>
      <c r="Y1" s="4019"/>
      <c r="Z1" s="4019"/>
      <c r="AA1" s="4019"/>
      <c r="AB1" s="4019"/>
      <c r="AD1" s="4018" t="s">
        <v>1925</v>
      </c>
      <c r="AE1" s="4019"/>
      <c r="AF1" s="4019"/>
      <c r="AG1" s="4019"/>
      <c r="AH1" s="4019"/>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4022">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4022"/>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4022"/>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4028"/>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4027">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022"/>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4022"/>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4028"/>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27">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022"/>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4022"/>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4023"/>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4021">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022"/>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4022"/>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4023"/>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4021">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022"/>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4022"/>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4023"/>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4024">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25"/>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4025"/>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026"/>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4021">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4022"/>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4022"/>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4023"/>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4021">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022">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4022">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4023">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4021">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022">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4022">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4023">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4021">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022">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4022">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4023">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4021">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022">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4022">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4023">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4021">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022">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4022">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4023">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4021">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022">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4022">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4023">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4021">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022">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4022">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4023">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4021">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022">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4022">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4023">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4021">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4022">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4022">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4023">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4021">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4022">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4022">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4023">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400">
        <f>'基准地价-住宅'!G23</f>
        <v>45833</v>
      </c>
      <c r="B1" s="3348" t="s">
        <v>3264</v>
      </c>
      <c r="C1" s="3349"/>
      <c r="D1" s="3349"/>
      <c r="E1" s="3349"/>
      <c r="F1" s="3349"/>
      <c r="G1" s="3349"/>
      <c r="H1" s="3349"/>
      <c r="I1" s="3349"/>
      <c r="J1" s="3350"/>
      <c r="K1" s="3349" t="s">
        <v>2789</v>
      </c>
      <c r="L1" s="3349"/>
      <c r="M1" s="3349"/>
      <c r="N1" s="3349"/>
      <c r="O1" s="3349"/>
      <c r="P1" s="3349"/>
      <c r="Q1" s="3350"/>
      <c r="R1" s="4029" t="s">
        <v>2797</v>
      </c>
      <c r="S1" s="4030"/>
      <c r="T1" s="4030"/>
      <c r="U1" s="4030"/>
      <c r="V1" s="4030"/>
      <c r="W1" s="4030"/>
      <c r="X1" s="3350"/>
      <c r="Y1" s="4029" t="s">
        <v>2808</v>
      </c>
      <c r="Z1" s="4030"/>
      <c r="AA1" s="4030"/>
      <c r="AB1" s="4030"/>
      <c r="AC1" s="4030"/>
      <c r="AD1" s="4030"/>
    </row>
    <row r="2" spans="1:44" ht="15" thickBot="1">
      <c r="A2" s="3341"/>
      <c r="B2" s="3351"/>
      <c r="C2" s="3352"/>
      <c r="D2" s="3353" t="s">
        <v>2791</v>
      </c>
      <c r="E2" s="3354" t="s">
        <v>2792</v>
      </c>
      <c r="F2" s="3354" t="s">
        <v>2793</v>
      </c>
      <c r="G2" s="3354" t="s">
        <v>2794</v>
      </c>
      <c r="H2" s="3354" t="s">
        <v>2795</v>
      </c>
      <c r="I2" s="3354" t="s">
        <v>2737</v>
      </c>
      <c r="J2" s="3355"/>
      <c r="K2" s="3353" t="s">
        <v>2791</v>
      </c>
      <c r="L2" s="3354" t="s">
        <v>2792</v>
      </c>
      <c r="M2" s="3354" t="s">
        <v>2793</v>
      </c>
      <c r="N2" s="3354" t="s">
        <v>2794</v>
      </c>
      <c r="O2" s="3354" t="s">
        <v>2795</v>
      </c>
      <c r="P2" s="3354" t="s">
        <v>2737</v>
      </c>
      <c r="Q2" s="3355"/>
      <c r="R2" s="3353" t="s">
        <v>2798</v>
      </c>
      <c r="S2" s="3354" t="s">
        <v>2799</v>
      </c>
      <c r="T2" s="3354" t="s">
        <v>2800</v>
      </c>
      <c r="U2" s="3354" t="s">
        <v>2801</v>
      </c>
      <c r="V2" s="3354" t="s">
        <v>2802</v>
      </c>
      <c r="W2" s="3354" t="s">
        <v>2803</v>
      </c>
      <c r="X2" s="3355"/>
      <c r="Y2" s="3353" t="s">
        <v>2791</v>
      </c>
      <c r="Z2" s="3354" t="s">
        <v>1470</v>
      </c>
      <c r="AA2" s="3354" t="s">
        <v>2809</v>
      </c>
      <c r="AB2" s="3354" t="s">
        <v>1469</v>
      </c>
      <c r="AC2" s="3354" t="s">
        <v>2795</v>
      </c>
      <c r="AD2" s="3354" t="s">
        <v>2454</v>
      </c>
      <c r="AF2" t="s">
        <v>3312</v>
      </c>
      <c r="AG2" t="s">
        <v>2738</v>
      </c>
      <c r="AH2" t="s">
        <v>1212</v>
      </c>
      <c r="AI2" t="s">
        <v>851</v>
      </c>
      <c r="AJ2" t="s">
        <v>905</v>
      </c>
      <c r="AK2" t="s">
        <v>2736</v>
      </c>
      <c r="AM2" t="s">
        <v>3312</v>
      </c>
      <c r="AN2" t="s">
        <v>2738</v>
      </c>
      <c r="AO2" t="s">
        <v>1212</v>
      </c>
      <c r="AP2" t="s">
        <v>851</v>
      </c>
      <c r="AQ2" t="s">
        <v>905</v>
      </c>
      <c r="AR2" t="s">
        <v>2736</v>
      </c>
    </row>
    <row r="3" spans="1:44">
      <c r="A3" s="3342" t="s">
        <v>2780</v>
      </c>
      <c r="B3" s="3356"/>
      <c r="C3" s="3357"/>
      <c r="D3" s="3357">
        <f>ROUND(AVERAGEIF(D4:D24,"&lt;&gt;0"),2)</f>
        <v>0.39</v>
      </c>
      <c r="E3" s="3357">
        <f>ROUND(AVERAGEIF(E4:E24,"&lt;&gt;0"),2)</f>
        <v>0.21</v>
      </c>
      <c r="F3" s="3357">
        <f>ROUND(AVERAGEIF(F4:F24,"&lt;&gt;0"),2)</f>
        <v>-0.06</v>
      </c>
      <c r="G3" s="3357">
        <f>ROUND(AVERAGEIF(G4:G24,"&lt;&gt;0"),2)</f>
        <v>0.46</v>
      </c>
      <c r="H3" s="3357">
        <f>ROUND(AVERAGEIF(H4:H24,"&lt;&gt;0"),2)</f>
        <v>0.51</v>
      </c>
      <c r="I3" s="3357">
        <f>F3</f>
        <v>-0.06</v>
      </c>
      <c r="J3" s="3358"/>
      <c r="K3" s="3359">
        <f>ROUND(AVERAGEIF(K4:K24,"&lt;&gt;0"),4)</f>
        <v>3.8999999999999998E-3</v>
      </c>
      <c r="L3" s="3360">
        <f>ROUND(AVERAGEIF(L4:L24,"&lt;&gt;0"),4)</f>
        <v>2.0999999999999999E-3</v>
      </c>
      <c r="M3" s="3360">
        <f>ROUND(AVERAGEIF(M4:M24,"&lt;&gt;0"),4)</f>
        <v>-5.9999999999999995E-4</v>
      </c>
      <c r="N3" s="3360">
        <f>ROUND(AVERAGEIF(N4:N24,"&lt;&gt;0"),4)</f>
        <v>4.5999999999999999E-3</v>
      </c>
      <c r="O3" s="3360">
        <f>ROUND(AVERAGEIF(O4:O24,"&lt;&gt;0"),4)</f>
        <v>5.1000000000000004E-3</v>
      </c>
      <c r="P3" s="3360">
        <f>M3</f>
        <v>-5.9999999999999995E-4</v>
      </c>
      <c r="Q3" s="3358"/>
      <c r="R3" s="3375">
        <f>ROUND(SUMPRODUCT(PRODUCT(1+K4:K24)),4)</f>
        <v>1.0674999999999999</v>
      </c>
      <c r="S3" s="3376">
        <f>ROUND(SUMPRODUCT(PRODUCT(1+L4:L24)),4)</f>
        <v>1.0355000000000001</v>
      </c>
      <c r="T3" s="3376">
        <f>ROUND(SUMPRODUCT(PRODUCT(1+M4:M24)),4)</f>
        <v>0.98880000000000001</v>
      </c>
      <c r="U3" s="3376">
        <f>ROUND(SUMPRODUCT(PRODUCT(1+N4:N24)),4)</f>
        <v>1.0798000000000001</v>
      </c>
      <c r="V3" s="3376">
        <f>ROUND(SUMPRODUCT(PRODUCT(1+O4:O24)),4)</f>
        <v>1.0911</v>
      </c>
      <c r="W3" s="3375">
        <f>T3</f>
        <v>0.98880000000000001</v>
      </c>
      <c r="X3" s="3358"/>
      <c r="Y3" s="3383">
        <f>ROUND(AVERAGEIF(Y11:Y24,"&lt;&gt;0"),4)</f>
        <v>8.0999999999999996E-3</v>
      </c>
      <c r="Z3" s="3384">
        <f>ROUND(AVERAGEIF(Z11:Z24,"&lt;&gt;0"),4)</f>
        <v>3.7000000000000002E-3</v>
      </c>
      <c r="AA3" s="3385">
        <f>ROUND(AVERAGEIF(AA11:AA24,"&lt;&gt;0"),4)</f>
        <v>1.2999999999999999E-3</v>
      </c>
      <c r="AB3" s="3383">
        <f>ROUND(AVERAGEIF(AB11:AB24,"&lt;&gt;0"),4)</f>
        <v>8.8000000000000005E-3</v>
      </c>
      <c r="AC3" s="3386">
        <f>ROUND(AVERAGEIF(AC11:AC24,"&lt;&gt;0"),4)</f>
        <v>6.1999999999999998E-3</v>
      </c>
      <c r="AD3" s="3383">
        <f>AA3</f>
        <v>1.2999999999999999E-3</v>
      </c>
    </row>
    <row r="4" spans="1:44">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44">
      <c r="A5" s="3663" t="s">
        <v>3314</v>
      </c>
      <c r="B5" s="3403">
        <v>2025</v>
      </c>
      <c r="C5" s="3404">
        <v>4</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 t="shared" ref="P5:P11" si="6">M5</f>
        <v>0</v>
      </c>
      <c r="Q5" s="3365"/>
      <c r="R5" s="3381">
        <f>ROUND(IF(项目基本情况!$B$8="出让",SUMPRODUCT(PRODUCT(1+K5:$K$24)),SUMPRODUCT(PRODUCT(1+K5:$K$23))),4)</f>
        <v>1.0674999999999999</v>
      </c>
      <c r="S5" s="3381">
        <f>ROUND(IF(项目基本情况!$B$8="出让",SUMPRODUCT(PRODUCT(1+L5:$L$24)),SUMPRODUCT(PRODUCT(1+L5:$L$23))),4)</f>
        <v>1.0355000000000001</v>
      </c>
      <c r="T5" s="3381">
        <f>ROUND(IF(项目基本情况!$B$8="出让",SUMPRODUCT(PRODUCT(1+M5:$M$24)),SUMPRODUCT(PRODUCT(1+M5:$M$23))),4)</f>
        <v>0.98880000000000001</v>
      </c>
      <c r="U5" s="3381">
        <f>ROUND(IF(项目基本情况!$B$8="出让",SUMPRODUCT(PRODUCT(1+N5:$N$24)),SUMPRODUCT(PRODUCT(1+N5:$N$23))),4)</f>
        <v>1.0798000000000001</v>
      </c>
      <c r="V5" s="3381">
        <f>ROUND(IF(项目基本情况!$B$8="出让",SUMPRODUCT(PRODUCT(1+O5:$O$24)),SUMPRODUCT(PRODUCT(1+O5:$O$23))),4)</f>
        <v>1.0911</v>
      </c>
      <c r="W5" s="3381">
        <f t="shared" ref="W5:W11" si="7">T5</f>
        <v>0.98880000000000001</v>
      </c>
      <c r="X5" s="3365"/>
      <c r="Y5" s="3390">
        <f t="shared" ref="Y5" si="8">IF(D5=0,0,ROUND(AVERAGE(D5:D18)/100,4))</f>
        <v>0</v>
      </c>
      <c r="Z5" s="3390">
        <f t="shared" ref="Z5" si="9">IF(E5=0,0,ROUND(AVERAGE(E5:E18)/100,4))</f>
        <v>0</v>
      </c>
      <c r="AA5" s="3390">
        <f t="shared" ref="AA5" si="10">IF(F5=0,0,ROUND(AVERAGE(F5:F18)/100,4))</f>
        <v>0</v>
      </c>
      <c r="AB5" s="3390">
        <f t="shared" ref="AB5" si="11">IF(G5=0,0,ROUND(AVERAGE(G5:G18)/100,4))</f>
        <v>0</v>
      </c>
      <c r="AC5" s="3390">
        <f t="shared" ref="AC5" si="12">IF(H5=0,0,ROUND(AVERAGE(H5:H18)/100,4))</f>
        <v>0</v>
      </c>
      <c r="AD5" s="3390">
        <f t="shared" ref="AD5" si="13">AA5</f>
        <v>0</v>
      </c>
      <c r="AF5" s="3680">
        <f t="shared" ref="AF5" si="14">$AF$24*R5</f>
        <v>106.74999999999999</v>
      </c>
      <c r="AG5" s="3680">
        <f t="shared" ref="AG5" si="15">$AG$24*S5</f>
        <v>103.55000000000001</v>
      </c>
      <c r="AH5" s="3680">
        <f t="shared" ref="AH5" si="16">$AH$24*T5</f>
        <v>98.88</v>
      </c>
      <c r="AI5" s="3680">
        <f t="shared" ref="AI5" si="17">$AI$24*U5</f>
        <v>107.98</v>
      </c>
      <c r="AJ5" s="3680">
        <f t="shared" ref="AJ5" si="18">$AJ$24*V5</f>
        <v>109.11</v>
      </c>
      <c r="AK5" s="3680">
        <f t="shared" ref="AK5" si="19">$AK$24*W5</f>
        <v>98.88</v>
      </c>
      <c r="AM5" s="3679">
        <v>100</v>
      </c>
      <c r="AN5" s="3679">
        <v>100</v>
      </c>
      <c r="AO5" s="3679">
        <v>100</v>
      </c>
      <c r="AP5" s="3679">
        <v>100</v>
      </c>
      <c r="AQ5" s="3679">
        <v>100</v>
      </c>
      <c r="AR5" s="3679">
        <v>100</v>
      </c>
    </row>
    <row r="6" spans="1:44">
      <c r="A6" s="3663" t="s">
        <v>3313</v>
      </c>
      <c r="B6" s="3403">
        <v>2025</v>
      </c>
      <c r="C6" s="3404">
        <v>3</v>
      </c>
      <c r="D6" s="3404">
        <v>0</v>
      </c>
      <c r="E6" s="3404">
        <v>0</v>
      </c>
      <c r="F6" s="3404">
        <v>0</v>
      </c>
      <c r="G6" s="3404">
        <v>0</v>
      </c>
      <c r="H6" s="3404">
        <v>0</v>
      </c>
      <c r="I6" s="3405">
        <f t="shared" ref="I6" si="20">F6</f>
        <v>0</v>
      </c>
      <c r="J6" s="3365"/>
      <c r="K6" s="3366">
        <f t="shared" ref="K6" si="21">D6/100</f>
        <v>0</v>
      </c>
      <c r="L6" s="3367">
        <f t="shared" ref="L6" si="22">E6/100</f>
        <v>0</v>
      </c>
      <c r="M6" s="3367">
        <f t="shared" ref="M6" si="23">F6/100</f>
        <v>0</v>
      </c>
      <c r="N6" s="3367">
        <f t="shared" ref="N6" si="24">G6/100</f>
        <v>0</v>
      </c>
      <c r="O6" s="3367">
        <f t="shared" ref="O6" si="25">H6/100</f>
        <v>0</v>
      </c>
      <c r="P6" s="3367">
        <f t="shared" si="6"/>
        <v>0</v>
      </c>
      <c r="Q6" s="3365"/>
      <c r="R6" s="3381">
        <f>ROUND(IF(项目基本情况!$B$8="出让",SUMPRODUCT(PRODUCT(1+K6:$K$24)),SUMPRODUCT(PRODUCT(1+K6:$K$23))),4)</f>
        <v>1.0674999999999999</v>
      </c>
      <c r="S6" s="3381">
        <f>ROUND(IF(项目基本情况!$B$8="出让",SUMPRODUCT(PRODUCT(1+L6:$L$24)),SUMPRODUCT(PRODUCT(1+L6:$L$23))),4)</f>
        <v>1.0355000000000001</v>
      </c>
      <c r="T6" s="3381">
        <f>ROUND(IF(项目基本情况!$B$8="出让",SUMPRODUCT(PRODUCT(1+M6:$M$24)),SUMPRODUCT(PRODUCT(1+M6:$M$23))),4)</f>
        <v>0.98880000000000001</v>
      </c>
      <c r="U6" s="3381">
        <f>ROUND(IF(项目基本情况!$B$8="出让",SUMPRODUCT(PRODUCT(1+N6:$N$24)),SUMPRODUCT(PRODUCT(1+N6:$N$23))),4)</f>
        <v>1.0798000000000001</v>
      </c>
      <c r="V6" s="3381">
        <f>ROUND(IF(项目基本情况!$B$8="出让",SUMPRODUCT(PRODUCT(1+O6:$O$24)),SUMPRODUCT(PRODUCT(1+O6:$O$23))),4)</f>
        <v>1.0911</v>
      </c>
      <c r="W6" s="3381">
        <f t="shared" si="7"/>
        <v>0.98880000000000001</v>
      </c>
      <c r="X6" s="3365"/>
      <c r="Y6" s="3390">
        <f t="shared" ref="Y6" si="26">IF(D6=0,0,ROUND(AVERAGE(D6:D19)/100,4))</f>
        <v>0</v>
      </c>
      <c r="Z6" s="3390">
        <f t="shared" ref="Z6" si="27">IF(E6=0,0,ROUND(AVERAGE(E6:E19)/100,4))</f>
        <v>0</v>
      </c>
      <c r="AA6" s="3390">
        <f t="shared" ref="AA6" si="28">IF(F6=0,0,ROUND(AVERAGE(F6:F19)/100,4))</f>
        <v>0</v>
      </c>
      <c r="AB6" s="3390">
        <f t="shared" ref="AB6" si="29">IF(G6=0,0,ROUND(AVERAGE(G6:G19)/100,4))</f>
        <v>0</v>
      </c>
      <c r="AC6" s="3390">
        <f t="shared" ref="AC6" si="30">IF(H6=0,0,ROUND(AVERAGE(H6:H19)/100,4))</f>
        <v>0</v>
      </c>
      <c r="AD6" s="3390">
        <f t="shared" ref="AD6" si="31">AA6</f>
        <v>0</v>
      </c>
      <c r="AF6" s="3680">
        <f t="shared" ref="AF6" si="32">$AF$24*R6</f>
        <v>106.74999999999999</v>
      </c>
      <c r="AG6" s="3680">
        <f t="shared" ref="AG6" si="33">$AG$24*S6</f>
        <v>103.55000000000001</v>
      </c>
      <c r="AH6" s="3680">
        <f t="shared" ref="AH6" si="34">$AH$24*T6</f>
        <v>98.88</v>
      </c>
      <c r="AI6" s="3680">
        <f t="shared" ref="AI6" si="35">$AI$24*U6</f>
        <v>107.98</v>
      </c>
      <c r="AJ6" s="3680">
        <f t="shared" ref="AJ6" si="36">$AJ$24*V6</f>
        <v>109.11</v>
      </c>
      <c r="AK6" s="3680">
        <f t="shared" ref="AK6" si="37">$AK$24*W6</f>
        <v>98.88</v>
      </c>
      <c r="AM6" s="3680">
        <f>AM5/(1+D5/100)</f>
        <v>100</v>
      </c>
      <c r="AN6" s="3680">
        <f t="shared" ref="AN6:AR6" si="38">AN5/(1+E5/100)</f>
        <v>100</v>
      </c>
      <c r="AO6" s="3680">
        <f t="shared" si="38"/>
        <v>100</v>
      </c>
      <c r="AP6" s="3680">
        <f t="shared" si="38"/>
        <v>100</v>
      </c>
      <c r="AQ6" s="3680">
        <f t="shared" si="38"/>
        <v>100</v>
      </c>
      <c r="AR6" s="3680">
        <f t="shared" si="38"/>
        <v>100</v>
      </c>
    </row>
    <row r="7" spans="1:44">
      <c r="A7" s="3345" t="s">
        <v>3315</v>
      </c>
      <c r="B7" s="3406">
        <v>2025</v>
      </c>
      <c r="C7" s="3407">
        <v>2</v>
      </c>
      <c r="D7" s="3407">
        <v>0</v>
      </c>
      <c r="E7" s="3407">
        <v>0</v>
      </c>
      <c r="F7" s="3407">
        <v>0</v>
      </c>
      <c r="G7" s="3407">
        <v>0</v>
      </c>
      <c r="H7" s="3408">
        <v>0</v>
      </c>
      <c r="I7" s="3409">
        <f t="shared" ref="I7" si="39">F7</f>
        <v>0</v>
      </c>
      <c r="J7" s="3368"/>
      <c r="K7" s="3369">
        <f t="shared" ref="K7" si="40">D7/100</f>
        <v>0</v>
      </c>
      <c r="L7" s="3370">
        <f t="shared" ref="L7" si="41">E7/100</f>
        <v>0</v>
      </c>
      <c r="M7" s="3370">
        <f t="shared" ref="M7" si="42">F7/100</f>
        <v>0</v>
      </c>
      <c r="N7" s="3370">
        <f t="shared" ref="N7" si="43">G7/100</f>
        <v>0</v>
      </c>
      <c r="O7" s="3370">
        <f t="shared" ref="O7" si="44">H7/100</f>
        <v>0</v>
      </c>
      <c r="P7" s="3370">
        <f t="shared" si="6"/>
        <v>0</v>
      </c>
      <c r="Q7" s="3368"/>
      <c r="R7" s="3368">
        <f>ROUND(IF(项目基本情况!$B$8="出让",SUMPRODUCT(PRODUCT(1+K7:$K$24)),SUMPRODUCT(PRODUCT(1+K7:$K$23))),4)</f>
        <v>1.0674999999999999</v>
      </c>
      <c r="S7" s="3368">
        <f>ROUND(IF(项目基本情况!$B$8="出让",SUMPRODUCT(PRODUCT(1+L7:$L$24)),SUMPRODUCT(PRODUCT(1+L7:$L$23))),4)</f>
        <v>1.0355000000000001</v>
      </c>
      <c r="T7" s="3368">
        <f>ROUND(IF(项目基本情况!$B$8="出让",SUMPRODUCT(PRODUCT(1+M7:$M$24)),SUMPRODUCT(PRODUCT(1+M7:$M$23))),4)</f>
        <v>0.98880000000000001</v>
      </c>
      <c r="U7" s="3368">
        <f>ROUND(IF(项目基本情况!$B$8="出让",SUMPRODUCT(PRODUCT(1+N7:$N$24)),SUMPRODUCT(PRODUCT(1+N7:$N$23))),4)</f>
        <v>1.0798000000000001</v>
      </c>
      <c r="V7" s="3368">
        <f>ROUND(IF(项目基本情况!$B$8="出让",SUMPRODUCT(PRODUCT(1+O7:$O$24)),SUMPRODUCT(PRODUCT(1+O7:$O$23))),4)</f>
        <v>1.0911</v>
      </c>
      <c r="W7" s="3368">
        <f t="shared" si="7"/>
        <v>0.98880000000000001</v>
      </c>
      <c r="X7" s="3365"/>
      <c r="Y7" s="3390">
        <f t="shared" ref="Y7" si="45">IF(D7=0,0,ROUND(AVERAGE(D7:D20)/100,4))</f>
        <v>0</v>
      </c>
      <c r="Z7" s="3390">
        <f t="shared" ref="Z7" si="46">IF(E7=0,0,ROUND(AVERAGE(E7:E20)/100,4))</f>
        <v>0</v>
      </c>
      <c r="AA7" s="3390">
        <f t="shared" ref="AA7" si="47">IF(F7=0,0,ROUND(AVERAGE(F7:F20)/100,4))</f>
        <v>0</v>
      </c>
      <c r="AB7" s="3390">
        <f t="shared" ref="AB7" si="48">IF(G7=0,0,ROUND(AVERAGE(G7:G20)/100,4))</f>
        <v>0</v>
      </c>
      <c r="AC7" s="3390">
        <f t="shared" ref="AC7" si="49">IF(H7=0,0,ROUND(AVERAGE(H7:H20)/100,4))</f>
        <v>0</v>
      </c>
      <c r="AD7" s="3390">
        <f t="shared" ref="AD7" si="50">AA7</f>
        <v>0</v>
      </c>
      <c r="AF7" s="3680">
        <f t="shared" ref="AF7" si="51">$AF$24*R7</f>
        <v>106.74999999999999</v>
      </c>
      <c r="AG7" s="3680">
        <f t="shared" ref="AG7" si="52">$AG$24*S7</f>
        <v>103.55000000000001</v>
      </c>
      <c r="AH7" s="3680">
        <f t="shared" ref="AH7" si="53">$AH$24*T7</f>
        <v>98.88</v>
      </c>
      <c r="AI7" s="3680">
        <f t="shared" ref="AI7" si="54">$AI$24*U7</f>
        <v>107.98</v>
      </c>
      <c r="AJ7" s="3680">
        <f t="shared" ref="AJ7" si="55">$AJ$24*V7</f>
        <v>109.11</v>
      </c>
      <c r="AK7" s="3680">
        <f t="shared" ref="AK7" si="56">$AK$24*W7</f>
        <v>98.88</v>
      </c>
      <c r="AM7" s="3680">
        <f t="shared" ref="AM7:AM24" si="57">AM6/(1+D6/100)</f>
        <v>100</v>
      </c>
      <c r="AN7" s="3680">
        <f t="shared" ref="AN7:AN24" si="58">AN6/(1+E6/100)</f>
        <v>100</v>
      </c>
      <c r="AO7" s="3680">
        <f t="shared" ref="AO7:AO24" si="59">AO6/(1+F6/100)</f>
        <v>100</v>
      </c>
      <c r="AP7" s="3680">
        <f t="shared" ref="AP7:AP24" si="60">AP6/(1+G6/100)</f>
        <v>100</v>
      </c>
      <c r="AQ7" s="3680">
        <f t="shared" ref="AQ7:AQ24" si="61">AQ6/(1+H6/100)</f>
        <v>100</v>
      </c>
      <c r="AR7" s="3680">
        <f t="shared" ref="AR7:AR24" si="62">AR6/(1+I6/100)</f>
        <v>100</v>
      </c>
    </row>
    <row r="8" spans="1:44">
      <c r="A8" s="3663" t="s">
        <v>3261</v>
      </c>
      <c r="B8" s="3403">
        <v>2025</v>
      </c>
      <c r="C8" s="3404">
        <v>1</v>
      </c>
      <c r="D8" s="3404">
        <v>0.56999999999999995</v>
      </c>
      <c r="E8" s="3404">
        <v>-0.56999999999999995</v>
      </c>
      <c r="F8" s="3404">
        <v>-0.9</v>
      </c>
      <c r="G8" s="3404">
        <v>1.1200000000000001</v>
      </c>
      <c r="H8" s="3404">
        <v>0.42</v>
      </c>
      <c r="I8" s="3405">
        <f t="shared" ref="I8" si="63">F8</f>
        <v>-0.9</v>
      </c>
      <c r="J8" s="3365"/>
      <c r="K8" s="3366">
        <f t="shared" ref="K8" si="64">D8/100</f>
        <v>5.6999999999999993E-3</v>
      </c>
      <c r="L8" s="3367">
        <f t="shared" ref="L8" si="65">E8/100</f>
        <v>-5.6999999999999993E-3</v>
      </c>
      <c r="M8" s="3367">
        <f t="shared" ref="M8" si="66">F8/100</f>
        <v>-9.0000000000000011E-3</v>
      </c>
      <c r="N8" s="3367">
        <f t="shared" ref="N8" si="67">G8/100</f>
        <v>1.1200000000000002E-2</v>
      </c>
      <c r="O8" s="3367">
        <f t="shared" ref="O8" si="68">H8/100</f>
        <v>4.1999999999999997E-3</v>
      </c>
      <c r="P8" s="3367">
        <f t="shared" si="6"/>
        <v>-9.0000000000000011E-3</v>
      </c>
      <c r="Q8" s="3365"/>
      <c r="R8" s="3381">
        <f>ROUND(IF(项目基本情况!$B$8="出让",SUMPRODUCT(PRODUCT(1+K8:$K$24)),SUMPRODUCT(PRODUCT(1+K8:$K$23))),4)</f>
        <v>1.0674999999999999</v>
      </c>
      <c r="S8" s="3381">
        <f>ROUND(IF(项目基本情况!$B$8="出让",SUMPRODUCT(PRODUCT(1+L8:$L$24)),SUMPRODUCT(PRODUCT(1+L8:$L$23))),4)</f>
        <v>1.0355000000000001</v>
      </c>
      <c r="T8" s="3381">
        <f>ROUND(IF(项目基本情况!$B$8="出让",SUMPRODUCT(PRODUCT(1+M8:$M$24)),SUMPRODUCT(PRODUCT(1+M8:$M$23))),4)</f>
        <v>0.98880000000000001</v>
      </c>
      <c r="U8" s="3381">
        <f>ROUND(IF(项目基本情况!$B$8="出让",SUMPRODUCT(PRODUCT(1+N8:$N$24)),SUMPRODUCT(PRODUCT(1+N8:$N$23))),4)</f>
        <v>1.0798000000000001</v>
      </c>
      <c r="V8" s="3381">
        <f>ROUND(IF(项目基本情况!$B$8="出让",SUMPRODUCT(PRODUCT(1+O8:$O$24)),SUMPRODUCT(PRODUCT(1+O8:$O$23))),4)</f>
        <v>1.0911</v>
      </c>
      <c r="W8" s="3381">
        <f t="shared" si="7"/>
        <v>0.98880000000000001</v>
      </c>
      <c r="X8" s="3365"/>
      <c r="Y8" s="3390">
        <f t="shared" ref="Y8" si="69">IF(D8=0,0,ROUND(AVERAGE(D8:D21)/100,4))</f>
        <v>3.0000000000000001E-3</v>
      </c>
      <c r="Z8" s="3390">
        <f t="shared" ref="Z8" si="70">IF(E8=0,0,ROUND(AVERAGE(E8:E21)/100,4))</f>
        <v>1.6000000000000001E-3</v>
      </c>
      <c r="AA8" s="3390">
        <f t="shared" ref="AA8" si="71">IF(F8=0,0,ROUND(AVERAGE(F8:F21)/100,4))</f>
        <v>-1.1000000000000001E-3</v>
      </c>
      <c r="AB8" s="3390">
        <f t="shared" ref="AB8" si="72">IF(G8=0,0,ROUND(AVERAGE(G8:G21)/100,4))</f>
        <v>3.7000000000000002E-3</v>
      </c>
      <c r="AC8" s="3390">
        <f t="shared" ref="AC8" si="73">IF(H8=0,0,ROUND(AVERAGE(H8:H21)/100,4))</f>
        <v>4.8999999999999998E-3</v>
      </c>
      <c r="AD8" s="3390">
        <f t="shared" ref="AD8" si="74">AA8</f>
        <v>-1.1000000000000001E-3</v>
      </c>
      <c r="AF8" s="3680">
        <f t="shared" ref="AF8:AF22" si="75">$AF$24*R8</f>
        <v>106.74999999999999</v>
      </c>
      <c r="AG8" s="3680">
        <f t="shared" ref="AG8:AG22" si="76">$AG$24*S8</f>
        <v>103.55000000000001</v>
      </c>
      <c r="AH8" s="3680">
        <f t="shared" ref="AH8:AH22" si="77">$AH$24*T8</f>
        <v>98.88</v>
      </c>
      <c r="AI8" s="3680">
        <f t="shared" ref="AI8:AI22" si="78">$AI$24*U8</f>
        <v>107.98</v>
      </c>
      <c r="AJ8" s="3680">
        <f t="shared" ref="AJ8:AJ22" si="79">$AJ$24*V8</f>
        <v>109.11</v>
      </c>
      <c r="AK8" s="3680">
        <f t="shared" ref="AK8:AK22" si="80">$AK$24*W8</f>
        <v>98.88</v>
      </c>
      <c r="AM8" s="3680">
        <f t="shared" si="57"/>
        <v>100</v>
      </c>
      <c r="AN8" s="3680">
        <f t="shared" si="58"/>
        <v>100</v>
      </c>
      <c r="AO8" s="3680">
        <f t="shared" si="59"/>
        <v>100</v>
      </c>
      <c r="AP8" s="3680">
        <f t="shared" si="60"/>
        <v>100</v>
      </c>
      <c r="AQ8" s="3680">
        <f t="shared" si="61"/>
        <v>100</v>
      </c>
      <c r="AR8" s="3680">
        <f t="shared" si="62"/>
        <v>100</v>
      </c>
    </row>
    <row r="9" spans="1:44">
      <c r="A9" s="3663" t="s">
        <v>3316</v>
      </c>
      <c r="B9" s="3403">
        <v>2024</v>
      </c>
      <c r="C9" s="3404">
        <v>4</v>
      </c>
      <c r="D9" s="3404">
        <v>-1.02</v>
      </c>
      <c r="E9" s="3404">
        <v>-0.48</v>
      </c>
      <c r="F9" s="3404">
        <v>-0.75</v>
      </c>
      <c r="G9" s="3404">
        <v>-1.05</v>
      </c>
      <c r="H9" s="3404">
        <v>0.08</v>
      </c>
      <c r="I9" s="3405">
        <f t="shared" ref="I9" si="81">F9</f>
        <v>-0.75</v>
      </c>
      <c r="J9" s="3365"/>
      <c r="K9" s="3366">
        <f t="shared" ref="K9" si="82">D9/100</f>
        <v>-1.0200000000000001E-2</v>
      </c>
      <c r="L9" s="3367">
        <f t="shared" ref="L9" si="83">E9/100</f>
        <v>-4.7999999999999996E-3</v>
      </c>
      <c r="M9" s="3367">
        <f t="shared" ref="M9" si="84">F9/100</f>
        <v>-7.4999999999999997E-3</v>
      </c>
      <c r="N9" s="3367">
        <f t="shared" ref="N9" si="85">G9/100</f>
        <v>-1.0500000000000001E-2</v>
      </c>
      <c r="O9" s="3367">
        <f t="shared" ref="O9" si="86">H9/100</f>
        <v>8.0000000000000004E-4</v>
      </c>
      <c r="P9" s="3367">
        <f t="shared" si="6"/>
        <v>-7.4999999999999997E-3</v>
      </c>
      <c r="Q9" s="3365"/>
      <c r="R9" s="3381">
        <f>ROUND(IF(项目基本情况!$B$8="出让",SUMPRODUCT(PRODUCT(1+K9:$K$24)),SUMPRODUCT(PRODUCT(1+K9:$K$23))),4)</f>
        <v>1.0613999999999999</v>
      </c>
      <c r="S9" s="3381">
        <f>ROUND(IF(项目基本情况!$B$8="出让",SUMPRODUCT(PRODUCT(1+L9:$L$24)),SUMPRODUCT(PRODUCT(1+L9:$L$23))),4)</f>
        <v>1.0415000000000001</v>
      </c>
      <c r="T9" s="3381">
        <f>ROUND(IF(项目基本情况!$B$8="出让",SUMPRODUCT(PRODUCT(1+M9:$M$24)),SUMPRODUCT(PRODUCT(1+M9:$M$23))),4)</f>
        <v>0.99780000000000002</v>
      </c>
      <c r="U9" s="3381">
        <f>ROUND(IF(项目基本情况!$B$8="出让",SUMPRODUCT(PRODUCT(1+N9:$N$24)),SUMPRODUCT(PRODUCT(1+N9:$N$23))),4)</f>
        <v>1.0678000000000001</v>
      </c>
      <c r="V9" s="3381">
        <f>ROUND(IF(项目基本情况!$B$8="出让",SUMPRODUCT(PRODUCT(1+O9:$O$24)),SUMPRODUCT(PRODUCT(1+O9:$O$23))),4)</f>
        <v>1.0866</v>
      </c>
      <c r="W9" s="3381">
        <f t="shared" si="7"/>
        <v>0.99780000000000002</v>
      </c>
      <c r="X9" s="3368"/>
      <c r="Y9" s="3370">
        <f t="shared" ref="Y9" si="87">IF(D9=0,0,ROUND(AVERAGE(D9:D22)/100,4))</f>
        <v>2.8999999999999998E-3</v>
      </c>
      <c r="Z9" s="3370">
        <f t="shared" ref="Z9" si="88">IF(E9=0,0,ROUND(AVERAGE(E9:E22)/100,4))</f>
        <v>2.3E-3</v>
      </c>
      <c r="AA9" s="3370">
        <f t="shared" ref="AA9" si="89">IF(F9=0,0,ROUND(AVERAGE(F9:F22)/100,4))</f>
        <v>-2.9999999999999997E-4</v>
      </c>
      <c r="AB9" s="3370">
        <f t="shared" ref="AB9" si="90">IF(G9=0,0,ROUND(AVERAGE(G9:G22)/100,4))</f>
        <v>3.3E-3</v>
      </c>
      <c r="AC9" s="3370">
        <f t="shared" ref="AC9" si="91">IF(H9=0,0,ROUND(AVERAGE(H9:H22)/100,4))</f>
        <v>5.0000000000000001E-3</v>
      </c>
      <c r="AD9" s="3370">
        <f t="shared" ref="AD9" si="92">AA9</f>
        <v>-2.9999999999999997E-4</v>
      </c>
      <c r="AF9" s="3680">
        <f t="shared" si="75"/>
        <v>106.13999999999999</v>
      </c>
      <c r="AG9" s="3680">
        <f t="shared" si="76"/>
        <v>104.15</v>
      </c>
      <c r="AH9" s="3680">
        <f t="shared" si="77"/>
        <v>99.78</v>
      </c>
      <c r="AI9" s="3680">
        <f t="shared" si="78"/>
        <v>106.78</v>
      </c>
      <c r="AJ9" s="3680">
        <f t="shared" si="79"/>
        <v>108.66</v>
      </c>
      <c r="AK9" s="3680">
        <f t="shared" si="80"/>
        <v>99.78</v>
      </c>
      <c r="AM9" s="3680">
        <f t="shared" si="57"/>
        <v>99.433230585661718</v>
      </c>
      <c r="AN9" s="3680">
        <f t="shared" si="58"/>
        <v>100.57326762546515</v>
      </c>
      <c r="AO9" s="3680">
        <f t="shared" si="59"/>
        <v>100.90817356205852</v>
      </c>
      <c r="AP9" s="3680">
        <f t="shared" si="60"/>
        <v>98.892405063291136</v>
      </c>
      <c r="AQ9" s="3680">
        <f t="shared" si="61"/>
        <v>99.581756622186816</v>
      </c>
      <c r="AR9" s="3680">
        <f t="shared" si="62"/>
        <v>100.90817356205852</v>
      </c>
    </row>
    <row r="10" spans="1:44">
      <c r="A10" s="3663" t="s">
        <v>3256</v>
      </c>
      <c r="B10" s="3403">
        <v>2024</v>
      </c>
      <c r="C10" s="3404">
        <v>3</v>
      </c>
      <c r="D10" s="3404">
        <v>-1.19</v>
      </c>
      <c r="E10" s="3404">
        <v>-0.47</v>
      </c>
      <c r="F10" s="3404">
        <v>-0.28999999999999998</v>
      </c>
      <c r="G10" s="3404">
        <v>-0.74</v>
      </c>
      <c r="H10" s="3404">
        <v>-0.21</v>
      </c>
      <c r="I10" s="3405">
        <f t="shared" ref="I10" si="93">F10</f>
        <v>-0.28999999999999998</v>
      </c>
      <c r="J10" s="3365"/>
      <c r="K10" s="3366">
        <f t="shared" ref="K10" si="94">D10/100</f>
        <v>-1.1899999999999999E-2</v>
      </c>
      <c r="L10" s="3367">
        <f t="shared" ref="L10" si="95">E10/100</f>
        <v>-4.6999999999999993E-3</v>
      </c>
      <c r="M10" s="3367">
        <f t="shared" ref="M10" si="96">F10/100</f>
        <v>-2.8999999999999998E-3</v>
      </c>
      <c r="N10" s="3367">
        <f t="shared" ref="N10" si="97">G10/100</f>
        <v>-7.4000000000000003E-3</v>
      </c>
      <c r="O10" s="3367">
        <f t="shared" ref="O10" si="98">H10/100</f>
        <v>-2.0999999999999999E-3</v>
      </c>
      <c r="P10" s="3367">
        <f t="shared" si="6"/>
        <v>-2.8999999999999998E-3</v>
      </c>
      <c r="Q10" s="3365"/>
      <c r="R10" s="3381">
        <f>ROUND(IF(项目基本情况!$B$8="出让",SUMPRODUCT(PRODUCT(1+K10:$K$24)),SUMPRODUCT(PRODUCT(1+K10:$K$23))),4)</f>
        <v>1.0723</v>
      </c>
      <c r="S10" s="3381">
        <f>ROUND(IF(项目基本情况!$B$8="出让",SUMPRODUCT(PRODUCT(1+L10:$L$24)),SUMPRODUCT(PRODUCT(1+L10:$L$23))),4)</f>
        <v>1.0465</v>
      </c>
      <c r="T10" s="3381">
        <f>ROUND(IF(项目基本情况!$B$8="出让",SUMPRODUCT(PRODUCT(1+M10:$M$24)),SUMPRODUCT(PRODUCT(1+M10:$M$23))),4)</f>
        <v>1.0054000000000001</v>
      </c>
      <c r="U10" s="3381">
        <f>ROUND(IF(项目基本情况!$B$8="出让",SUMPRODUCT(PRODUCT(1+N10:$N$24)),SUMPRODUCT(PRODUCT(1+N10:$N$23))),4)</f>
        <v>1.0790999999999999</v>
      </c>
      <c r="V10" s="3381">
        <f>ROUND(IF(项目基本情况!$B$8="出让",SUMPRODUCT(PRODUCT(1+O10:$O$24)),SUMPRODUCT(PRODUCT(1+O10:$O$23))),4)</f>
        <v>1.0857000000000001</v>
      </c>
      <c r="W10" s="3381">
        <f t="shared" si="7"/>
        <v>1.0054000000000001</v>
      </c>
      <c r="X10" s="3365"/>
      <c r="Y10" s="3390">
        <f t="shared" ref="Y10:AC11" si="99">IF(D10=0,0,ROUND(AVERAGE(D10:D23)/100,4))</f>
        <v>4.3E-3</v>
      </c>
      <c r="Z10" s="3390">
        <f t="shared" si="99"/>
        <v>3.0999999999999999E-3</v>
      </c>
      <c r="AA10" s="3390">
        <f t="shared" si="99"/>
        <v>5.9999999999999995E-4</v>
      </c>
      <c r="AB10" s="3390">
        <f t="shared" si="99"/>
        <v>4.7000000000000002E-3</v>
      </c>
      <c r="AC10" s="3390">
        <f t="shared" si="99"/>
        <v>5.5999999999999999E-3</v>
      </c>
      <c r="AD10" s="3390">
        <f t="shared" ref="AD10" si="100">AA10</f>
        <v>5.9999999999999995E-4</v>
      </c>
      <c r="AF10" s="3680">
        <f t="shared" si="75"/>
        <v>107.23</v>
      </c>
      <c r="AG10" s="3680">
        <f t="shared" si="76"/>
        <v>104.65</v>
      </c>
      <c r="AH10" s="3680">
        <f t="shared" si="77"/>
        <v>100.54</v>
      </c>
      <c r="AI10" s="3680">
        <f t="shared" si="78"/>
        <v>107.91</v>
      </c>
      <c r="AJ10" s="3680">
        <f t="shared" si="79"/>
        <v>108.57000000000001</v>
      </c>
      <c r="AK10" s="3680">
        <f t="shared" si="80"/>
        <v>100.54</v>
      </c>
      <c r="AM10" s="3680">
        <f t="shared" si="57"/>
        <v>100.45790117767399</v>
      </c>
      <c r="AN10" s="3680">
        <f t="shared" si="58"/>
        <v>101.05834769439826</v>
      </c>
      <c r="AO10" s="3680">
        <f t="shared" si="59"/>
        <v>101.670703840865</v>
      </c>
      <c r="AP10" s="3680">
        <f t="shared" si="60"/>
        <v>99.941793899233076</v>
      </c>
      <c r="AQ10" s="3680">
        <f t="shared" si="61"/>
        <v>99.502154898268216</v>
      </c>
      <c r="AR10" s="3680">
        <f t="shared" si="62"/>
        <v>101.670703840865</v>
      </c>
    </row>
    <row r="11" spans="1:44">
      <c r="A11" s="3344" t="s">
        <v>3262</v>
      </c>
      <c r="B11" s="3403">
        <v>2024</v>
      </c>
      <c r="C11" s="3404">
        <v>2</v>
      </c>
      <c r="D11" s="3404">
        <v>-0.59</v>
      </c>
      <c r="E11" s="3404">
        <v>-0.21</v>
      </c>
      <c r="F11" s="3404">
        <v>-1.38</v>
      </c>
      <c r="G11" s="3404">
        <v>-1.24</v>
      </c>
      <c r="H11" s="3410">
        <v>0.34</v>
      </c>
      <c r="I11" s="3405">
        <f t="shared" ref="I11:I24" si="101">F11</f>
        <v>-1.38</v>
      </c>
      <c r="J11" s="3365"/>
      <c r="K11" s="3366">
        <f t="shared" ref="K11:O24" si="102">D11/100</f>
        <v>-5.8999999999999999E-3</v>
      </c>
      <c r="L11" s="3367">
        <f t="shared" si="102"/>
        <v>-2.0999999999999999E-3</v>
      </c>
      <c r="M11" s="3367">
        <f t="shared" si="102"/>
        <v>-1.38E-2</v>
      </c>
      <c r="N11" s="3367">
        <f t="shared" si="102"/>
        <v>-1.24E-2</v>
      </c>
      <c r="O11" s="3367">
        <f t="shared" si="102"/>
        <v>3.4000000000000002E-3</v>
      </c>
      <c r="P11" s="3367">
        <f t="shared" si="6"/>
        <v>-1.38E-2</v>
      </c>
      <c r="Q11" s="3365"/>
      <c r="R11" s="3381">
        <f>ROUND(IF(项目基本情况!$B$8="出让",SUMPRODUCT(PRODUCT(1+K11:$K$24)),SUMPRODUCT(PRODUCT(1+K11:$K$23))),4)</f>
        <v>1.0852999999999999</v>
      </c>
      <c r="S11" s="3381">
        <f>ROUND(IF(项目基本情况!$B$8="出让",SUMPRODUCT(PRODUCT(1+L11:$L$24)),SUMPRODUCT(PRODUCT(1+L11:$L$23))),4)</f>
        <v>1.0513999999999999</v>
      </c>
      <c r="T11" s="3381">
        <f>ROUND(IF(项目基本情况!$B$8="出让",SUMPRODUCT(PRODUCT(1+M11:$M$24)),SUMPRODUCT(PRODUCT(1+M11:$M$23))),4)</f>
        <v>1.0083</v>
      </c>
      <c r="U11" s="3381">
        <f>ROUND(IF(项目基本情况!$B$8="出让",SUMPRODUCT(PRODUCT(1+N11:$N$24)),SUMPRODUCT(PRODUCT(1+N11:$N$23))),4)</f>
        <v>1.0871999999999999</v>
      </c>
      <c r="V11" s="3381">
        <f>ROUND(IF(项目基本情况!$B$8="出让",SUMPRODUCT(PRODUCT(1+O11:$O$24)),SUMPRODUCT(PRODUCT(1+O11:$O$23))),4)</f>
        <v>1.0880000000000001</v>
      </c>
      <c r="W11" s="3381">
        <f t="shared" si="7"/>
        <v>1.0083</v>
      </c>
      <c r="X11" s="3365"/>
      <c r="Y11" s="3390">
        <f t="shared" si="99"/>
        <v>5.8999999999999999E-3</v>
      </c>
      <c r="Z11" s="3390">
        <f t="shared" si="99"/>
        <v>3.5999999999999999E-3</v>
      </c>
      <c r="AA11" s="3390">
        <f t="shared" si="99"/>
        <v>5.9999999999999995E-4</v>
      </c>
      <c r="AB11" s="3390">
        <f t="shared" si="99"/>
        <v>6.0000000000000001E-3</v>
      </c>
      <c r="AC11" s="3390">
        <f t="shared" si="99"/>
        <v>6.0000000000000001E-3</v>
      </c>
      <c r="AD11" s="3390">
        <f t="shared" ref="AD11:AD23" si="103">AA11</f>
        <v>5.9999999999999995E-4</v>
      </c>
      <c r="AF11" s="3680">
        <f t="shared" si="75"/>
        <v>108.52999999999999</v>
      </c>
      <c r="AG11" s="3680">
        <f t="shared" si="76"/>
        <v>105.13999999999999</v>
      </c>
      <c r="AH11" s="3680">
        <f t="shared" si="77"/>
        <v>100.83</v>
      </c>
      <c r="AI11" s="3680">
        <f t="shared" si="78"/>
        <v>108.72</v>
      </c>
      <c r="AJ11" s="3680">
        <f t="shared" si="79"/>
        <v>108.80000000000001</v>
      </c>
      <c r="AK11" s="3680">
        <f t="shared" si="80"/>
        <v>100.83</v>
      </c>
      <c r="AM11" s="3680">
        <f t="shared" si="57"/>
        <v>101.66774737139357</v>
      </c>
      <c r="AN11" s="3680">
        <f t="shared" si="58"/>
        <v>101.53556484918946</v>
      </c>
      <c r="AO11" s="3680">
        <f t="shared" si="59"/>
        <v>101.9664064194815</v>
      </c>
      <c r="AP11" s="3680">
        <f t="shared" si="60"/>
        <v>100.68687678746028</v>
      </c>
      <c r="AQ11" s="3680">
        <f t="shared" si="61"/>
        <v>99.711549151486338</v>
      </c>
      <c r="AR11" s="3680">
        <f t="shared" si="62"/>
        <v>101.9664064194815</v>
      </c>
    </row>
    <row r="12" spans="1:44">
      <c r="A12" s="3344" t="s">
        <v>3259</v>
      </c>
      <c r="B12" s="3403">
        <v>2024</v>
      </c>
      <c r="C12" s="3404">
        <v>1</v>
      </c>
      <c r="D12" s="3404">
        <v>0.08</v>
      </c>
      <c r="E12" s="3404">
        <v>0.46</v>
      </c>
      <c r="F12" s="3404">
        <v>-0.16</v>
      </c>
      <c r="G12" s="3404">
        <v>0.26</v>
      </c>
      <c r="H12" s="3410">
        <v>0.59</v>
      </c>
      <c r="I12" s="3405">
        <f t="shared" si="101"/>
        <v>-0.16</v>
      </c>
      <c r="J12" s="3365"/>
      <c r="K12" s="3366">
        <f t="shared" ref="K12" si="104">D12/100</f>
        <v>8.0000000000000004E-4</v>
      </c>
      <c r="L12" s="3367">
        <f t="shared" ref="L12" si="105">E12/100</f>
        <v>4.5999999999999999E-3</v>
      </c>
      <c r="M12" s="3367">
        <f t="shared" ref="M12" si="106">F12/100</f>
        <v>-1.6000000000000001E-3</v>
      </c>
      <c r="N12" s="3367">
        <f t="shared" ref="N12" si="107">G12/100</f>
        <v>2.5999999999999999E-3</v>
      </c>
      <c r="O12" s="3367">
        <f t="shared" ref="O12" si="108">H12/100</f>
        <v>5.8999999999999999E-3</v>
      </c>
      <c r="P12" s="3367">
        <f t="shared" ref="P12" si="109">M12</f>
        <v>-1.6000000000000001E-3</v>
      </c>
      <c r="Q12" s="3365"/>
      <c r="R12" s="3381">
        <f>ROUND(IF(项目基本情况!$B$8="出让",SUMPRODUCT(PRODUCT(1+K12:$K$24)),SUMPRODUCT(PRODUCT(1+K12:$K$23))),4)</f>
        <v>1.0916999999999999</v>
      </c>
      <c r="S12" s="3381">
        <f>ROUND(IF(项目基本情况!$B$8="出让",SUMPRODUCT(PRODUCT(1+L12:$L$24)),SUMPRODUCT(PRODUCT(1+L12:$L$23))),4)</f>
        <v>1.0537000000000001</v>
      </c>
      <c r="T12" s="3381">
        <f>ROUND(IF(项目基本情况!$B$8="出让",SUMPRODUCT(PRODUCT(1+M12:$M$24)),SUMPRODUCT(PRODUCT(1+M12:$M$23))),4)</f>
        <v>1.0224</v>
      </c>
      <c r="U12" s="3381">
        <f>ROUND(IF(项目基本情况!$B$8="出让",SUMPRODUCT(PRODUCT(1+N12:$N$24)),SUMPRODUCT(PRODUCT(1+N12:$N$23))),4)</f>
        <v>1.1008</v>
      </c>
      <c r="V12" s="3381">
        <f>ROUND(IF(项目基本情况!$B$8="出让",SUMPRODUCT(PRODUCT(1+O12:$O$24)),SUMPRODUCT(PRODUCT(1+O12:$O$23))),4)</f>
        <v>1.0843</v>
      </c>
      <c r="W12" s="3381">
        <f t="shared" ref="W12" si="110">T12</f>
        <v>1.0224</v>
      </c>
      <c r="X12" s="3365"/>
      <c r="Y12" s="3390">
        <f t="shared" ref="Y12" si="111">IF(D12=0,0,ROUND(AVERAGE(D12:D23)/100,4))</f>
        <v>6.4999999999999997E-3</v>
      </c>
      <c r="Z12" s="3390">
        <f t="shared" ref="Z12" si="112">IF(E12=0,0,ROUND(AVERAGE(E12:E23)/100,4))</f>
        <v>4.1999999999999997E-3</v>
      </c>
      <c r="AA12" s="3390">
        <f t="shared" ref="AA12" si="113">IF(F12=0,0,ROUND(AVERAGE(F12:F23)/100,4))</f>
        <v>2.0999999999999999E-3</v>
      </c>
      <c r="AB12" s="3390">
        <f t="shared" ref="AB12" si="114">IF(G12=0,0,ROUND(AVERAGE(G12:G23)/100,4))</f>
        <v>7.1000000000000004E-3</v>
      </c>
      <c r="AC12" s="3390">
        <f t="shared" ref="AC12" si="115">IF(H12=0,0,ROUND(AVERAGE(H12:H23)/100,4))</f>
        <v>6.4999999999999997E-3</v>
      </c>
      <c r="AD12" s="3390">
        <f t="shared" ref="AD12" si="116">AA12</f>
        <v>2.0999999999999999E-3</v>
      </c>
      <c r="AF12" s="3680">
        <f t="shared" si="75"/>
        <v>109.16999999999999</v>
      </c>
      <c r="AG12" s="3680">
        <f t="shared" si="76"/>
        <v>105.37</v>
      </c>
      <c r="AH12" s="3680">
        <f t="shared" si="77"/>
        <v>102.24</v>
      </c>
      <c r="AI12" s="3680">
        <f t="shared" si="78"/>
        <v>110.08</v>
      </c>
      <c r="AJ12" s="3680">
        <f t="shared" si="79"/>
        <v>108.43</v>
      </c>
      <c r="AK12" s="3680">
        <f t="shared" si="80"/>
        <v>102.24</v>
      </c>
      <c r="AM12" s="3680">
        <f t="shared" si="57"/>
        <v>102.27114713951673</v>
      </c>
      <c r="AN12" s="3680">
        <f t="shared" si="58"/>
        <v>101.74923824951344</v>
      </c>
      <c r="AO12" s="3680">
        <f t="shared" si="59"/>
        <v>103.3932330353696</v>
      </c>
      <c r="AP12" s="3680">
        <f t="shared" si="60"/>
        <v>101.95107005615662</v>
      </c>
      <c r="AQ12" s="3680">
        <f t="shared" si="61"/>
        <v>99.373678644096401</v>
      </c>
      <c r="AR12" s="3680">
        <f t="shared" si="62"/>
        <v>103.3932330353696</v>
      </c>
    </row>
    <row r="13" spans="1:44">
      <c r="A13" s="3344" t="s">
        <v>3254</v>
      </c>
      <c r="B13" s="3403">
        <v>2023</v>
      </c>
      <c r="C13" s="3404">
        <v>4</v>
      </c>
      <c r="D13" s="3404">
        <v>0.19</v>
      </c>
      <c r="E13" s="3404">
        <v>0.24</v>
      </c>
      <c r="F13" s="3404">
        <v>-0.16</v>
      </c>
      <c r="G13" s="3404">
        <v>0.17</v>
      </c>
      <c r="H13" s="3410">
        <v>0.61</v>
      </c>
      <c r="I13" s="3405">
        <f t="shared" ref="I13" si="117">F13</f>
        <v>-0.16</v>
      </c>
      <c r="J13" s="3365"/>
      <c r="K13" s="3366">
        <f t="shared" si="102"/>
        <v>1.9E-3</v>
      </c>
      <c r="L13" s="3367">
        <f t="shared" si="102"/>
        <v>2.3999999999999998E-3</v>
      </c>
      <c r="M13" s="3367">
        <f t="shared" si="102"/>
        <v>-1.6000000000000001E-3</v>
      </c>
      <c r="N13" s="3367">
        <f t="shared" si="102"/>
        <v>1.7000000000000001E-3</v>
      </c>
      <c r="O13" s="3367">
        <f t="shared" si="102"/>
        <v>6.0999999999999995E-3</v>
      </c>
      <c r="P13" s="3367">
        <f t="shared" ref="P13" si="118">M13</f>
        <v>-1.6000000000000001E-3</v>
      </c>
      <c r="Q13" s="3365"/>
      <c r="R13" s="3381">
        <f>ROUND(IF(项目基本情况!$B$8="出让",SUMPRODUCT(PRODUCT(1+K13:$K$24)),SUMPRODUCT(PRODUCT(1+K13:$K$23))),4)</f>
        <v>1.0908</v>
      </c>
      <c r="S13" s="3381">
        <f>ROUND(IF(项目基本情况!$B$8="出让",SUMPRODUCT(PRODUCT(1+L13:$L$24)),SUMPRODUCT(PRODUCT(1+L13:$L$23))),4)</f>
        <v>1.0488</v>
      </c>
      <c r="T13" s="3381">
        <f>ROUND(IF(项目基本情况!$B$8="出让",SUMPRODUCT(PRODUCT(1+M13:$M$24)),SUMPRODUCT(PRODUCT(1+M13:$M$23))),4)</f>
        <v>1.024</v>
      </c>
      <c r="U13" s="3381">
        <f>ROUND(IF(项目基本情况!$B$8="出让",SUMPRODUCT(PRODUCT(1+N13:$N$24)),SUMPRODUCT(PRODUCT(1+N13:$N$23))),4)</f>
        <v>1.0980000000000001</v>
      </c>
      <c r="V13" s="3381">
        <f>ROUND(IF(项目基本情况!$B$8="出让",SUMPRODUCT(PRODUCT(1+O13:$O$24)),SUMPRODUCT(PRODUCT(1+O13:$O$23))),4)</f>
        <v>1.0779000000000001</v>
      </c>
      <c r="W13" s="3381">
        <f t="shared" ref="W13" si="119">T13</f>
        <v>1.024</v>
      </c>
      <c r="X13" s="3365"/>
      <c r="Y13" s="3390">
        <f t="shared" ref="Y13" si="120">IF(D13=0,0,ROUND(AVERAGE(D13:D24)/100,4))</f>
        <v>7.3000000000000001E-3</v>
      </c>
      <c r="Z13" s="3390">
        <f t="shared" ref="Z13" si="121">IF(E13=0,0,ROUND(AVERAGE(E13:E24)/100,4))</f>
        <v>4.0000000000000001E-3</v>
      </c>
      <c r="AA13" s="3390">
        <f t="shared" ref="AA13" si="122">IF(F13=0,0,ROUND(AVERAGE(F13:F24)/100,4))</f>
        <v>2E-3</v>
      </c>
      <c r="AB13" s="3390">
        <f t="shared" ref="AB13" si="123">IF(G13=0,0,ROUND(AVERAGE(G13:G24)/100,4))</f>
        <v>7.7999999999999996E-3</v>
      </c>
      <c r="AC13" s="3390">
        <f t="shared" ref="AC13" si="124">IF(H13=0,0,ROUND(AVERAGE(H13:H24)/100,4))</f>
        <v>6.3E-3</v>
      </c>
      <c r="AD13" s="3390">
        <f t="shared" si="103"/>
        <v>2E-3</v>
      </c>
      <c r="AF13" s="3680">
        <f t="shared" si="75"/>
        <v>109.08</v>
      </c>
      <c r="AG13" s="3680">
        <f t="shared" si="76"/>
        <v>104.88</v>
      </c>
      <c r="AH13" s="3680">
        <f t="shared" si="77"/>
        <v>102.4</v>
      </c>
      <c r="AI13" s="3680">
        <f t="shared" si="78"/>
        <v>109.80000000000001</v>
      </c>
      <c r="AJ13" s="3680">
        <f t="shared" si="79"/>
        <v>107.79</v>
      </c>
      <c r="AK13" s="3680">
        <f t="shared" si="80"/>
        <v>102.4</v>
      </c>
      <c r="AM13" s="3680">
        <f t="shared" si="57"/>
        <v>102.18939562301833</v>
      </c>
      <c r="AN13" s="3680">
        <f t="shared" si="58"/>
        <v>101.28333490893236</v>
      </c>
      <c r="AO13" s="3680">
        <f t="shared" si="59"/>
        <v>103.55892731908014</v>
      </c>
      <c r="AP13" s="3680">
        <f t="shared" si="60"/>
        <v>101.68668467599903</v>
      </c>
      <c r="AQ13" s="3680">
        <f t="shared" si="61"/>
        <v>98.79081284829148</v>
      </c>
      <c r="AR13" s="3680">
        <f t="shared" si="62"/>
        <v>103.55892731908014</v>
      </c>
    </row>
    <row r="14" spans="1:44">
      <c r="A14" s="3344" t="s">
        <v>3253</v>
      </c>
      <c r="B14" s="3403">
        <v>2023</v>
      </c>
      <c r="C14" s="3404">
        <v>3</v>
      </c>
      <c r="D14" s="3404">
        <v>0.25</v>
      </c>
      <c r="E14" s="3404">
        <v>0.5</v>
      </c>
      <c r="F14" s="3404">
        <v>0.31</v>
      </c>
      <c r="G14" s="3404">
        <v>0.21</v>
      </c>
      <c r="H14" s="3410">
        <v>0.43</v>
      </c>
      <c r="I14" s="3405">
        <f t="shared" si="101"/>
        <v>0.31</v>
      </c>
      <c r="J14" s="3365"/>
      <c r="K14" s="3366">
        <f t="shared" ref="K14:K16" si="125">D14/100</f>
        <v>2.5000000000000001E-3</v>
      </c>
      <c r="L14" s="3367">
        <f t="shared" ref="L14:L16" si="126">E14/100</f>
        <v>5.0000000000000001E-3</v>
      </c>
      <c r="M14" s="3367">
        <f t="shared" ref="M14:M16" si="127">F14/100</f>
        <v>3.0999999999999999E-3</v>
      </c>
      <c r="N14" s="3367">
        <f t="shared" ref="N14:N16" si="128">G14/100</f>
        <v>2.0999999999999999E-3</v>
      </c>
      <c r="O14" s="3367">
        <f t="shared" ref="O14:O16" si="129">H14/100</f>
        <v>4.3E-3</v>
      </c>
      <c r="P14" s="3367">
        <f t="shared" ref="P14:P16" si="130">M14</f>
        <v>3.0999999999999999E-3</v>
      </c>
      <c r="Q14" s="3365"/>
      <c r="R14" s="3381">
        <f>ROUND(IF(项目基本情况!$B$8="出让",SUMPRODUCT(PRODUCT(1+K14:$K$24)),SUMPRODUCT(PRODUCT(1+K14:$K$23))),4)</f>
        <v>1.0888</v>
      </c>
      <c r="S14" s="3381">
        <f>ROUND(IF(项目基本情况!$B$8="出让",SUMPRODUCT(PRODUCT(1+L14:$L$24)),SUMPRODUCT(PRODUCT(1+L14:$L$23))),4)</f>
        <v>1.0463</v>
      </c>
      <c r="T14" s="3381">
        <f>ROUND(IF(项目基本情况!$B$8="出让",SUMPRODUCT(PRODUCT(1+M14:$M$24)),SUMPRODUCT(PRODUCT(1+M14:$M$23))),4)</f>
        <v>1.0257000000000001</v>
      </c>
      <c r="U14" s="3381">
        <f>ROUND(IF(项目基本情况!$B$8="出让",SUMPRODUCT(PRODUCT(1+N14:$N$24)),SUMPRODUCT(PRODUCT(1+N14:$N$23))),4)</f>
        <v>1.0961000000000001</v>
      </c>
      <c r="V14" s="3381">
        <f>ROUND(IF(项目基本情况!$B$8="出让",SUMPRODUCT(PRODUCT(1+O14:$O$24)),SUMPRODUCT(PRODUCT(1+O14:$O$23))),4)</f>
        <v>1.0713999999999999</v>
      </c>
      <c r="W14" s="3381">
        <f t="shared" ref="W14:W16" si="131">T14</f>
        <v>1.0257000000000001</v>
      </c>
      <c r="X14" s="3365"/>
      <c r="Y14" s="3390">
        <f t="shared" ref="Y14:AC14" si="132">IF(D14=0,0,ROUND(AVERAGE(D14:D25)/100,4))</f>
        <v>7.7999999999999996E-3</v>
      </c>
      <c r="Z14" s="3390">
        <f t="shared" si="132"/>
        <v>4.1000000000000003E-3</v>
      </c>
      <c r="AA14" s="3390">
        <f t="shared" si="132"/>
        <v>2.3E-3</v>
      </c>
      <c r="AB14" s="3390">
        <f t="shared" si="132"/>
        <v>8.3999999999999995E-3</v>
      </c>
      <c r="AC14" s="3390">
        <f t="shared" si="132"/>
        <v>6.3E-3</v>
      </c>
      <c r="AD14" s="3390">
        <f t="shared" ref="AD14:AD16" si="133">AA14</f>
        <v>2.3E-3</v>
      </c>
      <c r="AF14" s="3680">
        <f t="shared" si="75"/>
        <v>108.88</v>
      </c>
      <c r="AG14" s="3680">
        <f t="shared" si="76"/>
        <v>104.63</v>
      </c>
      <c r="AH14" s="3680">
        <f t="shared" si="77"/>
        <v>102.57000000000001</v>
      </c>
      <c r="AI14" s="3680">
        <f t="shared" si="78"/>
        <v>109.61000000000001</v>
      </c>
      <c r="AJ14" s="3680">
        <f t="shared" si="79"/>
        <v>107.13999999999999</v>
      </c>
      <c r="AK14" s="3680">
        <f t="shared" si="80"/>
        <v>102.57000000000001</v>
      </c>
      <c r="AM14" s="3680">
        <f t="shared" si="57"/>
        <v>101.99560397546495</v>
      </c>
      <c r="AN14" s="3680">
        <f t="shared" si="58"/>
        <v>101.04083690037147</v>
      </c>
      <c r="AO14" s="3680">
        <f t="shared" si="59"/>
        <v>103.72488713850174</v>
      </c>
      <c r="AP14" s="3680">
        <f t="shared" si="60"/>
        <v>101.51411068782971</v>
      </c>
      <c r="AQ14" s="3680">
        <f t="shared" si="61"/>
        <v>98.191842608380355</v>
      </c>
      <c r="AR14" s="3680">
        <f t="shared" si="62"/>
        <v>103.72488713850174</v>
      </c>
    </row>
    <row r="15" spans="1:44">
      <c r="A15" s="3344" t="s">
        <v>3251</v>
      </c>
      <c r="B15" s="3403">
        <v>2023</v>
      </c>
      <c r="C15" s="3404">
        <v>2</v>
      </c>
      <c r="D15" s="3404">
        <v>0.91</v>
      </c>
      <c r="E15" s="3404">
        <v>0.66</v>
      </c>
      <c r="F15" s="3404">
        <v>0.47</v>
      </c>
      <c r="G15" s="3404">
        <v>0.96</v>
      </c>
      <c r="H15" s="3410">
        <v>0.71</v>
      </c>
      <c r="I15" s="3405">
        <f t="shared" si="101"/>
        <v>0.47</v>
      </c>
      <c r="J15" s="3365"/>
      <c r="K15" s="3366">
        <f t="shared" si="125"/>
        <v>9.1000000000000004E-3</v>
      </c>
      <c r="L15" s="3367">
        <f t="shared" si="126"/>
        <v>6.6E-3</v>
      </c>
      <c r="M15" s="3367">
        <f t="shared" si="127"/>
        <v>4.6999999999999993E-3</v>
      </c>
      <c r="N15" s="3367">
        <f t="shared" si="128"/>
        <v>9.5999999999999992E-3</v>
      </c>
      <c r="O15" s="3367">
        <f t="shared" si="129"/>
        <v>7.0999999999999995E-3</v>
      </c>
      <c r="P15" s="3367">
        <f t="shared" si="130"/>
        <v>4.6999999999999993E-3</v>
      </c>
      <c r="Q15" s="3365"/>
      <c r="R15" s="3381">
        <f>ROUND(IF(项目基本情况!$B$8="出让",SUMPRODUCT(PRODUCT(1+K15:$K$24)),SUMPRODUCT(PRODUCT(1+K15:$K$23))),4)</f>
        <v>1.0860000000000001</v>
      </c>
      <c r="S15" s="3381">
        <f>ROUND(IF(项目基本情况!$B$8="出让",SUMPRODUCT(PRODUCT(1+L15:$L$24)),SUMPRODUCT(PRODUCT(1+L15:$L$23))),4)</f>
        <v>1.0410999999999999</v>
      </c>
      <c r="T15" s="3381">
        <f>ROUND(IF(项目基本情况!$B$8="出让",SUMPRODUCT(PRODUCT(1+M15:$M$24)),SUMPRODUCT(PRODUCT(1+M15:$M$23))),4)</f>
        <v>1.0225</v>
      </c>
      <c r="U15" s="3381">
        <f>ROUND(IF(项目基本情况!$B$8="出让",SUMPRODUCT(PRODUCT(1+N15:$N$24)),SUMPRODUCT(PRODUCT(1+N15:$N$23))),4)</f>
        <v>1.0938000000000001</v>
      </c>
      <c r="V15" s="3381">
        <f>ROUND(IF(项目基本情况!$B$8="出让",SUMPRODUCT(PRODUCT(1+O15:$O$24)),SUMPRODUCT(PRODUCT(1+O15:$O$23))),4)</f>
        <v>1.0668</v>
      </c>
      <c r="W15" s="3381">
        <f t="shared" si="131"/>
        <v>1.0225</v>
      </c>
      <c r="X15" s="3365"/>
      <c r="Y15" s="3390">
        <f t="shared" ref="Y15:AC15" si="134">IF(D15=0,0,ROUND(AVERAGE(D15:D26)/100,4))</f>
        <v>8.3000000000000001E-3</v>
      </c>
      <c r="Z15" s="3390">
        <f t="shared" si="134"/>
        <v>4.0000000000000001E-3</v>
      </c>
      <c r="AA15" s="3390">
        <f t="shared" si="134"/>
        <v>2.2000000000000001E-3</v>
      </c>
      <c r="AB15" s="3390">
        <f t="shared" si="134"/>
        <v>8.9999999999999993E-3</v>
      </c>
      <c r="AC15" s="3390">
        <f t="shared" si="134"/>
        <v>6.4999999999999997E-3</v>
      </c>
      <c r="AD15" s="3390">
        <f t="shared" si="133"/>
        <v>2.2000000000000001E-3</v>
      </c>
      <c r="AF15" s="3680">
        <f t="shared" si="75"/>
        <v>108.60000000000001</v>
      </c>
      <c r="AG15" s="3680">
        <f t="shared" si="76"/>
        <v>104.10999999999999</v>
      </c>
      <c r="AH15" s="3680">
        <f t="shared" si="77"/>
        <v>102.25</v>
      </c>
      <c r="AI15" s="3680">
        <f t="shared" si="78"/>
        <v>109.38000000000001</v>
      </c>
      <c r="AJ15" s="3680">
        <f t="shared" si="79"/>
        <v>106.67999999999999</v>
      </c>
      <c r="AK15" s="3680">
        <f t="shared" si="80"/>
        <v>102.25</v>
      </c>
      <c r="AM15" s="3680">
        <f t="shared" si="57"/>
        <v>101.74125084834409</v>
      </c>
      <c r="AN15" s="3680">
        <f t="shared" si="58"/>
        <v>100.53814616952387</v>
      </c>
      <c r="AO15" s="3680">
        <f t="shared" si="59"/>
        <v>103.40433370401927</v>
      </c>
      <c r="AP15" s="3680">
        <f t="shared" si="60"/>
        <v>101.30137779446135</v>
      </c>
      <c r="AQ15" s="3680">
        <f t="shared" si="61"/>
        <v>97.771425478821428</v>
      </c>
      <c r="AR15" s="3680">
        <f t="shared" si="62"/>
        <v>103.40433370401927</v>
      </c>
    </row>
    <row r="16" spans="1:44">
      <c r="A16" s="3344" t="s">
        <v>3249</v>
      </c>
      <c r="B16" s="3403">
        <v>2023</v>
      </c>
      <c r="C16" s="3404">
        <v>1</v>
      </c>
      <c r="D16" s="3404">
        <v>0.89</v>
      </c>
      <c r="E16" s="3404">
        <v>0.74</v>
      </c>
      <c r="F16" s="3404">
        <v>0.56999999999999995</v>
      </c>
      <c r="G16" s="3404">
        <v>0.92</v>
      </c>
      <c r="H16" s="3410">
        <v>0.5</v>
      </c>
      <c r="I16" s="3405">
        <f t="shared" si="101"/>
        <v>0.56999999999999995</v>
      </c>
      <c r="J16" s="3365"/>
      <c r="K16" s="3366">
        <f t="shared" si="125"/>
        <v>8.8999999999999999E-3</v>
      </c>
      <c r="L16" s="3367">
        <f t="shared" si="126"/>
        <v>7.4000000000000003E-3</v>
      </c>
      <c r="M16" s="3367">
        <f t="shared" si="127"/>
        <v>5.6999999999999993E-3</v>
      </c>
      <c r="N16" s="3367">
        <f t="shared" si="128"/>
        <v>9.1999999999999998E-3</v>
      </c>
      <c r="O16" s="3367">
        <f t="shared" si="129"/>
        <v>5.0000000000000001E-3</v>
      </c>
      <c r="P16" s="3367">
        <f t="shared" si="130"/>
        <v>5.6999999999999993E-3</v>
      </c>
      <c r="Q16" s="3365"/>
      <c r="R16" s="3381">
        <f>ROUND(IF(项目基本情况!$B$8="出让",SUMPRODUCT(PRODUCT(1+K16:$K$24)),SUMPRODUCT(PRODUCT(1+K16:$K$23))),4)</f>
        <v>1.0763</v>
      </c>
      <c r="S16" s="3381">
        <f>ROUND(IF(项目基本情况!$B$8="出让",SUMPRODUCT(PRODUCT(1+L16:$L$24)),SUMPRODUCT(PRODUCT(1+L16:$L$23))),4)</f>
        <v>1.0343</v>
      </c>
      <c r="T16" s="3381">
        <f>ROUND(IF(项目基本情况!$B$8="出让",SUMPRODUCT(PRODUCT(1+M16:$M$24)),SUMPRODUCT(PRODUCT(1+M16:$M$23))),4)</f>
        <v>1.0177</v>
      </c>
      <c r="U16" s="3381">
        <f>ROUND(IF(项目基本情况!$B$8="出让",SUMPRODUCT(PRODUCT(1+N16:$N$24)),SUMPRODUCT(PRODUCT(1+N16:$N$23))),4)</f>
        <v>1.0833999999999999</v>
      </c>
      <c r="V16" s="3381">
        <f>ROUND(IF(项目基本情况!$B$8="出让",SUMPRODUCT(PRODUCT(1+O16:$O$24)),SUMPRODUCT(PRODUCT(1+O16:$O$23))),4)</f>
        <v>1.0592999999999999</v>
      </c>
      <c r="W16" s="3381">
        <f t="shared" si="131"/>
        <v>1.0177</v>
      </c>
      <c r="X16" s="3365"/>
      <c r="Y16" s="3390">
        <f t="shared" ref="Y16:AC16" si="135">IF(D16=0,0,ROUND(AVERAGE(D16:D27)/100,4))</f>
        <v>8.2000000000000007E-3</v>
      </c>
      <c r="Z16" s="3390">
        <f t="shared" si="135"/>
        <v>3.8E-3</v>
      </c>
      <c r="AA16" s="3390">
        <f t="shared" si="135"/>
        <v>2E-3</v>
      </c>
      <c r="AB16" s="3390">
        <f t="shared" si="135"/>
        <v>8.8999999999999999E-3</v>
      </c>
      <c r="AC16" s="3390">
        <f t="shared" si="135"/>
        <v>6.4000000000000003E-3</v>
      </c>
      <c r="AD16" s="3390">
        <f t="shared" si="133"/>
        <v>2E-3</v>
      </c>
      <c r="AF16" s="3680">
        <f t="shared" si="75"/>
        <v>107.63000000000001</v>
      </c>
      <c r="AG16" s="3680">
        <f t="shared" si="76"/>
        <v>103.43</v>
      </c>
      <c r="AH16" s="3680">
        <f t="shared" si="77"/>
        <v>101.77000000000001</v>
      </c>
      <c r="AI16" s="3680">
        <f t="shared" si="78"/>
        <v>108.33999999999999</v>
      </c>
      <c r="AJ16" s="3680">
        <f t="shared" si="79"/>
        <v>105.92999999999999</v>
      </c>
      <c r="AK16" s="3680">
        <f t="shared" si="80"/>
        <v>101.77000000000001</v>
      </c>
      <c r="AM16" s="3680">
        <f t="shared" si="57"/>
        <v>100.82375468074926</v>
      </c>
      <c r="AN16" s="3680">
        <f t="shared" si="58"/>
        <v>99.878945131654959</v>
      </c>
      <c r="AO16" s="3680">
        <f t="shared" si="59"/>
        <v>102.92060685181573</v>
      </c>
      <c r="AP16" s="3680">
        <f t="shared" si="60"/>
        <v>100.33813172985474</v>
      </c>
      <c r="AQ16" s="3680">
        <f t="shared" si="61"/>
        <v>97.082142268713554</v>
      </c>
      <c r="AR16" s="3680">
        <f t="shared" si="62"/>
        <v>102.92060685181573</v>
      </c>
    </row>
    <row r="17" spans="1:44">
      <c r="A17" s="3344" t="s">
        <v>3247</v>
      </c>
      <c r="B17" s="3403">
        <v>2022</v>
      </c>
      <c r="C17" s="3404">
        <v>4</v>
      </c>
      <c r="D17" s="3404">
        <v>0.62</v>
      </c>
      <c r="E17" s="3404">
        <v>0.2</v>
      </c>
      <c r="F17" s="3404">
        <v>0.11</v>
      </c>
      <c r="G17" s="3404">
        <v>0.69</v>
      </c>
      <c r="H17" s="3410">
        <v>0.53</v>
      </c>
      <c r="I17" s="3405">
        <f t="shared" si="101"/>
        <v>0.11</v>
      </c>
      <c r="J17" s="3365"/>
      <c r="K17" s="3366">
        <f t="shared" si="102"/>
        <v>6.1999999999999998E-3</v>
      </c>
      <c r="L17" s="3367">
        <f t="shared" si="102"/>
        <v>2E-3</v>
      </c>
      <c r="M17" s="3367">
        <f t="shared" si="102"/>
        <v>1.1000000000000001E-3</v>
      </c>
      <c r="N17" s="3367">
        <f t="shared" si="102"/>
        <v>6.8999999999999999E-3</v>
      </c>
      <c r="O17" s="3367">
        <f t="shared" si="102"/>
        <v>5.3E-3</v>
      </c>
      <c r="P17" s="3367">
        <f t="shared" ref="P17:P24" si="136">M17</f>
        <v>1.1000000000000001E-3</v>
      </c>
      <c r="Q17" s="3365"/>
      <c r="R17" s="3381">
        <f>ROUND(IF(项目基本情况!B8="出让",SUMPRODUCT(PRODUCT(1+K17:K24)),SUMPRODUCT(PRODUCT(1+K17:K23))),4)</f>
        <v>1.0668</v>
      </c>
      <c r="S17" s="3381">
        <f>ROUND(IF(项目基本情况!B8="出让",SUMPRODUCT(PRODUCT(1+L17:L24)),SUMPRODUCT(PRODUCT(1+L17:L23))),4)</f>
        <v>1.0266999999999999</v>
      </c>
      <c r="T17" s="3381">
        <f>ROUND(IF(项目基本情况!B8="出让",SUMPRODUCT(PRODUCT(1+M17:M24)),SUMPRODUCT(PRODUCT(1+M17:M23))),4)</f>
        <v>1.0119</v>
      </c>
      <c r="U17" s="3381">
        <f>ROUND(IF(项目基本情况!B8="出让",SUMPRODUCT(PRODUCT(1+N17:N24)),SUMPRODUCT(PRODUCT(1+N17:N23))),4)</f>
        <v>1.0734999999999999</v>
      </c>
      <c r="V17" s="3381">
        <f>ROUND(IF(项目基本情况!B8="出让",SUMPRODUCT(PRODUCT(1+O17:O24)),SUMPRODUCT(PRODUCT(1+O17:O23))),4)</f>
        <v>1.054</v>
      </c>
      <c r="W17" s="3381">
        <f t="shared" ref="W17:W24" si="137">T17</f>
        <v>1.0119</v>
      </c>
      <c r="X17" s="3365"/>
      <c r="Y17" s="3390">
        <f>IF(D17=0,0,ROUND(AVERAGE(D17:D25)/100,4))</f>
        <v>8.0999999999999996E-3</v>
      </c>
      <c r="Z17" s="3390">
        <f>IF(E17=0,0,ROUND(AVERAGE(E17:E24)/100,4))</f>
        <v>3.3E-3</v>
      </c>
      <c r="AA17" s="3390">
        <f>IF(F17=0,0,ROUND(AVERAGE(F17:F24)/100,4))</f>
        <v>1.5E-3</v>
      </c>
      <c r="AB17" s="3390">
        <f>IF(G17=0,0,ROUND(AVERAGE(G17:G24)/100,4))</f>
        <v>8.8999999999999999E-3</v>
      </c>
      <c r="AC17" s="3390">
        <f>IF(H17=0,0,ROUND(AVERAGE(H17:H24)/100,4))</f>
        <v>6.6E-3</v>
      </c>
      <c r="AD17" s="3390">
        <f t="shared" si="103"/>
        <v>1.5E-3</v>
      </c>
      <c r="AF17" s="3680">
        <f t="shared" si="75"/>
        <v>106.67999999999999</v>
      </c>
      <c r="AG17" s="3680">
        <f t="shared" si="76"/>
        <v>102.66999999999999</v>
      </c>
      <c r="AH17" s="3680">
        <f t="shared" si="77"/>
        <v>101.19</v>
      </c>
      <c r="AI17" s="3680">
        <f t="shared" si="78"/>
        <v>107.35</v>
      </c>
      <c r="AJ17" s="3680">
        <f t="shared" si="79"/>
        <v>105.4</v>
      </c>
      <c r="AK17" s="3680">
        <f t="shared" si="80"/>
        <v>101.19</v>
      </c>
      <c r="AM17" s="3680">
        <f t="shared" si="57"/>
        <v>99.934339063087791</v>
      </c>
      <c r="AN17" s="3680">
        <f t="shared" si="58"/>
        <v>99.145270132673176</v>
      </c>
      <c r="AO17" s="3680">
        <f t="shared" si="59"/>
        <v>102.3372843311283</v>
      </c>
      <c r="AP17" s="3680">
        <f t="shared" si="60"/>
        <v>99.423436117573061</v>
      </c>
      <c r="AQ17" s="3680">
        <f t="shared" si="61"/>
        <v>96.599146536033402</v>
      </c>
      <c r="AR17" s="3680">
        <f t="shared" si="62"/>
        <v>102.3372843311283</v>
      </c>
    </row>
    <row r="18" spans="1:44">
      <c r="A18" s="3344" t="s">
        <v>3244</v>
      </c>
      <c r="B18" s="3403">
        <v>2022</v>
      </c>
      <c r="C18" s="3404">
        <v>3</v>
      </c>
      <c r="D18" s="3404">
        <v>0.66</v>
      </c>
      <c r="E18" s="3404">
        <v>0.32</v>
      </c>
      <c r="F18" s="3404">
        <v>0.23</v>
      </c>
      <c r="G18" s="3404">
        <v>0.72</v>
      </c>
      <c r="H18" s="3410">
        <v>0.63</v>
      </c>
      <c r="I18" s="3405">
        <f t="shared" si="101"/>
        <v>0.23</v>
      </c>
      <c r="J18" s="3365"/>
      <c r="K18" s="3366">
        <f t="shared" si="102"/>
        <v>6.6E-3</v>
      </c>
      <c r="L18" s="3367">
        <f t="shared" si="102"/>
        <v>3.2000000000000002E-3</v>
      </c>
      <c r="M18" s="3367">
        <f t="shared" si="102"/>
        <v>2.3E-3</v>
      </c>
      <c r="N18" s="3367">
        <f t="shared" si="102"/>
        <v>7.1999999999999998E-3</v>
      </c>
      <c r="O18" s="3367">
        <f t="shared" si="102"/>
        <v>6.3E-3</v>
      </c>
      <c r="P18" s="3367">
        <f t="shared" si="136"/>
        <v>2.3E-3</v>
      </c>
      <c r="Q18" s="3365"/>
      <c r="R18" s="3381">
        <f>ROUND(IF(项目基本情况!B8="出让",SUMPRODUCT(PRODUCT(1+K18:K24)),SUMPRODUCT(PRODUCT(1+K18:K23))),4)</f>
        <v>1.0602</v>
      </c>
      <c r="S18" s="3381">
        <f>ROUND(IF(项目基本情况!B8="出让",SUMPRODUCT(PRODUCT(1+L18:L24)),SUMPRODUCT(PRODUCT(1+L18:L23))),4)</f>
        <v>1.0246</v>
      </c>
      <c r="T18" s="3381">
        <f>ROUND(IF(项目基本情况!B8="出让",SUMPRODUCT(PRODUCT(1+M18:M24)),SUMPRODUCT(PRODUCT(1+M18:M23))),4)</f>
        <v>1.0107999999999999</v>
      </c>
      <c r="U18" s="3381">
        <f>ROUND(IF(项目基本情况!B8="出让",SUMPRODUCT(PRODUCT(1+N18:N24)),SUMPRODUCT(PRODUCT(1+N18:N23))),4)</f>
        <v>1.0662</v>
      </c>
      <c r="V18" s="3381">
        <f>ROUND(IF(项目基本情况!B8="出让",SUMPRODUCT(PRODUCT(1+O18:O24)),SUMPRODUCT(PRODUCT(1+O18:O23))),4)</f>
        <v>1.0485</v>
      </c>
      <c r="W18" s="3381">
        <f t="shared" si="137"/>
        <v>1.0107999999999999</v>
      </c>
      <c r="X18" s="3365"/>
      <c r="Y18" s="3390">
        <f>IF(D18=0,0,ROUND(AVERAGE(D18:D24)/100,4))</f>
        <v>8.3999999999999995E-3</v>
      </c>
      <c r="Z18" s="3390">
        <f>IF(E18=0,0,ROUND(AVERAGE(E18:E24)/100,4))</f>
        <v>3.5000000000000001E-3</v>
      </c>
      <c r="AA18" s="3390">
        <f>IF(F18=0,0,ROUND(AVERAGE(F18:F24)/100,4))</f>
        <v>1.5E-3</v>
      </c>
      <c r="AB18" s="3390">
        <f>IF(G18=0,0,ROUND(AVERAGE(G18:G24)/100,4))</f>
        <v>9.1999999999999998E-3</v>
      </c>
      <c r="AC18" s="3390">
        <f>IF(H18=0,0,ROUND(AVERAGE(H18:H24)/100,4))</f>
        <v>6.7999999999999996E-3</v>
      </c>
      <c r="AD18" s="3390">
        <f t="shared" si="103"/>
        <v>1.5E-3</v>
      </c>
      <c r="AF18" s="3680">
        <f t="shared" si="75"/>
        <v>106.02000000000001</v>
      </c>
      <c r="AG18" s="3680">
        <f t="shared" si="76"/>
        <v>102.46</v>
      </c>
      <c r="AH18" s="3680">
        <f t="shared" si="77"/>
        <v>101.08</v>
      </c>
      <c r="AI18" s="3680">
        <f t="shared" si="78"/>
        <v>106.62</v>
      </c>
      <c r="AJ18" s="3680">
        <f t="shared" si="79"/>
        <v>104.85</v>
      </c>
      <c r="AK18" s="3680">
        <f t="shared" si="80"/>
        <v>101.08</v>
      </c>
      <c r="AM18" s="3680">
        <f t="shared" si="57"/>
        <v>99.318563966495518</v>
      </c>
      <c r="AN18" s="3680">
        <f t="shared" si="58"/>
        <v>98.947375381909353</v>
      </c>
      <c r="AO18" s="3680">
        <f t="shared" si="59"/>
        <v>102.22483701041683</v>
      </c>
      <c r="AP18" s="3680">
        <f t="shared" si="60"/>
        <v>98.742115520481747</v>
      </c>
      <c r="AQ18" s="3680">
        <f t="shared" si="61"/>
        <v>96.089870223847001</v>
      </c>
      <c r="AR18" s="3680">
        <f t="shared" si="62"/>
        <v>102.22483701041683</v>
      </c>
    </row>
    <row r="19" spans="1:44">
      <c r="A19" s="3344" t="s">
        <v>3245</v>
      </c>
      <c r="B19" s="3403">
        <v>2022</v>
      </c>
      <c r="C19" s="3404">
        <v>2</v>
      </c>
      <c r="D19" s="3404">
        <v>0.93</v>
      </c>
      <c r="E19" s="3404">
        <v>0.15</v>
      </c>
      <c r="F19" s="3404">
        <v>0.01</v>
      </c>
      <c r="G19" s="3404">
        <v>1.05</v>
      </c>
      <c r="H19" s="3410">
        <v>1.08</v>
      </c>
      <c r="I19" s="3405">
        <f t="shared" si="101"/>
        <v>0.01</v>
      </c>
      <c r="J19" s="3365"/>
      <c r="K19" s="3366">
        <f t="shared" si="102"/>
        <v>9.300000000000001E-3</v>
      </c>
      <c r="L19" s="3367">
        <f t="shared" si="102"/>
        <v>1.5E-3</v>
      </c>
      <c r="M19" s="3367">
        <f t="shared" si="102"/>
        <v>1E-4</v>
      </c>
      <c r="N19" s="3367">
        <f t="shared" si="102"/>
        <v>1.0500000000000001E-2</v>
      </c>
      <c r="O19" s="3367">
        <f t="shared" si="102"/>
        <v>1.0800000000000001E-2</v>
      </c>
      <c r="P19" s="3367">
        <f t="shared" si="136"/>
        <v>1E-4</v>
      </c>
      <c r="Q19" s="3365"/>
      <c r="R19" s="3381">
        <f>ROUND(IF(项目基本情况!B8="出让",SUMPRODUCT(PRODUCT(1+K19:K24)),SUMPRODUCT(PRODUCT(1+K19:K23))),4)</f>
        <v>1.0531999999999999</v>
      </c>
      <c r="S19" s="3381">
        <f>ROUND(IF(项目基本情况!B8="出让",SUMPRODUCT(PRODUCT(1+L19:L24)),SUMPRODUCT(PRODUCT(1+L19:L23))),4)</f>
        <v>1.0214000000000001</v>
      </c>
      <c r="T19" s="3381">
        <f>ROUND(IF(项目基本情况!B8="出让",SUMPRODUCT(PRODUCT(1+M19:M24)),SUMPRODUCT(PRODUCT(1+M19:M23))),4)</f>
        <v>1.0085</v>
      </c>
      <c r="U19" s="3381">
        <f>ROUND(IF(项目基本情况!B8="出让",SUMPRODUCT(PRODUCT(1+N19:N24)),SUMPRODUCT(PRODUCT(1+N19:N23))),4)</f>
        <v>1.0586</v>
      </c>
      <c r="V19" s="3381">
        <f>ROUND(IF(项目基本情况!B8="出让",SUMPRODUCT(PRODUCT(1+O19:O24)),SUMPRODUCT(PRODUCT(1+O19:O23))),4)</f>
        <v>1.0419</v>
      </c>
      <c r="W19" s="3381">
        <f t="shared" si="137"/>
        <v>1.0085</v>
      </c>
      <c r="X19" s="3365"/>
      <c r="Y19" s="3390">
        <f>IF(D19=0,0,ROUND(AVERAGE(D19:D24)/100,4))</f>
        <v>8.6999999999999994E-3</v>
      </c>
      <c r="Z19" s="3390">
        <f>IF(E19=0,0,ROUND(AVERAGE(E19:E24)/100,4))</f>
        <v>3.5000000000000001E-3</v>
      </c>
      <c r="AA19" s="3390">
        <f>IF(F19=0,0,ROUND(AVERAGE(F19:F24)/100,4))</f>
        <v>1.4E-3</v>
      </c>
      <c r="AB19" s="3390">
        <f>IF(G19=0,0,ROUND(AVERAGE(G19:G24)/100,4))</f>
        <v>9.4999999999999998E-3</v>
      </c>
      <c r="AC19" s="3390">
        <f>IF(H19=0,0,ROUND(AVERAGE(H19:H24)/100,4))</f>
        <v>6.8999999999999999E-3</v>
      </c>
      <c r="AD19" s="3390">
        <f t="shared" si="103"/>
        <v>1.4E-3</v>
      </c>
      <c r="AF19" s="3680">
        <f t="shared" si="75"/>
        <v>105.32</v>
      </c>
      <c r="AG19" s="3680">
        <f t="shared" si="76"/>
        <v>102.14000000000001</v>
      </c>
      <c r="AH19" s="3680">
        <f t="shared" si="77"/>
        <v>100.85</v>
      </c>
      <c r="AI19" s="3680">
        <f t="shared" si="78"/>
        <v>105.86</v>
      </c>
      <c r="AJ19" s="3680">
        <f t="shared" si="79"/>
        <v>104.19</v>
      </c>
      <c r="AK19" s="3680">
        <f t="shared" si="80"/>
        <v>100.85</v>
      </c>
      <c r="AM19" s="3680">
        <f t="shared" si="57"/>
        <v>98.667359394491882</v>
      </c>
      <c r="AN19" s="3680">
        <f t="shared" si="58"/>
        <v>98.631753769845844</v>
      </c>
      <c r="AO19" s="3680">
        <f t="shared" si="59"/>
        <v>101.99025941376517</v>
      </c>
      <c r="AP19" s="3680">
        <f t="shared" si="60"/>
        <v>98.036254488166932</v>
      </c>
      <c r="AQ19" s="3680">
        <f t="shared" si="61"/>
        <v>95.488293971824504</v>
      </c>
      <c r="AR19" s="3680">
        <f t="shared" si="62"/>
        <v>101.99025941376517</v>
      </c>
    </row>
    <row r="20" spans="1:44">
      <c r="A20" s="3344" t="s">
        <v>2781</v>
      </c>
      <c r="B20" s="3403">
        <v>2022</v>
      </c>
      <c r="C20" s="3404">
        <v>1</v>
      </c>
      <c r="D20" s="3404">
        <v>0.89</v>
      </c>
      <c r="E20" s="3404">
        <v>0.44</v>
      </c>
      <c r="F20" s="3404">
        <v>0.37</v>
      </c>
      <c r="G20" s="3404">
        <v>0.96</v>
      </c>
      <c r="H20" s="3410">
        <v>0.64</v>
      </c>
      <c r="I20" s="3405">
        <f t="shared" si="101"/>
        <v>0.37</v>
      </c>
      <c r="J20" s="3365"/>
      <c r="K20" s="3366">
        <f t="shared" si="102"/>
        <v>8.8999999999999999E-3</v>
      </c>
      <c r="L20" s="3367">
        <f t="shared" si="102"/>
        <v>4.4000000000000003E-3</v>
      </c>
      <c r="M20" s="3367">
        <f t="shared" si="102"/>
        <v>3.7000000000000002E-3</v>
      </c>
      <c r="N20" s="3367">
        <f t="shared" si="102"/>
        <v>9.5999999999999992E-3</v>
      </c>
      <c r="O20" s="3367">
        <f t="shared" si="102"/>
        <v>6.4000000000000003E-3</v>
      </c>
      <c r="P20" s="3367">
        <f t="shared" si="136"/>
        <v>3.7000000000000002E-3</v>
      </c>
      <c r="Q20" s="3365"/>
      <c r="R20" s="3381">
        <f>ROUND(IF(项目基本情况!B8="出让",SUMPRODUCT(PRODUCT(1+K20:K24)),SUMPRODUCT(PRODUCT(1+K20:K23))),4)</f>
        <v>1.0435000000000001</v>
      </c>
      <c r="S20" s="3381">
        <f>ROUND(IF(项目基本情况!B8="出让",SUMPRODUCT(PRODUCT(1+L20:L24)),SUMPRODUCT(PRODUCT(1+L20:L23))),4)</f>
        <v>1.0198</v>
      </c>
      <c r="T20" s="3381">
        <f>ROUND(IF(项目基本情况!B8="出让",SUMPRODUCT(PRODUCT(1+M20:M24)),SUMPRODUCT(PRODUCT(1+M20:M23))),4)</f>
        <v>1.0084</v>
      </c>
      <c r="U20" s="3381">
        <f>ROUND(IF(项目基本情况!B8="出让",SUMPRODUCT(PRODUCT(1+N20:N24)),SUMPRODUCT(PRODUCT(1+N20:N23))),4)</f>
        <v>1.0476000000000001</v>
      </c>
      <c r="V20" s="3381">
        <f>ROUND(IF(项目基本情况!B8="出让",SUMPRODUCT(PRODUCT(1+O20:O24)),SUMPRODUCT(PRODUCT(1+O20:O23))),4)</f>
        <v>1.0307999999999999</v>
      </c>
      <c r="W20" s="3381">
        <f t="shared" si="137"/>
        <v>1.0084</v>
      </c>
      <c r="X20" s="3365"/>
      <c r="Y20" s="3390">
        <f>IF(D20=0,0,ROUND(AVERAGE(D20:D24)/100,4))</f>
        <v>8.6E-3</v>
      </c>
      <c r="Z20" s="3390">
        <f>IF(E20=0,0,ROUND(AVERAGE(E20:E24)/100,4))</f>
        <v>3.8999999999999998E-3</v>
      </c>
      <c r="AA20" s="3390">
        <f>IF(F20=0,0,ROUND(AVERAGE(F20:F24)/100,4))</f>
        <v>1.6999999999999999E-3</v>
      </c>
      <c r="AB20" s="3390">
        <f>IF(G20=0,0,ROUND(AVERAGE(G20:G24)/100,4))</f>
        <v>9.2999999999999992E-3</v>
      </c>
      <c r="AC20" s="3390">
        <f>IF(H20=0,0,ROUND(AVERAGE(H20:H24)/100,4))</f>
        <v>6.1000000000000004E-3</v>
      </c>
      <c r="AD20" s="3390">
        <f t="shared" si="103"/>
        <v>1.6999999999999999E-3</v>
      </c>
      <c r="AF20" s="3680">
        <f t="shared" si="75"/>
        <v>104.35000000000001</v>
      </c>
      <c r="AG20" s="3680">
        <f t="shared" si="76"/>
        <v>101.98</v>
      </c>
      <c r="AH20" s="3680">
        <f t="shared" si="77"/>
        <v>100.84</v>
      </c>
      <c r="AI20" s="3680">
        <f t="shared" si="78"/>
        <v>104.76</v>
      </c>
      <c r="AJ20" s="3680">
        <f t="shared" si="79"/>
        <v>103.08</v>
      </c>
      <c r="AK20" s="3680">
        <f t="shared" si="80"/>
        <v>100.84</v>
      </c>
      <c r="AM20" s="3680">
        <f t="shared" si="57"/>
        <v>97.758208059538163</v>
      </c>
      <c r="AN20" s="3680">
        <f t="shared" si="58"/>
        <v>98.484027728253452</v>
      </c>
      <c r="AO20" s="3680">
        <f t="shared" si="59"/>
        <v>101.98006140762442</v>
      </c>
      <c r="AP20" s="3680">
        <f t="shared" si="60"/>
        <v>97.017570003134026</v>
      </c>
      <c r="AQ20" s="3680">
        <f t="shared" si="61"/>
        <v>94.468039149015155</v>
      </c>
      <c r="AR20" s="3680">
        <f t="shared" si="62"/>
        <v>101.98006140762442</v>
      </c>
    </row>
    <row r="21" spans="1:44">
      <c r="A21" s="3344" t="s">
        <v>2782</v>
      </c>
      <c r="B21" s="3403">
        <v>2021</v>
      </c>
      <c r="C21" s="3404">
        <v>4</v>
      </c>
      <c r="D21" s="3404">
        <v>1.03</v>
      </c>
      <c r="E21" s="3404">
        <v>0.24</v>
      </c>
      <c r="F21" s="3404">
        <v>7.0000000000000007E-2</v>
      </c>
      <c r="G21" s="3404">
        <v>1.17</v>
      </c>
      <c r="H21" s="3410">
        <v>0.55000000000000004</v>
      </c>
      <c r="I21" s="3405">
        <f t="shared" si="101"/>
        <v>7.0000000000000007E-2</v>
      </c>
      <c r="J21" s="3365"/>
      <c r="K21" s="3366">
        <f t="shared" si="102"/>
        <v>1.03E-2</v>
      </c>
      <c r="L21" s="3367">
        <f t="shared" si="102"/>
        <v>2.3999999999999998E-3</v>
      </c>
      <c r="M21" s="3367">
        <f t="shared" si="102"/>
        <v>7.000000000000001E-4</v>
      </c>
      <c r="N21" s="3367">
        <f t="shared" si="102"/>
        <v>1.1699999999999999E-2</v>
      </c>
      <c r="O21" s="3367">
        <f t="shared" si="102"/>
        <v>5.5000000000000005E-3</v>
      </c>
      <c r="P21" s="3367">
        <f t="shared" si="136"/>
        <v>7.000000000000001E-4</v>
      </c>
      <c r="Q21" s="3365"/>
      <c r="R21" s="3381">
        <f>ROUND(IF(项目基本情况!B8="出让",SUMPRODUCT(PRODUCT(1+K21:K24)),SUMPRODUCT(PRODUCT(1+K21:K23))),4)</f>
        <v>1.0343</v>
      </c>
      <c r="S21" s="3381">
        <f>ROUND(IF(项目基本情况!B8="出让",SUMPRODUCT(PRODUCT(1+L21:L24)),SUMPRODUCT(PRODUCT(1+L21:L23))),4)</f>
        <v>1.0154000000000001</v>
      </c>
      <c r="T21" s="3381">
        <f>ROUND(IF(项目基本情况!B8="出让",SUMPRODUCT(PRODUCT(1+M21:M24)),SUMPRODUCT(PRODUCT(1+M21:M23))),4)</f>
        <v>1.0046999999999999</v>
      </c>
      <c r="U21" s="3381">
        <f>ROUND(IF(项目基本情况!B8="出让",SUMPRODUCT(PRODUCT(1+N21:N24)),SUMPRODUCT(PRODUCT(1+N21:N23))),4)</f>
        <v>1.0376000000000001</v>
      </c>
      <c r="V21" s="3381">
        <f>ROUND(IF(项目基本情况!B8="出让",SUMPRODUCT(PRODUCT(1+O21:O24)),SUMPRODUCT(PRODUCT(1+O21:O23))),4)</f>
        <v>1.0242</v>
      </c>
      <c r="W21" s="3381">
        <f t="shared" si="137"/>
        <v>1.0046999999999999</v>
      </c>
      <c r="X21" s="3365"/>
      <c r="Y21" s="3390">
        <f>IF(D21=0,0,ROUND(AVERAGE(D21:D24)/100,4))</f>
        <v>8.5000000000000006E-3</v>
      </c>
      <c r="Z21" s="3390">
        <f>IF(E21=0,0,ROUND(AVERAGE(E21:E24)/100,4))</f>
        <v>3.8E-3</v>
      </c>
      <c r="AA21" s="3390">
        <f>IF(F21=0,0,ROUND(AVERAGE(F21:F24)/100,4))</f>
        <v>1.1999999999999999E-3</v>
      </c>
      <c r="AB21" s="3390">
        <f>IF(G21=0,0,ROUND(AVERAGE(G21:G24)/100,4))</f>
        <v>9.2999999999999992E-3</v>
      </c>
      <c r="AC21" s="3390">
        <f>IF(H21=0,0,ROUND(AVERAGE(H21:H24)/100,4))</f>
        <v>6.0000000000000001E-3</v>
      </c>
      <c r="AD21" s="3390">
        <f t="shared" si="103"/>
        <v>1.1999999999999999E-3</v>
      </c>
      <c r="AF21" s="3680">
        <f t="shared" si="75"/>
        <v>103.43</v>
      </c>
      <c r="AG21" s="3680">
        <f t="shared" si="76"/>
        <v>101.54</v>
      </c>
      <c r="AH21" s="3680">
        <f t="shared" si="77"/>
        <v>100.47</v>
      </c>
      <c r="AI21" s="3680">
        <f t="shared" si="78"/>
        <v>103.76</v>
      </c>
      <c r="AJ21" s="3680">
        <f t="shared" si="79"/>
        <v>102.42</v>
      </c>
      <c r="AK21" s="3680">
        <f t="shared" si="80"/>
        <v>100.47</v>
      </c>
      <c r="AM21" s="3680">
        <f t="shared" si="57"/>
        <v>96.895835126908679</v>
      </c>
      <c r="AN21" s="3680">
        <f t="shared" si="58"/>
        <v>98.0525963045136</v>
      </c>
      <c r="AO21" s="3680">
        <f t="shared" si="59"/>
        <v>101.60412614090308</v>
      </c>
      <c r="AP21" s="3680">
        <f t="shared" si="60"/>
        <v>96.095057451598677</v>
      </c>
      <c r="AQ21" s="3680">
        <f t="shared" si="61"/>
        <v>93.867288502598527</v>
      </c>
      <c r="AR21" s="3680">
        <f t="shared" si="62"/>
        <v>101.60412614090308</v>
      </c>
    </row>
    <row r="22" spans="1:44">
      <c r="A22" s="3344" t="s">
        <v>2783</v>
      </c>
      <c r="B22" s="3403">
        <v>2021</v>
      </c>
      <c r="C22" s="3404">
        <v>3</v>
      </c>
      <c r="D22" s="3404">
        <v>0.47</v>
      </c>
      <c r="E22" s="3404">
        <v>0.41</v>
      </c>
      <c r="F22" s="3404">
        <v>0.24</v>
      </c>
      <c r="G22" s="3404">
        <v>0.48</v>
      </c>
      <c r="H22" s="3410">
        <v>0.48</v>
      </c>
      <c r="I22" s="3405">
        <f t="shared" si="101"/>
        <v>0.24</v>
      </c>
      <c r="J22" s="3365"/>
      <c r="K22" s="3366">
        <f t="shared" si="102"/>
        <v>4.6999999999999993E-3</v>
      </c>
      <c r="L22" s="3367">
        <f t="shared" si="102"/>
        <v>4.0999999999999995E-3</v>
      </c>
      <c r="M22" s="3367">
        <f t="shared" si="102"/>
        <v>2.3999999999999998E-3</v>
      </c>
      <c r="N22" s="3367">
        <f t="shared" si="102"/>
        <v>4.7999999999999996E-3</v>
      </c>
      <c r="O22" s="3367">
        <f t="shared" si="102"/>
        <v>4.7999999999999996E-3</v>
      </c>
      <c r="P22" s="3367">
        <f t="shared" si="136"/>
        <v>2.3999999999999998E-3</v>
      </c>
      <c r="Q22" s="3365"/>
      <c r="R22" s="3381">
        <f>ROUND(IF(项目基本情况!B8="出让",SUMPRODUCT(PRODUCT(1+K22:K24)),SUMPRODUCT(PRODUCT(1+K22:K23))),4)</f>
        <v>1.0238</v>
      </c>
      <c r="S22" s="3381">
        <f>ROUND(IF(项目基本情况!B8="出让",SUMPRODUCT(PRODUCT(1+L22:L24)),SUMPRODUCT(PRODUCT(1+L22:L23))),4)</f>
        <v>1.0128999999999999</v>
      </c>
      <c r="T22" s="3381">
        <f>ROUND(IF(项目基本情况!B8="出让",SUMPRODUCT(PRODUCT(1+M22:M24)),SUMPRODUCT(PRODUCT(1+M22:M23))),4)</f>
        <v>1.004</v>
      </c>
      <c r="U22" s="3381">
        <f>ROUND(IF(项目基本情况!B8="出让",SUMPRODUCT(PRODUCT(1+N22:N24)),SUMPRODUCT(PRODUCT(1+N22:N23))),4)</f>
        <v>1.0256000000000001</v>
      </c>
      <c r="V22" s="3381">
        <f>ROUND(IF(项目基本情况!B8="出让",SUMPRODUCT(PRODUCT(1+O22:O24)),SUMPRODUCT(PRODUCT(1+O22:O23))),4)</f>
        <v>1.0185999999999999</v>
      </c>
      <c r="W22" s="3381">
        <f t="shared" si="137"/>
        <v>1.004</v>
      </c>
      <c r="X22" s="3365"/>
      <c r="Y22" s="3390">
        <f>IF(D22=0,0,ROUND(AVERAGE(D22:D24)/100,4))</f>
        <v>7.9000000000000008E-3</v>
      </c>
      <c r="Z22" s="3390">
        <f>IF(E22=0,0,ROUND(AVERAGE(E22:E24)/100,4))</f>
        <v>4.3E-3</v>
      </c>
      <c r="AA22" s="3390">
        <f>IF(F22=0,0,ROUND(AVERAGE(F22:F24)/100,4))</f>
        <v>1.2999999999999999E-3</v>
      </c>
      <c r="AB22" s="3390">
        <f>IF(G22=0,0,ROUND(AVERAGE(G22:G24)/100,4))</f>
        <v>8.5000000000000006E-3</v>
      </c>
      <c r="AC22" s="3390">
        <f>IF(H22=0,0,ROUND(AVERAGE(H22:H24)/100,4))</f>
        <v>6.1999999999999998E-3</v>
      </c>
      <c r="AD22" s="3390">
        <f t="shared" si="103"/>
        <v>1.2999999999999999E-3</v>
      </c>
      <c r="AF22" s="3680">
        <f t="shared" si="75"/>
        <v>102.38000000000001</v>
      </c>
      <c r="AG22" s="3680">
        <f t="shared" si="76"/>
        <v>101.28999999999999</v>
      </c>
      <c r="AH22" s="3680">
        <f t="shared" si="77"/>
        <v>100.4</v>
      </c>
      <c r="AI22" s="3680">
        <f t="shared" si="78"/>
        <v>102.56</v>
      </c>
      <c r="AJ22" s="3680">
        <f t="shared" si="79"/>
        <v>101.86</v>
      </c>
      <c r="AK22" s="3680">
        <f t="shared" si="80"/>
        <v>100.4</v>
      </c>
      <c r="AM22" s="3680">
        <f t="shared" si="57"/>
        <v>95.907982903007706</v>
      </c>
      <c r="AN22" s="3680">
        <f t="shared" si="58"/>
        <v>97.81783350410376</v>
      </c>
      <c r="AO22" s="3680">
        <f t="shared" si="59"/>
        <v>101.53305300380042</v>
      </c>
      <c r="AP22" s="3680">
        <f t="shared" si="60"/>
        <v>94.983747604624568</v>
      </c>
      <c r="AQ22" s="3680">
        <f t="shared" si="61"/>
        <v>93.353842369565911</v>
      </c>
      <c r="AR22" s="3680">
        <f t="shared" si="62"/>
        <v>101.53305300380042</v>
      </c>
    </row>
    <row r="23" spans="1:44">
      <c r="A23" s="3344" t="s">
        <v>2784</v>
      </c>
      <c r="B23" s="3403">
        <v>2021</v>
      </c>
      <c r="C23" s="3404">
        <v>2</v>
      </c>
      <c r="D23" s="3404">
        <v>0.92</v>
      </c>
      <c r="E23" s="3404">
        <v>0.72</v>
      </c>
      <c r="F23" s="3404">
        <v>0.41</v>
      </c>
      <c r="G23" s="3404">
        <v>0.95</v>
      </c>
      <c r="H23" s="3410">
        <v>1.01</v>
      </c>
      <c r="I23" s="3405">
        <f t="shared" si="101"/>
        <v>0.41</v>
      </c>
      <c r="J23" s="3365"/>
      <c r="K23" s="3366">
        <f t="shared" si="102"/>
        <v>9.1999999999999998E-3</v>
      </c>
      <c r="L23" s="3367">
        <f t="shared" si="102"/>
        <v>7.1999999999999998E-3</v>
      </c>
      <c r="M23" s="3367">
        <f t="shared" si="102"/>
        <v>4.0999999999999995E-3</v>
      </c>
      <c r="N23" s="3367">
        <f t="shared" si="102"/>
        <v>9.4999999999999998E-3</v>
      </c>
      <c r="O23" s="3367">
        <f t="shared" si="102"/>
        <v>1.01E-2</v>
      </c>
      <c r="P23" s="3367">
        <f t="shared" si="136"/>
        <v>4.0999999999999995E-3</v>
      </c>
      <c r="Q23" s="3365"/>
      <c r="R23" s="3381">
        <f>ROUND(IF(项目基本情况!B8="出让",SUMPRODUCT(PRODUCT(1+K23:K24)),SUMPRODUCT(PRODUCT(1+K23:K23))),4)</f>
        <v>1.0189999999999999</v>
      </c>
      <c r="S23" s="3381">
        <f>ROUND(IF(项目基本情况!B8="出让",SUMPRODUCT(PRODUCT(1+L23:L24)),SUMPRODUCT(PRODUCT(1+L23:L23))),4)</f>
        <v>1.0087999999999999</v>
      </c>
      <c r="T23" s="3381">
        <f>ROUND(IF(项目基本情况!B8="出让",SUMPRODUCT(PRODUCT(1+M23:M24)),SUMPRODUCT(PRODUCT(1+M23:M23))),4)</f>
        <v>1.0016</v>
      </c>
      <c r="U23" s="3381">
        <f>ROUND(IF(项目基本情况!B8="出让",SUMPRODUCT(PRODUCT(1+N23:N24)),SUMPRODUCT(PRODUCT(1+N23:N23))),4)</f>
        <v>1.0206999999999999</v>
      </c>
      <c r="V23" s="3381">
        <f>ROUND(IF(项目基本情况!B8="出让",SUMPRODUCT(PRODUCT(1+O23:O24)),SUMPRODUCT(PRODUCT(1+O23:O23))),4)</f>
        <v>1.0137</v>
      </c>
      <c r="W23" s="3381">
        <f t="shared" si="137"/>
        <v>1.0016</v>
      </c>
      <c r="X23" s="3365"/>
      <c r="Y23" s="3390">
        <f>IF(D23=0,0,ROUND(AVERAGE(D23:D24)/100,4))</f>
        <v>9.4999999999999998E-3</v>
      </c>
      <c r="Z23" s="3390">
        <f>IF(E23=0,0,ROUND(AVERAGE(E23:E24)/100,4))</f>
        <v>4.4000000000000003E-3</v>
      </c>
      <c r="AA23" s="3390">
        <f>IF(F23=0,0,ROUND(AVERAGE(F23:F24)/100,4))</f>
        <v>8.0000000000000004E-4</v>
      </c>
      <c r="AB23" s="3390">
        <f>IF(G23=0,0,ROUND(AVERAGE(G23:G24)/100,4))</f>
        <v>1.03E-2</v>
      </c>
      <c r="AC23" s="3390">
        <f>IF(H23=0,0,ROUND(AVERAGE(H23:H24)/100,4))</f>
        <v>6.8999999999999999E-3</v>
      </c>
      <c r="AD23" s="3390">
        <f t="shared" si="103"/>
        <v>8.0000000000000004E-4</v>
      </c>
      <c r="AF23" s="3680">
        <f>$AF$24*R23</f>
        <v>101.89999999999999</v>
      </c>
      <c r="AG23" s="3680">
        <f>$AG$24*S23</f>
        <v>100.88</v>
      </c>
      <c r="AH23" s="3680">
        <f>$AH$24*T23</f>
        <v>100.16000000000001</v>
      </c>
      <c r="AI23" s="3680">
        <f>$AI$24*U23</f>
        <v>102.07</v>
      </c>
      <c r="AJ23" s="3680">
        <f>$AJ$24*V23</f>
        <v>101.37</v>
      </c>
      <c r="AK23" s="3680">
        <f>$AK$24*W23</f>
        <v>100.16000000000001</v>
      </c>
      <c r="AM23" s="3680">
        <f t="shared" si="57"/>
        <v>95.459324079832498</v>
      </c>
      <c r="AN23" s="3680">
        <f t="shared" si="58"/>
        <v>97.418417990343357</v>
      </c>
      <c r="AO23" s="3680">
        <f t="shared" si="59"/>
        <v>101.28995710674424</v>
      </c>
      <c r="AP23" s="3680">
        <f t="shared" si="60"/>
        <v>94.530003587405034</v>
      </c>
      <c r="AQ23" s="3680">
        <f t="shared" si="61"/>
        <v>92.907884523851436</v>
      </c>
      <c r="AR23" s="3680">
        <f t="shared" si="62"/>
        <v>101.28995710674424</v>
      </c>
    </row>
    <row r="24" spans="1:44" ht="15" thickBot="1">
      <c r="A24" s="3346" t="s">
        <v>2785</v>
      </c>
      <c r="B24" s="3411">
        <v>2021</v>
      </c>
      <c r="C24" s="3412">
        <v>1</v>
      </c>
      <c r="D24" s="3412">
        <v>0.97</v>
      </c>
      <c r="E24" s="3412">
        <v>0.16</v>
      </c>
      <c r="F24" s="3412">
        <v>-0.25</v>
      </c>
      <c r="G24" s="3412">
        <v>1.1100000000000001</v>
      </c>
      <c r="H24" s="3413">
        <v>0.36</v>
      </c>
      <c r="I24" s="3414">
        <f t="shared" si="101"/>
        <v>-0.25</v>
      </c>
      <c r="J24" s="3371"/>
      <c r="K24" s="3372">
        <f t="shared" si="102"/>
        <v>9.7000000000000003E-3</v>
      </c>
      <c r="L24" s="3373">
        <f t="shared" si="102"/>
        <v>1.6000000000000001E-3</v>
      </c>
      <c r="M24" s="3373">
        <f>F24/100</f>
        <v>-2.5000000000000001E-3</v>
      </c>
      <c r="N24" s="3373">
        <f t="shared" si="102"/>
        <v>1.11E-2</v>
      </c>
      <c r="O24" s="3373">
        <f t="shared" si="102"/>
        <v>3.5999999999999999E-3</v>
      </c>
      <c r="P24" s="3373">
        <f t="shared" si="136"/>
        <v>-2.5000000000000001E-3</v>
      </c>
      <c r="Q24" s="3371"/>
      <c r="R24" s="3382">
        <v>1</v>
      </c>
      <c r="S24" s="3382">
        <v>1</v>
      </c>
      <c r="T24" s="3382">
        <v>1</v>
      </c>
      <c r="U24" s="3382">
        <v>1</v>
      </c>
      <c r="V24" s="3382">
        <v>1</v>
      </c>
      <c r="W24" s="3382">
        <f t="shared" si="137"/>
        <v>1</v>
      </c>
      <c r="X24" s="3371"/>
      <c r="Y24" s="3373">
        <f>IF(D24=0,0,ROUND(AVERAGE(D24:D24)/100,4))</f>
        <v>9.7000000000000003E-3</v>
      </c>
      <c r="Z24" s="3373">
        <f>IF(E24=0,0,ROUND(AVERAGE(E24:E24)/100,4))</f>
        <v>1.6000000000000001E-3</v>
      </c>
      <c r="AA24" s="3373">
        <f>IF(F24=0,0,ROUND(AVERAGE(F24:F24)/100,4))</f>
        <v>-2.5000000000000001E-3</v>
      </c>
      <c r="AB24" s="3373">
        <f>IF(G24=0,0,ROUND(AVERAGE(G24:G24)/100,4))</f>
        <v>1.11E-2</v>
      </c>
      <c r="AC24" s="3373">
        <f>IF(H24=0,0,ROUND(AVERAGE(H24:H24)/100,4))</f>
        <v>3.5999999999999999E-3</v>
      </c>
      <c r="AD24" s="3373">
        <f>AA24</f>
        <v>-2.5000000000000001E-3</v>
      </c>
      <c r="AF24" s="3681">
        <v>100</v>
      </c>
      <c r="AG24" s="3681">
        <v>100</v>
      </c>
      <c r="AH24" s="3681">
        <v>100</v>
      </c>
      <c r="AI24" s="3681">
        <v>100</v>
      </c>
      <c r="AJ24" s="3681">
        <v>100</v>
      </c>
      <c r="AK24" s="3681">
        <v>100</v>
      </c>
      <c r="AM24" s="3680">
        <f t="shared" si="57"/>
        <v>94.589104320087685</v>
      </c>
      <c r="AN24" s="3680">
        <f t="shared" si="58"/>
        <v>96.722019450301175</v>
      </c>
      <c r="AO24" s="3680">
        <f t="shared" si="59"/>
        <v>100.87636401428567</v>
      </c>
      <c r="AP24" s="3680">
        <f t="shared" si="60"/>
        <v>93.640419601193685</v>
      </c>
      <c r="AQ24" s="3680">
        <f t="shared" si="61"/>
        <v>91.978897657510586</v>
      </c>
      <c r="AR24" s="3680">
        <f t="shared" si="62"/>
        <v>100.87636401428567</v>
      </c>
    </row>
    <row r="25" spans="1:44" ht="15" thickTop="1">
      <c r="A25" s="3281"/>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3281"/>
      <c r="AD25" s="3281"/>
    </row>
    <row r="26" spans="1:44">
      <c r="A26" s="3662" t="s">
        <v>3266</v>
      </c>
      <c r="B26" s="3281"/>
      <c r="C26" s="3281"/>
      <c r="D26" s="3281"/>
      <c r="E26" s="3281"/>
      <c r="F26" s="3281"/>
      <c r="G26" s="3281"/>
      <c r="H26" s="3281"/>
      <c r="I26" s="3281"/>
      <c r="J26" s="3281"/>
      <c r="K26" s="3281"/>
      <c r="L26" s="3281"/>
      <c r="M26" s="3281"/>
      <c r="N26" s="3281"/>
      <c r="O26" s="3281"/>
      <c r="P26" s="3281"/>
      <c r="Q26" s="3281"/>
      <c r="R26" s="3281"/>
      <c r="S26" s="3281"/>
      <c r="T26" s="3281"/>
      <c r="U26" s="3281"/>
      <c r="V26" s="3281"/>
      <c r="W26" s="3281"/>
      <c r="X26" s="3281"/>
      <c r="Y26" s="3281"/>
      <c r="Z26" s="3281"/>
      <c r="AA26" s="3281"/>
      <c r="AB26" s="3281"/>
      <c r="AC26" s="3281"/>
      <c r="AD26" s="3281"/>
    </row>
    <row r="27" spans="1:44">
      <c r="A27" s="3281"/>
      <c r="B27" s="3281"/>
      <c r="C27" s="3281"/>
      <c r="D27" s="3281"/>
      <c r="E27" s="3281"/>
      <c r="F27" s="3281"/>
      <c r="G27" s="3281"/>
      <c r="H27" s="3281"/>
      <c r="I27" s="3374" t="s">
        <v>2796</v>
      </c>
      <c r="J27" s="3281"/>
      <c r="K27" s="3281"/>
      <c r="L27" s="3281"/>
      <c r="M27" s="3281"/>
      <c r="N27" s="3281"/>
      <c r="O27" s="3281"/>
      <c r="P27" s="3281"/>
      <c r="Q27" s="3281"/>
      <c r="R27" s="3281"/>
      <c r="S27" s="3281"/>
      <c r="T27" s="3281"/>
      <c r="U27" s="3281"/>
      <c r="V27" s="3281"/>
      <c r="W27" s="3281"/>
      <c r="X27" s="3281"/>
      <c r="Y27" s="3281"/>
      <c r="Z27" s="3281"/>
      <c r="AA27" s="3281"/>
      <c r="AB27" s="3281"/>
      <c r="AC27" s="3281"/>
      <c r="AD27" s="3281"/>
    </row>
    <row r="28" spans="1:44">
      <c r="A28" s="3281"/>
      <c r="B28" s="3281"/>
      <c r="C28" s="3281"/>
      <c r="D28" s="3281"/>
      <c r="E28" s="3281"/>
      <c r="F28" s="3281"/>
      <c r="G28" s="3281"/>
      <c r="H28" s="3281"/>
      <c r="I28" s="3281"/>
      <c r="J28" s="3281"/>
      <c r="K28" s="3281"/>
      <c r="L28" s="3281"/>
      <c r="M28" s="3281"/>
      <c r="N28" s="3281"/>
      <c r="O28" s="3281"/>
      <c r="P28" s="3281"/>
      <c r="Q28" s="3281"/>
      <c r="R28" s="3281"/>
      <c r="S28" s="3281"/>
      <c r="T28" s="3281"/>
      <c r="U28" s="3281"/>
      <c r="V28" s="3281"/>
      <c r="W28" s="3281"/>
      <c r="X28" s="3281"/>
      <c r="Y28" s="3281"/>
      <c r="Z28" s="3281"/>
      <c r="AA28" s="3281"/>
      <c r="AB28" s="3281"/>
      <c r="AC28" s="3281"/>
      <c r="AD28" s="3281"/>
    </row>
    <row r="29" spans="1:44">
      <c r="A29" s="3347"/>
      <c r="B29" s="3348" t="s">
        <v>3265</v>
      </c>
      <c r="C29" s="3349"/>
      <c r="D29" s="3349"/>
      <c r="E29" s="3349"/>
      <c r="F29" s="3349"/>
      <c r="G29" s="3349"/>
      <c r="H29" s="3349"/>
      <c r="I29" s="3349"/>
      <c r="J29" s="3350"/>
      <c r="K29" s="3349" t="s">
        <v>2789</v>
      </c>
      <c r="L29" s="3349"/>
      <c r="M29" s="3349"/>
      <c r="N29" s="3349"/>
      <c r="O29" s="3349"/>
      <c r="P29" s="3349"/>
      <c r="Q29" s="3350"/>
      <c r="R29" s="4029" t="s">
        <v>2804</v>
      </c>
      <c r="S29" s="4030"/>
      <c r="T29" s="4030"/>
      <c r="U29" s="4030"/>
      <c r="V29" s="4030"/>
      <c r="W29" s="4030"/>
      <c r="X29" s="3350"/>
      <c r="Y29" s="4029" t="s">
        <v>1925</v>
      </c>
      <c r="Z29" s="4030"/>
      <c r="AA29" s="4030"/>
      <c r="AB29" s="4030"/>
      <c r="AC29" s="4030"/>
      <c r="AD29" s="4030"/>
    </row>
    <row r="30" spans="1:44" ht="15" thickBot="1">
      <c r="A30" s="3341"/>
      <c r="B30" s="3351"/>
      <c r="C30" s="3352"/>
      <c r="D30" s="3353" t="s">
        <v>2791</v>
      </c>
      <c r="E30" s="3354" t="s">
        <v>2792</v>
      </c>
      <c r="F30" s="3354" t="s">
        <v>2793</v>
      </c>
      <c r="G30" s="3354" t="s">
        <v>1469</v>
      </c>
      <c r="H30" s="3354"/>
      <c r="I30" s="3354" t="s">
        <v>2737</v>
      </c>
      <c r="J30" s="3355"/>
      <c r="K30" s="3353" t="s">
        <v>2791</v>
      </c>
      <c r="L30" s="3354" t="s">
        <v>2792</v>
      </c>
      <c r="M30" s="3354" t="s">
        <v>2793</v>
      </c>
      <c r="N30" s="3354" t="s">
        <v>2794</v>
      </c>
      <c r="O30" s="3354"/>
      <c r="P30" s="3354" t="s">
        <v>2737</v>
      </c>
      <c r="Q30" s="3355"/>
      <c r="R30" s="3353" t="s">
        <v>2805</v>
      </c>
      <c r="S30" s="3354" t="s">
        <v>2806</v>
      </c>
      <c r="T30" s="3354" t="s">
        <v>2793</v>
      </c>
      <c r="U30" s="3354" t="s">
        <v>1469</v>
      </c>
      <c r="V30" s="3354"/>
      <c r="W30" s="3354" t="s">
        <v>2807</v>
      </c>
      <c r="X30" s="3355"/>
      <c r="Y30" s="3353" t="s">
        <v>2790</v>
      </c>
      <c r="Z30" s="3354" t="s">
        <v>2792</v>
      </c>
      <c r="AA30" s="3354" t="s">
        <v>2793</v>
      </c>
      <c r="AB30" s="3354" t="s">
        <v>1469</v>
      </c>
      <c r="AC30" s="3354"/>
      <c r="AD30" s="3354" t="s">
        <v>2810</v>
      </c>
      <c r="AG30" t="s">
        <v>2738</v>
      </c>
      <c r="AH30" t="s">
        <v>1212</v>
      </c>
      <c r="AI30" t="s">
        <v>851</v>
      </c>
      <c r="AK30" t="s">
        <v>2736</v>
      </c>
      <c r="AN30" t="s">
        <v>2738</v>
      </c>
      <c r="AO30" t="s">
        <v>1212</v>
      </c>
      <c r="AP30" t="s">
        <v>851</v>
      </c>
      <c r="AR30" t="s">
        <v>2736</v>
      </c>
    </row>
    <row r="31" spans="1:44">
      <c r="A31" s="3342" t="s">
        <v>2786</v>
      </c>
      <c r="B31" s="3356"/>
      <c r="C31" s="3357"/>
      <c r="D31" s="3357"/>
      <c r="E31" s="3357">
        <f>ROUND(AVERAGEIF(E32:E52,"&lt;&gt;0"),2)</f>
        <v>0.11</v>
      </c>
      <c r="F31" s="3357">
        <f>ROUND(AVERAGEIF(F32:F52,"&lt;&gt;0"),2)</f>
        <v>7.0000000000000007E-2</v>
      </c>
      <c r="G31" s="3357">
        <f>ROUND(AVERAGEIF(G32:G52,"&lt;&gt;0"),2)</f>
        <v>0.26</v>
      </c>
      <c r="H31" s="3357"/>
      <c r="I31" s="3357">
        <f>F31</f>
        <v>7.0000000000000007E-2</v>
      </c>
      <c r="J31" s="3358"/>
      <c r="K31" s="3359"/>
      <c r="L31" s="3360">
        <f>ROUND(AVERAGEIF(L32:L52,"&lt;&gt;0"),4)</f>
        <v>1.1000000000000001E-3</v>
      </c>
      <c r="M31" s="3360">
        <f>ROUND(AVERAGEIF(M32:M52,"&lt;&gt;0"),4)</f>
        <v>6.9999999999999999E-4</v>
      </c>
      <c r="N31" s="3360">
        <f>ROUND(AVERAGEIF(N32:N52,"&lt;&gt;0"),4)</f>
        <v>2.5999999999999999E-3</v>
      </c>
      <c r="O31" s="3360"/>
      <c r="P31" s="3360">
        <f>M31</f>
        <v>6.9999999999999999E-4</v>
      </c>
      <c r="Q31" s="3358"/>
      <c r="R31" s="3375"/>
      <c r="S31" s="3376">
        <f>ROUND(SUMPRODUCT(PRODUCT(1+L32:L52)),4)</f>
        <v>1.0185</v>
      </c>
      <c r="T31" s="3376">
        <f>ROUND(SUMPRODUCT(PRODUCT(1+M32:M52)),4)</f>
        <v>1.012</v>
      </c>
      <c r="U31" s="3376">
        <f>ROUND(SUMPRODUCT(PRODUCT(1+N32:N52)),4)</f>
        <v>1.0436000000000001</v>
      </c>
      <c r="V31" s="3376"/>
      <c r="W31" s="3375">
        <f>T31</f>
        <v>1.012</v>
      </c>
      <c r="X31" s="3358"/>
      <c r="Y31" s="3383"/>
      <c r="Z31" s="3384">
        <f>ROUND(AVERAGEIF(Z32:Z52,"&lt;&gt;0"),4)</f>
        <v>3.7000000000000002E-3</v>
      </c>
      <c r="AA31" s="3385">
        <f>ROUND(AVERAGEIF(AA32:AA52,"&lt;&gt;0"),4)</f>
        <v>3.0000000000000001E-3</v>
      </c>
      <c r="AB31" s="3383">
        <f>ROUND(AVERAGEIF(AB32:AB52,"&lt;&gt;0"),4)</f>
        <v>6.8999999999999999E-3</v>
      </c>
      <c r="AC31" s="3386"/>
      <c r="AD31" s="3383">
        <f>AA31</f>
        <v>3.0000000000000001E-3</v>
      </c>
    </row>
    <row r="32" spans="1:44">
      <c r="A32" s="3343"/>
      <c r="B32" s="3361"/>
      <c r="C32" s="3362"/>
      <c r="D32" s="3362"/>
      <c r="E32" s="3362"/>
      <c r="F32" s="3362"/>
      <c r="G32" s="3362"/>
      <c r="H32" s="3362"/>
      <c r="I32" s="3362"/>
      <c r="J32" s="3350"/>
      <c r="K32" s="3363"/>
      <c r="L32" s="3364"/>
      <c r="M32" s="3364"/>
      <c r="N32" s="3364"/>
      <c r="O32" s="3364"/>
      <c r="P32" s="3364"/>
      <c r="Q32" s="3350"/>
      <c r="R32" s="3377"/>
      <c r="S32" s="3378"/>
      <c r="T32" s="3379"/>
      <c r="U32" s="3377"/>
      <c r="V32" s="3380"/>
      <c r="W32" s="3377"/>
      <c r="X32" s="3350"/>
      <c r="Y32" s="3367"/>
      <c r="Z32" s="3387"/>
      <c r="AA32" s="3388"/>
      <c r="AB32" s="3367"/>
      <c r="AC32" s="3389"/>
      <c r="AD32" s="3367"/>
    </row>
    <row r="33" spans="1:44">
      <c r="A33" s="3663" t="s">
        <v>3314</v>
      </c>
      <c r="B33" s="3403">
        <v>2025</v>
      </c>
      <c r="C33" s="3404">
        <v>4</v>
      </c>
      <c r="D33" s="3404"/>
      <c r="E33" s="3404">
        <v>0</v>
      </c>
      <c r="F33" s="3404">
        <v>0</v>
      </c>
      <c r="G33" s="3404">
        <v>0</v>
      </c>
      <c r="H33" s="3404"/>
      <c r="I33" s="3405">
        <f t="shared" ref="I33" si="138">F33</f>
        <v>0</v>
      </c>
      <c r="J33" s="3365"/>
      <c r="K33" s="3366"/>
      <c r="L33" s="3367">
        <f t="shared" ref="L33" si="139">E33/100</f>
        <v>0</v>
      </c>
      <c r="M33" s="3367">
        <f t="shared" ref="M33" si="140">F33/100</f>
        <v>0</v>
      </c>
      <c r="N33" s="3367">
        <f t="shared" ref="N33" si="141">G33/100</f>
        <v>0</v>
      </c>
      <c r="O33" s="3367"/>
      <c r="P33" s="3367">
        <f t="shared" ref="P33:P39" si="142">M33</f>
        <v>0</v>
      </c>
      <c r="Q33" s="3365"/>
      <c r="R33" s="3381"/>
      <c r="S33" s="3381">
        <f>ROUND(IF(项目基本情况!$B$8="出让",SUMPRODUCT(PRODUCT(1+L33:L$52)),SUMPRODUCT(PRODUCT(1+L33:L$51))),4)</f>
        <v>1.0185</v>
      </c>
      <c r="T33" s="3381">
        <f>ROUND(IF(项目基本情况!$B$8="出让",SUMPRODUCT(PRODUCT(1+M33:M$52)),SUMPRODUCT(PRODUCT(1+M33:M$51))),4)</f>
        <v>1.012</v>
      </c>
      <c r="U33" s="3381">
        <f>ROUND(IF(项目基本情况!$B$8="出让",SUMPRODUCT(PRODUCT(1+N33:N$52)),SUMPRODUCT(PRODUCT(1+N33:N$51))),4)</f>
        <v>1.0436000000000001</v>
      </c>
      <c r="V33" s="3381"/>
      <c r="W33" s="3381">
        <f t="shared" ref="W33:W39" si="143">T33</f>
        <v>1.012</v>
      </c>
      <c r="X33" s="3365"/>
      <c r="Y33" s="3390"/>
      <c r="Z33" s="3391">
        <f t="shared" ref="Z33" si="144">IF(E33=0,0,ROUND(AVERAGE(E33:E46)/100,4))</f>
        <v>0</v>
      </c>
      <c r="AA33" s="3391">
        <f t="shared" ref="AA33" si="145">IF(F33=0,0,ROUND(AVERAGE(F33:F46)/100,4))</f>
        <v>0</v>
      </c>
      <c r="AB33" s="3391">
        <f t="shared" ref="AB33" si="146">IF(G33=0,0,ROUND(AVERAGE(G33:G46)/100,4))</f>
        <v>0</v>
      </c>
      <c r="AC33" s="3392"/>
      <c r="AD33" s="3390">
        <f t="shared" ref="AD33:AD39" si="147">IF(I33=0,0,ROUND(AVERAGE(I33:I46)/100,4))</f>
        <v>0</v>
      </c>
      <c r="AG33" s="3680">
        <f t="shared" ref="AG33:AG36" si="148">$AG$52*S33</f>
        <v>101.85</v>
      </c>
      <c r="AH33" s="3680">
        <f t="shared" ref="AH33:AH36" si="149">$AH$52*T33</f>
        <v>101.2</v>
      </c>
      <c r="AI33" s="3680">
        <f t="shared" ref="AI33:AI36" si="150">$AI$52*U33</f>
        <v>104.36000000000001</v>
      </c>
      <c r="AJ33" s="3680"/>
      <c r="AK33" s="3680">
        <f t="shared" ref="AK33:AK36" si="151">$AK$52*W33</f>
        <v>101.2</v>
      </c>
      <c r="AN33" s="3679">
        <v>100</v>
      </c>
      <c r="AO33" s="3679">
        <v>100</v>
      </c>
      <c r="AP33" s="3679">
        <v>100</v>
      </c>
      <c r="AQ33" s="3679"/>
      <c r="AR33" s="3679">
        <v>100</v>
      </c>
    </row>
    <row r="34" spans="1:44">
      <c r="A34" s="3663" t="s">
        <v>3313</v>
      </c>
      <c r="B34" s="3403">
        <v>2025</v>
      </c>
      <c r="C34" s="3404">
        <v>3</v>
      </c>
      <c r="D34" s="3404"/>
      <c r="E34" s="3404">
        <v>0</v>
      </c>
      <c r="F34" s="3404">
        <v>0</v>
      </c>
      <c r="G34" s="3404">
        <v>0</v>
      </c>
      <c r="H34" s="3404"/>
      <c r="I34" s="3405">
        <f t="shared" ref="I34" si="152">F34</f>
        <v>0</v>
      </c>
      <c r="J34" s="3365"/>
      <c r="K34" s="3366"/>
      <c r="L34" s="3367">
        <f t="shared" ref="L34" si="153">E34/100</f>
        <v>0</v>
      </c>
      <c r="M34" s="3367">
        <f t="shared" ref="M34" si="154">F34/100</f>
        <v>0</v>
      </c>
      <c r="N34" s="3367">
        <f t="shared" ref="N34" si="155">G34/100</f>
        <v>0</v>
      </c>
      <c r="O34" s="3367"/>
      <c r="P34" s="3367">
        <f t="shared" si="142"/>
        <v>0</v>
      </c>
      <c r="Q34" s="3365"/>
      <c r="R34" s="3381"/>
      <c r="S34" s="3381">
        <f>ROUND(IF(项目基本情况!$B$8="出让",SUMPRODUCT(PRODUCT(1+L34:L$52)),SUMPRODUCT(PRODUCT(1+L34:L$51))),4)</f>
        <v>1.0185</v>
      </c>
      <c r="T34" s="3381">
        <f>ROUND(IF(项目基本情况!$B$8="出让",SUMPRODUCT(PRODUCT(1+M34:M$52)),SUMPRODUCT(PRODUCT(1+M34:M$51))),4)</f>
        <v>1.012</v>
      </c>
      <c r="U34" s="3381">
        <f>ROUND(IF(项目基本情况!$B$8="出让",SUMPRODUCT(PRODUCT(1+N34:N$52)),SUMPRODUCT(PRODUCT(1+N34:N$51))),4)</f>
        <v>1.0436000000000001</v>
      </c>
      <c r="V34" s="3381"/>
      <c r="W34" s="3381">
        <f t="shared" si="143"/>
        <v>1.012</v>
      </c>
      <c r="X34" s="3365"/>
      <c r="Y34" s="3390"/>
      <c r="Z34" s="3391">
        <f t="shared" ref="Z34" si="156">IF(E34=0,0,ROUND(AVERAGE(E34:E47)/100,4))</f>
        <v>0</v>
      </c>
      <c r="AA34" s="3391">
        <f t="shared" ref="AA34" si="157">IF(F34=0,0,ROUND(AVERAGE(F34:F47)/100,4))</f>
        <v>0</v>
      </c>
      <c r="AB34" s="3391">
        <f t="shared" ref="AB34" si="158">IF(G34=0,0,ROUND(AVERAGE(G34:G47)/100,4))</f>
        <v>0</v>
      </c>
      <c r="AC34" s="3392"/>
      <c r="AD34" s="3390">
        <f t="shared" si="147"/>
        <v>0</v>
      </c>
      <c r="AG34" s="3680">
        <f t="shared" si="148"/>
        <v>101.85</v>
      </c>
      <c r="AH34" s="3680">
        <f t="shared" si="149"/>
        <v>101.2</v>
      </c>
      <c r="AI34" s="3680">
        <f t="shared" si="150"/>
        <v>104.36000000000001</v>
      </c>
      <c r="AJ34" s="3680"/>
      <c r="AK34" s="3680">
        <f t="shared" si="151"/>
        <v>101.2</v>
      </c>
      <c r="AN34" s="3680">
        <f>AN33/(1+E33/100)</f>
        <v>100</v>
      </c>
      <c r="AO34" s="3680">
        <f t="shared" ref="AO34:AR34" si="159">AO33/(1+F33/100)</f>
        <v>100</v>
      </c>
      <c r="AP34" s="3680">
        <f t="shared" si="159"/>
        <v>100</v>
      </c>
      <c r="AQ34" s="3680"/>
      <c r="AR34" s="3680">
        <f t="shared" si="159"/>
        <v>100</v>
      </c>
    </row>
    <row r="35" spans="1:44">
      <c r="A35" s="3345" t="s">
        <v>3317</v>
      </c>
      <c r="B35" s="3406">
        <v>2025</v>
      </c>
      <c r="C35" s="3407">
        <v>2</v>
      </c>
      <c r="D35" s="3407"/>
      <c r="E35" s="3407">
        <v>0</v>
      </c>
      <c r="F35" s="3407">
        <v>0</v>
      </c>
      <c r="G35" s="3407">
        <v>0</v>
      </c>
      <c r="H35" s="3408"/>
      <c r="I35" s="3409">
        <f t="shared" ref="I35" si="160">F35</f>
        <v>0</v>
      </c>
      <c r="J35" s="3368"/>
      <c r="K35" s="3369"/>
      <c r="L35" s="3370">
        <f t="shared" ref="L35" si="161">E35/100</f>
        <v>0</v>
      </c>
      <c r="M35" s="3370">
        <f t="shared" ref="M35" si="162">F35/100</f>
        <v>0</v>
      </c>
      <c r="N35" s="3370">
        <f t="shared" ref="N35" si="163">G35/100</f>
        <v>0</v>
      </c>
      <c r="O35" s="3370"/>
      <c r="P35" s="3370">
        <f t="shared" si="142"/>
        <v>0</v>
      </c>
      <c r="Q35" s="3368"/>
      <c r="R35" s="3368"/>
      <c r="S35" s="3368">
        <f>ROUND(IF(项目基本情况!$B$8="出让",SUMPRODUCT(PRODUCT(1+L35:L$52)),SUMPRODUCT(PRODUCT(1+L35:L$51))),4)</f>
        <v>1.0185</v>
      </c>
      <c r="T35" s="3368">
        <f>ROUND(IF(项目基本情况!$B$8="出让",SUMPRODUCT(PRODUCT(1+M35:M$52)),SUMPRODUCT(PRODUCT(1+M35:M$51))),4)</f>
        <v>1.012</v>
      </c>
      <c r="U35" s="3368">
        <f>ROUND(IF(项目基本情况!$B$8="出让",SUMPRODUCT(PRODUCT(1+N35:N$52)),SUMPRODUCT(PRODUCT(1+N35:N$51))),4)</f>
        <v>1.0436000000000001</v>
      </c>
      <c r="V35" s="3368"/>
      <c r="W35" s="3368">
        <f t="shared" si="143"/>
        <v>1.012</v>
      </c>
      <c r="X35" s="3365"/>
      <c r="Y35" s="3390"/>
      <c r="Z35" s="3391">
        <f t="shared" ref="Z35" si="164">IF(E35=0,0,ROUND(AVERAGE(E35:E48)/100,4))</f>
        <v>0</v>
      </c>
      <c r="AA35" s="3391">
        <f t="shared" ref="AA35" si="165">IF(F35=0,0,ROUND(AVERAGE(F35:F48)/100,4))</f>
        <v>0</v>
      </c>
      <c r="AB35" s="3391">
        <f t="shared" ref="AB35" si="166">IF(G35=0,0,ROUND(AVERAGE(G35:G48)/100,4))</f>
        <v>0</v>
      </c>
      <c r="AC35" s="3392"/>
      <c r="AD35" s="3390">
        <f t="shared" si="147"/>
        <v>0</v>
      </c>
      <c r="AG35" s="3680">
        <f t="shared" si="148"/>
        <v>101.85</v>
      </c>
      <c r="AH35" s="3680">
        <f t="shared" si="149"/>
        <v>101.2</v>
      </c>
      <c r="AI35" s="3680">
        <f t="shared" si="150"/>
        <v>104.36000000000001</v>
      </c>
      <c r="AJ35" s="3680"/>
      <c r="AK35" s="3680">
        <f t="shared" si="151"/>
        <v>101.2</v>
      </c>
      <c r="AN35" s="3680">
        <f t="shared" ref="AN35:AN52" si="167">AN34/(1+E34/100)</f>
        <v>100</v>
      </c>
      <c r="AO35" s="3680">
        <f t="shared" ref="AO35:AO52" si="168">AO34/(1+F34/100)</f>
        <v>100</v>
      </c>
      <c r="AP35" s="3680">
        <f t="shared" ref="AP35:AP52" si="169">AP34/(1+G34/100)</f>
        <v>100</v>
      </c>
      <c r="AQ35" s="3680"/>
      <c r="AR35" s="3680">
        <f t="shared" ref="AR35:AR52" si="170">AR34/(1+I34/100)</f>
        <v>100</v>
      </c>
    </row>
    <row r="36" spans="1:44">
      <c r="A36" s="3663" t="s">
        <v>3261</v>
      </c>
      <c r="B36" s="3403">
        <v>2025</v>
      </c>
      <c r="C36" s="3404">
        <v>1</v>
      </c>
      <c r="D36" s="3404"/>
      <c r="E36" s="3404">
        <v>-1.47</v>
      </c>
      <c r="F36" s="3404">
        <v>-0.98</v>
      </c>
      <c r="G36" s="3404">
        <v>-0.51</v>
      </c>
      <c r="H36" s="3404"/>
      <c r="I36" s="3405">
        <f t="shared" ref="I36" si="171">F36</f>
        <v>-0.98</v>
      </c>
      <c r="J36" s="3365"/>
      <c r="K36" s="3366"/>
      <c r="L36" s="3367">
        <f t="shared" ref="L36" si="172">E36/100</f>
        <v>-1.47E-2</v>
      </c>
      <c r="M36" s="3367">
        <f t="shared" ref="M36" si="173">F36/100</f>
        <v>-9.7999999999999997E-3</v>
      </c>
      <c r="N36" s="3367">
        <f t="shared" ref="N36" si="174">G36/100</f>
        <v>-5.1000000000000004E-3</v>
      </c>
      <c r="O36" s="3367"/>
      <c r="P36" s="3367">
        <f t="shared" si="142"/>
        <v>-9.7999999999999997E-3</v>
      </c>
      <c r="Q36" s="3365"/>
      <c r="R36" s="3381"/>
      <c r="S36" s="3381">
        <f>ROUND(IF(项目基本情况!$B$8="出让",SUMPRODUCT(PRODUCT(1+L36:L$52)),SUMPRODUCT(PRODUCT(1+L36:L$51))),4)</f>
        <v>1.0185</v>
      </c>
      <c r="T36" s="3381">
        <f>ROUND(IF(项目基本情况!$B$8="出让",SUMPRODUCT(PRODUCT(1+M36:M$52)),SUMPRODUCT(PRODUCT(1+M36:M$51))),4)</f>
        <v>1.012</v>
      </c>
      <c r="U36" s="3381">
        <f>ROUND(IF(项目基本情况!$B$8="出让",SUMPRODUCT(PRODUCT(1+N36:N$52)),SUMPRODUCT(PRODUCT(1+N36:N$51))),4)</f>
        <v>1.0436000000000001</v>
      </c>
      <c r="V36" s="3381"/>
      <c r="W36" s="3381">
        <f t="shared" si="143"/>
        <v>1.012</v>
      </c>
      <c r="X36" s="3365"/>
      <c r="Y36" s="3390"/>
      <c r="Z36" s="3391">
        <f t="shared" ref="Z36" si="175">IF(E36=0,0,ROUND(AVERAGE(E36:E49)/100,4))</f>
        <v>4.0000000000000002E-4</v>
      </c>
      <c r="AA36" s="3391">
        <f t="shared" ref="AA36" si="176">IF(F36=0,0,ROUND(AVERAGE(F36:F49)/100,4))</f>
        <v>0</v>
      </c>
      <c r="AB36" s="3391">
        <f t="shared" ref="AB36" si="177">IF(G36=0,0,ROUND(AVERAGE(G36:G49)/100,4))</f>
        <v>1E-3</v>
      </c>
      <c r="AC36" s="3392"/>
      <c r="AD36" s="3390">
        <f t="shared" si="147"/>
        <v>0</v>
      </c>
      <c r="AG36" s="3680">
        <f t="shared" si="148"/>
        <v>101.85</v>
      </c>
      <c r="AH36" s="3680">
        <f t="shared" si="149"/>
        <v>101.2</v>
      </c>
      <c r="AI36" s="3680">
        <f t="shared" si="150"/>
        <v>104.36000000000001</v>
      </c>
      <c r="AJ36" s="3680"/>
      <c r="AK36" s="3680">
        <f t="shared" si="151"/>
        <v>101.2</v>
      </c>
      <c r="AN36" s="3680">
        <f t="shared" si="167"/>
        <v>100</v>
      </c>
      <c r="AO36" s="3680">
        <f t="shared" si="168"/>
        <v>100</v>
      </c>
      <c r="AP36" s="3680">
        <f t="shared" si="169"/>
        <v>100</v>
      </c>
      <c r="AQ36" s="3680"/>
      <c r="AR36" s="3680">
        <f t="shared" si="170"/>
        <v>100</v>
      </c>
    </row>
    <row r="37" spans="1:44">
      <c r="A37" s="3663" t="s">
        <v>3316</v>
      </c>
      <c r="B37" s="3403">
        <v>2024</v>
      </c>
      <c r="C37" s="3404">
        <v>4</v>
      </c>
      <c r="D37" s="3404"/>
      <c r="E37" s="3404">
        <v>-0.61</v>
      </c>
      <c r="F37" s="3404">
        <v>-0.71</v>
      </c>
      <c r="G37" s="3404">
        <v>-0.88</v>
      </c>
      <c r="H37" s="3404"/>
      <c r="I37" s="3405">
        <f t="shared" ref="I37" si="178">F37</f>
        <v>-0.71</v>
      </c>
      <c r="J37" s="3365"/>
      <c r="K37" s="3366"/>
      <c r="L37" s="3367">
        <f t="shared" ref="L37" si="179">E37/100</f>
        <v>-6.0999999999999995E-3</v>
      </c>
      <c r="M37" s="3367">
        <f t="shared" ref="M37" si="180">F37/100</f>
        <v>-7.0999999999999995E-3</v>
      </c>
      <c r="N37" s="3367">
        <f t="shared" ref="N37" si="181">G37/100</f>
        <v>-8.8000000000000005E-3</v>
      </c>
      <c r="O37" s="3367"/>
      <c r="P37" s="3367">
        <f t="shared" si="142"/>
        <v>-7.0999999999999995E-3</v>
      </c>
      <c r="Q37" s="3365"/>
      <c r="R37" s="3381"/>
      <c r="S37" s="3381">
        <f>ROUND(IF(项目基本情况!$B$8="出让",SUMPRODUCT(PRODUCT(1+L37:L$52)),SUMPRODUCT(PRODUCT(1+L37:L$51))),4)</f>
        <v>1.0337000000000001</v>
      </c>
      <c r="T37" s="3381">
        <f>ROUND(IF(项目基本情况!$B$8="出让",SUMPRODUCT(PRODUCT(1+M37:M$52)),SUMPRODUCT(PRODUCT(1+M37:M$51))),4)</f>
        <v>1.022</v>
      </c>
      <c r="U37" s="3381">
        <f>ROUND(IF(项目基本情况!$B$8="出让",SUMPRODUCT(PRODUCT(1+N37:N$52)),SUMPRODUCT(PRODUCT(1+N37:N$51))),4)</f>
        <v>1.0489999999999999</v>
      </c>
      <c r="V37" s="3381"/>
      <c r="W37" s="3381">
        <f t="shared" si="143"/>
        <v>1.022</v>
      </c>
      <c r="X37" s="3368"/>
      <c r="Y37" s="3370"/>
      <c r="Z37" s="3394">
        <f t="shared" ref="Z37" si="182">IF(E37=0,0,ROUND(AVERAGE(E37:E50)/100,4))</f>
        <v>1.6999999999999999E-3</v>
      </c>
      <c r="AA37" s="3395">
        <f t="shared" ref="AA37" si="183">IF(F37=0,0,ROUND(AVERAGE(F37:F50)/100,4))</f>
        <v>8.9999999999999998E-4</v>
      </c>
      <c r="AB37" s="3370">
        <f t="shared" ref="AB37" si="184">IF(G37=0,0,ROUND(AVERAGE(G37:G50)/100,4))</f>
        <v>2E-3</v>
      </c>
      <c r="AC37" s="3396"/>
      <c r="AD37" s="3370">
        <f t="shared" si="147"/>
        <v>8.9999999999999998E-4</v>
      </c>
      <c r="AG37" s="3680">
        <f t="shared" ref="AG37:AG51" si="185">$AG$52*S37</f>
        <v>103.37</v>
      </c>
      <c r="AH37" s="3680">
        <f t="shared" ref="AH37:AH51" si="186">$AH$52*T37</f>
        <v>102.2</v>
      </c>
      <c r="AI37" s="3680">
        <f t="shared" ref="AI37:AI51" si="187">$AI$52*U37</f>
        <v>104.89999999999999</v>
      </c>
      <c r="AJ37" s="3680"/>
      <c r="AK37" s="3680">
        <f t="shared" ref="AK37:AK51" si="188">$AK$52*W37</f>
        <v>102.2</v>
      </c>
      <c r="AN37" s="3680">
        <f t="shared" si="167"/>
        <v>101.49193139145439</v>
      </c>
      <c r="AO37" s="3680">
        <f t="shared" si="168"/>
        <v>100.98969905069683</v>
      </c>
      <c r="AP37" s="3680">
        <f t="shared" si="169"/>
        <v>100.51261433309881</v>
      </c>
      <c r="AQ37" s="3680"/>
      <c r="AR37" s="3680">
        <f t="shared" si="170"/>
        <v>100.98969905069683</v>
      </c>
    </row>
    <row r="38" spans="1:44">
      <c r="A38" s="3663" t="s">
        <v>3257</v>
      </c>
      <c r="B38" s="3403">
        <v>2024</v>
      </c>
      <c r="C38" s="3404">
        <v>3</v>
      </c>
      <c r="D38" s="3404"/>
      <c r="E38" s="3404">
        <v>-0.66</v>
      </c>
      <c r="F38" s="3404">
        <v>-0.52</v>
      </c>
      <c r="G38" s="3404">
        <v>-2.87</v>
      </c>
      <c r="H38" s="3404"/>
      <c r="I38" s="3405">
        <f t="shared" ref="I38" si="189">F38</f>
        <v>-0.52</v>
      </c>
      <c r="J38" s="3365"/>
      <c r="K38" s="3366"/>
      <c r="L38" s="3367">
        <f t="shared" ref="L38" si="190">E38/100</f>
        <v>-6.6E-3</v>
      </c>
      <c r="M38" s="3367">
        <f t="shared" ref="M38" si="191">F38/100</f>
        <v>-5.1999999999999998E-3</v>
      </c>
      <c r="N38" s="3367">
        <f t="shared" ref="N38" si="192">G38/100</f>
        <v>-2.87E-2</v>
      </c>
      <c r="O38" s="3367"/>
      <c r="P38" s="3367">
        <f t="shared" si="142"/>
        <v>-5.1999999999999998E-3</v>
      </c>
      <c r="Q38" s="3365"/>
      <c r="R38" s="3381"/>
      <c r="S38" s="3381">
        <f>ROUND(IF(项目基本情况!$B$8="出让",SUMPRODUCT(PRODUCT(1+L38:L$52)),SUMPRODUCT(PRODUCT(1+L38:L$51))),4)</f>
        <v>1.04</v>
      </c>
      <c r="T38" s="3381">
        <f>ROUND(IF(项目基本情况!$B$8="出让",SUMPRODUCT(PRODUCT(1+M38:M$52)),SUMPRODUCT(PRODUCT(1+M38:M$51))),4)</f>
        <v>1.0293000000000001</v>
      </c>
      <c r="U38" s="3381">
        <f>ROUND(IF(项目基本情况!$B$8="出让",SUMPRODUCT(PRODUCT(1+N38:N$52)),SUMPRODUCT(PRODUCT(1+N38:N$51))),4)</f>
        <v>1.0583</v>
      </c>
      <c r="V38" s="3381"/>
      <c r="W38" s="3381">
        <f t="shared" si="143"/>
        <v>1.0293000000000001</v>
      </c>
      <c r="X38" s="3365"/>
      <c r="Y38" s="3390"/>
      <c r="Z38" s="3391">
        <f t="shared" ref="Z38:AB39" si="193">IF(E38=0,0,ROUND(AVERAGE(E38:E51)/100,4))</f>
        <v>2.5999999999999999E-3</v>
      </c>
      <c r="AA38" s="3391">
        <f t="shared" si="193"/>
        <v>1.6999999999999999E-3</v>
      </c>
      <c r="AB38" s="3391">
        <f t="shared" si="193"/>
        <v>3.3999999999999998E-3</v>
      </c>
      <c r="AC38" s="3392"/>
      <c r="AD38" s="3390">
        <f t="shared" si="147"/>
        <v>1.6999999999999999E-3</v>
      </c>
      <c r="AG38" s="3680">
        <f t="shared" si="185"/>
        <v>104</v>
      </c>
      <c r="AH38" s="3680">
        <f t="shared" si="186"/>
        <v>102.93</v>
      </c>
      <c r="AI38" s="3680">
        <f t="shared" si="187"/>
        <v>105.83</v>
      </c>
      <c r="AJ38" s="3680"/>
      <c r="AK38" s="3680">
        <f t="shared" si="188"/>
        <v>102.93</v>
      </c>
      <c r="AN38" s="3680">
        <f t="shared" si="167"/>
        <v>102.11483186583598</v>
      </c>
      <c r="AO38" s="3680">
        <f t="shared" si="168"/>
        <v>101.71185320847701</v>
      </c>
      <c r="AP38" s="3680">
        <f t="shared" si="169"/>
        <v>101.4049781407373</v>
      </c>
      <c r="AQ38" s="3680"/>
      <c r="AR38" s="3680">
        <f t="shared" si="170"/>
        <v>101.71185320847701</v>
      </c>
    </row>
    <row r="39" spans="1:44">
      <c r="A39" s="3344" t="s">
        <v>3263</v>
      </c>
      <c r="B39" s="3403">
        <v>2024</v>
      </c>
      <c r="C39" s="3404">
        <v>2</v>
      </c>
      <c r="D39" s="3404"/>
      <c r="E39" s="3404">
        <v>-0.31</v>
      </c>
      <c r="F39" s="3404">
        <v>-0.39</v>
      </c>
      <c r="G39" s="3404">
        <v>1.23</v>
      </c>
      <c r="H39" s="3410"/>
      <c r="I39" s="3405">
        <f t="shared" ref="I39:I52" si="194">F39</f>
        <v>-0.39</v>
      </c>
      <c r="J39" s="3365"/>
      <c r="K39" s="3366"/>
      <c r="L39" s="3367">
        <f t="shared" ref="L39:N52" si="195">E39/100</f>
        <v>-3.0999999999999999E-3</v>
      </c>
      <c r="M39" s="3367">
        <f t="shared" si="195"/>
        <v>-3.9000000000000003E-3</v>
      </c>
      <c r="N39" s="3367">
        <f t="shared" si="195"/>
        <v>1.23E-2</v>
      </c>
      <c r="O39" s="3367"/>
      <c r="P39" s="3367">
        <f t="shared" si="142"/>
        <v>-3.9000000000000003E-3</v>
      </c>
      <c r="Q39" s="3365"/>
      <c r="R39" s="3381"/>
      <c r="S39" s="3381">
        <f>ROUND(IF(项目基本情况!$B$8="出让",SUMPRODUCT(PRODUCT(1+L39:L$52)),SUMPRODUCT(PRODUCT(1+L39:L$51))),4)</f>
        <v>1.0468999999999999</v>
      </c>
      <c r="T39" s="3381">
        <f>ROUND(IF(项目基本情况!$B$8="出让",SUMPRODUCT(PRODUCT(1+M39:M$52)),SUMPRODUCT(PRODUCT(1+M39:M$51))),4)</f>
        <v>1.0347</v>
      </c>
      <c r="U39" s="3381">
        <f>ROUND(IF(项目基本情况!$B$8="出让",SUMPRODUCT(PRODUCT(1+N39:N$52)),SUMPRODUCT(PRODUCT(1+N39:N$51))),4)</f>
        <v>1.0895999999999999</v>
      </c>
      <c r="V39" s="3381"/>
      <c r="W39" s="3381">
        <f t="shared" si="143"/>
        <v>1.0347</v>
      </c>
      <c r="X39" s="3365"/>
      <c r="Y39" s="3390"/>
      <c r="Z39" s="3391">
        <f t="shared" si="193"/>
        <v>3.3E-3</v>
      </c>
      <c r="AA39" s="3393">
        <f t="shared" si="193"/>
        <v>2.3999999999999998E-3</v>
      </c>
      <c r="AB39" s="3390">
        <f t="shared" si="193"/>
        <v>6.1999999999999998E-3</v>
      </c>
      <c r="AC39" s="3392"/>
      <c r="AD39" s="3390">
        <f t="shared" si="147"/>
        <v>2.3999999999999998E-3</v>
      </c>
      <c r="AG39" s="3680">
        <f t="shared" si="185"/>
        <v>104.69</v>
      </c>
      <c r="AH39" s="3680">
        <f t="shared" si="186"/>
        <v>103.47</v>
      </c>
      <c r="AI39" s="3680">
        <f t="shared" si="187"/>
        <v>108.96</v>
      </c>
      <c r="AJ39" s="3680"/>
      <c r="AK39" s="3680">
        <f t="shared" si="188"/>
        <v>103.47</v>
      </c>
      <c r="AN39" s="3680">
        <f t="shared" si="167"/>
        <v>102.79326743087979</v>
      </c>
      <c r="AO39" s="3680">
        <f t="shared" si="168"/>
        <v>102.24351950992863</v>
      </c>
      <c r="AP39" s="3680">
        <f t="shared" si="169"/>
        <v>104.40129531631555</v>
      </c>
      <c r="AQ39" s="3680"/>
      <c r="AR39" s="3680">
        <f t="shared" si="170"/>
        <v>102.24351950992863</v>
      </c>
    </row>
    <row r="40" spans="1:44">
      <c r="A40" s="3344" t="s">
        <v>3260</v>
      </c>
      <c r="B40" s="3403">
        <v>2024</v>
      </c>
      <c r="C40" s="3404">
        <v>1</v>
      </c>
      <c r="D40" s="3404"/>
      <c r="E40" s="3404">
        <v>0.25</v>
      </c>
      <c r="F40" s="3404">
        <v>0.4</v>
      </c>
      <c r="G40" s="3404">
        <v>-0.63</v>
      </c>
      <c r="H40" s="3410"/>
      <c r="I40" s="3405">
        <f t="shared" si="194"/>
        <v>0.4</v>
      </c>
      <c r="J40" s="3365"/>
      <c r="K40" s="3366"/>
      <c r="L40" s="3367">
        <f t="shared" ref="L40" si="196">E40/100</f>
        <v>2.5000000000000001E-3</v>
      </c>
      <c r="M40" s="3367">
        <f t="shared" ref="M40" si="197">F40/100</f>
        <v>4.0000000000000001E-3</v>
      </c>
      <c r="N40" s="3367">
        <f t="shared" ref="N40" si="198">G40/100</f>
        <v>-6.3E-3</v>
      </c>
      <c r="O40" s="3367"/>
      <c r="P40" s="3367">
        <f t="shared" ref="P40" si="199">M40</f>
        <v>4.0000000000000001E-3</v>
      </c>
      <c r="Q40" s="3365"/>
      <c r="R40" s="3381"/>
      <c r="S40" s="3381">
        <f>ROUND(IF(项目基本情况!$B$8="出让",SUMPRODUCT(PRODUCT(1+L40:L$52)),SUMPRODUCT(PRODUCT(1+L40:L$51))),4)</f>
        <v>1.0502</v>
      </c>
      <c r="T40" s="3381">
        <f>ROUND(IF(项目基本情况!$B$8="出让",SUMPRODUCT(PRODUCT(1+M40:M$52)),SUMPRODUCT(PRODUCT(1+M40:M$51))),4)</f>
        <v>1.0387999999999999</v>
      </c>
      <c r="U40" s="3381">
        <f>ROUND(IF(项目基本情况!$B$8="出让",SUMPRODUCT(PRODUCT(1+N40:N$52)),SUMPRODUCT(PRODUCT(1+N40:N$51))),4)</f>
        <v>1.0763</v>
      </c>
      <c r="V40" s="3381"/>
      <c r="W40" s="3381">
        <f t="shared" ref="W40" si="200">T40</f>
        <v>1.0387999999999999</v>
      </c>
      <c r="X40" s="3365"/>
      <c r="Y40" s="3390"/>
      <c r="Z40" s="3391">
        <f t="shared" ref="Z40" si="201">IF(E40=0,0,ROUND(AVERAGE(E40:E51)/100,4))</f>
        <v>3.8E-3</v>
      </c>
      <c r="AA40" s="3393">
        <f t="shared" ref="AA40" si="202">IF(F40=0,0,ROUND(AVERAGE(F40:F51)/100,4))</f>
        <v>2.8E-3</v>
      </c>
      <c r="AB40" s="3390">
        <f t="shared" ref="AB40" si="203">IF(G40=0,0,ROUND(AVERAGE(G40:G51)/100,4))</f>
        <v>5.3E-3</v>
      </c>
      <c r="AC40" s="3392"/>
      <c r="AD40" s="3390">
        <f t="shared" ref="AD40" si="204">IF(I40=0,0,ROUND(AVERAGE(I40:I51)/100,4))</f>
        <v>2.8E-3</v>
      </c>
      <c r="AG40" s="3680">
        <f t="shared" si="185"/>
        <v>105.02</v>
      </c>
      <c r="AH40" s="3680">
        <f t="shared" si="186"/>
        <v>103.88</v>
      </c>
      <c r="AI40" s="3680">
        <f t="shared" si="187"/>
        <v>107.63000000000001</v>
      </c>
      <c r="AJ40" s="3680"/>
      <c r="AK40" s="3680">
        <f t="shared" si="188"/>
        <v>103.88</v>
      </c>
      <c r="AN40" s="3680">
        <f t="shared" si="167"/>
        <v>103.11291747505246</v>
      </c>
      <c r="AO40" s="3680">
        <f t="shared" si="168"/>
        <v>102.64383044867849</v>
      </c>
      <c r="AP40" s="3680">
        <f t="shared" si="169"/>
        <v>103.13276233953923</v>
      </c>
      <c r="AQ40" s="3680"/>
      <c r="AR40" s="3680">
        <f t="shared" si="170"/>
        <v>102.64383044867849</v>
      </c>
    </row>
    <row r="41" spans="1:44">
      <c r="A41" s="3344" t="s">
        <v>3255</v>
      </c>
      <c r="B41" s="3403">
        <v>2023</v>
      </c>
      <c r="C41" s="3404">
        <v>4</v>
      </c>
      <c r="D41" s="3404"/>
      <c r="E41" s="3404">
        <v>7.0000000000000007E-2</v>
      </c>
      <c r="F41" s="3404">
        <v>0.09</v>
      </c>
      <c r="G41" s="3404">
        <v>0.03</v>
      </c>
      <c r="H41" s="3410"/>
      <c r="I41" s="3405">
        <f t="shared" ref="I41" si="205">F41</f>
        <v>0.09</v>
      </c>
      <c r="J41" s="3365"/>
      <c r="K41" s="3366"/>
      <c r="L41" s="3367">
        <f t="shared" si="195"/>
        <v>7.000000000000001E-4</v>
      </c>
      <c r="M41" s="3367">
        <f t="shared" si="195"/>
        <v>8.9999999999999998E-4</v>
      </c>
      <c r="N41" s="3367">
        <f t="shared" si="195"/>
        <v>2.9999999999999997E-4</v>
      </c>
      <c r="O41" s="3367"/>
      <c r="P41" s="3367">
        <f t="shared" ref="P41" si="206">M41</f>
        <v>8.9999999999999998E-4</v>
      </c>
      <c r="Q41" s="3365"/>
      <c r="R41" s="3381"/>
      <c r="S41" s="3381">
        <f>ROUND(IF(项目基本情况!$B$8="出让",SUMPRODUCT(PRODUCT(1+L41:L$52)),SUMPRODUCT(PRODUCT(1+L41:L$51))),4)</f>
        <v>1.0476000000000001</v>
      </c>
      <c r="T41" s="3381">
        <f>ROUND(IF(项目基本情况!$B$8="出让",SUMPRODUCT(PRODUCT(1+M41:M$52)),SUMPRODUCT(PRODUCT(1+M41:M$51))),4)</f>
        <v>1.0346</v>
      </c>
      <c r="U41" s="3381">
        <f>ROUND(IF(项目基本情况!$B$8="出让",SUMPRODUCT(PRODUCT(1+N41:N$52)),SUMPRODUCT(PRODUCT(1+N41:N$51))),4)</f>
        <v>1.0831999999999999</v>
      </c>
      <c r="V41" s="3381"/>
      <c r="W41" s="3381">
        <f t="shared" ref="W41" si="207">T41</f>
        <v>1.0346</v>
      </c>
      <c r="X41" s="3365"/>
      <c r="Y41" s="3390"/>
      <c r="Z41" s="3391">
        <f t="shared" ref="Z41" si="208">IF(E41=0,0,ROUND(AVERAGE(E41:E52)/100,4))</f>
        <v>3.8999999999999998E-3</v>
      </c>
      <c r="AA41" s="3393">
        <f t="shared" ref="AA41" si="209">IF(F41=0,0,ROUND(AVERAGE(F41:F52)/100,4))</f>
        <v>2.8E-3</v>
      </c>
      <c r="AB41" s="3390">
        <f t="shared" ref="AB41" si="210">IF(G41=0,0,ROUND(AVERAGE(G41:G52)/100,4))</f>
        <v>6.7000000000000002E-3</v>
      </c>
      <c r="AC41" s="3392"/>
      <c r="AD41" s="3390">
        <f t="shared" ref="AD41" si="211">IF(I41=0,0,ROUND(AVERAGE(I41:I52)/100,4))</f>
        <v>2.8E-3</v>
      </c>
      <c r="AG41" s="3680">
        <f t="shared" si="185"/>
        <v>104.76</v>
      </c>
      <c r="AH41" s="3680">
        <f t="shared" si="186"/>
        <v>103.46</v>
      </c>
      <c r="AI41" s="3680">
        <f t="shared" si="187"/>
        <v>108.32</v>
      </c>
      <c r="AJ41" s="3680"/>
      <c r="AK41" s="3680">
        <f t="shared" si="188"/>
        <v>103.46</v>
      </c>
      <c r="AN41" s="3680">
        <f t="shared" si="167"/>
        <v>102.85577802997751</v>
      </c>
      <c r="AO41" s="3680">
        <f t="shared" si="168"/>
        <v>102.23489088513793</v>
      </c>
      <c r="AP41" s="3680">
        <f t="shared" si="169"/>
        <v>103.78661803314806</v>
      </c>
      <c r="AQ41" s="3680"/>
      <c r="AR41" s="3680">
        <f t="shared" si="170"/>
        <v>102.23489088513793</v>
      </c>
    </row>
    <row r="42" spans="1:44">
      <c r="A42" s="3344" t="s">
        <v>3253</v>
      </c>
      <c r="B42" s="3403">
        <v>2023</v>
      </c>
      <c r="C42" s="3404">
        <v>3</v>
      </c>
      <c r="D42" s="3404"/>
      <c r="E42" s="3404">
        <v>0.35</v>
      </c>
      <c r="F42" s="3404">
        <v>0.17</v>
      </c>
      <c r="G42" s="3404">
        <v>0.52</v>
      </c>
      <c r="H42" s="3410"/>
      <c r="I42" s="3405">
        <f t="shared" si="194"/>
        <v>0.17</v>
      </c>
      <c r="J42" s="3365"/>
      <c r="K42" s="3366"/>
      <c r="L42" s="3367">
        <f t="shared" ref="L42:L44" si="212">E42/100</f>
        <v>3.4999999999999996E-3</v>
      </c>
      <c r="M42" s="3367">
        <f t="shared" ref="M42:M44" si="213">F42/100</f>
        <v>1.7000000000000001E-3</v>
      </c>
      <c r="N42" s="3367">
        <f t="shared" ref="N42:N44" si="214">G42/100</f>
        <v>5.1999999999999998E-3</v>
      </c>
      <c r="O42" s="3367"/>
      <c r="P42" s="3367">
        <f t="shared" ref="P42:P44" si="215">M42</f>
        <v>1.7000000000000001E-3</v>
      </c>
      <c r="Q42" s="3365"/>
      <c r="R42" s="3381"/>
      <c r="S42" s="3381">
        <f>ROUND(IF(项目基本情况!$B$8="出让",SUMPRODUCT(PRODUCT(1+L42:L$52)),SUMPRODUCT(PRODUCT(1+L42:L$51))),4)</f>
        <v>1.0468</v>
      </c>
      <c r="T42" s="3381">
        <f>ROUND(IF(项目基本情况!$B$8="出让",SUMPRODUCT(PRODUCT(1+M42:M$52)),SUMPRODUCT(PRODUCT(1+M42:M$51))),4)</f>
        <v>1.0337000000000001</v>
      </c>
      <c r="U42" s="3381">
        <f>ROUND(IF(项目基本情况!$B$8="出让",SUMPRODUCT(PRODUCT(1+N42:N$52)),SUMPRODUCT(PRODUCT(1+N42:N$51))),4)</f>
        <v>1.0828</v>
      </c>
      <c r="V42" s="3381"/>
      <c r="W42" s="3381">
        <f t="shared" ref="W42:W44" si="216">T42</f>
        <v>1.0337000000000001</v>
      </c>
      <c r="X42" s="3365"/>
      <c r="Y42" s="3390"/>
      <c r="Z42" s="3391">
        <f t="shared" ref="Z42:AB42" si="217">IF(E42=0,0,ROUND(AVERAGE(E42:E53)/100,4))</f>
        <v>4.1999999999999997E-3</v>
      </c>
      <c r="AA42" s="3393">
        <f t="shared" si="217"/>
        <v>3.0000000000000001E-3</v>
      </c>
      <c r="AB42" s="3390">
        <f t="shared" si="217"/>
        <v>7.3000000000000001E-3</v>
      </c>
      <c r="AC42" s="3392"/>
      <c r="AD42" s="3390">
        <f t="shared" ref="AD42:AD44" si="218">IF(I42=0,0,ROUND(AVERAGE(I42:I53)/100,4))</f>
        <v>3.0000000000000001E-3</v>
      </c>
      <c r="AG42" s="3680">
        <f t="shared" si="185"/>
        <v>104.67999999999999</v>
      </c>
      <c r="AH42" s="3680">
        <f t="shared" si="186"/>
        <v>103.37</v>
      </c>
      <c r="AI42" s="3680">
        <f t="shared" si="187"/>
        <v>108.28</v>
      </c>
      <c r="AJ42" s="3680"/>
      <c r="AK42" s="3680">
        <f t="shared" si="188"/>
        <v>103.37</v>
      </c>
      <c r="AN42" s="3680">
        <f t="shared" si="167"/>
        <v>102.78382934943292</v>
      </c>
      <c r="AO42" s="3680">
        <f t="shared" si="168"/>
        <v>102.14296221914071</v>
      </c>
      <c r="AP42" s="3680">
        <f t="shared" si="169"/>
        <v>103.75549138573234</v>
      </c>
      <c r="AQ42" s="3680"/>
      <c r="AR42" s="3680">
        <f t="shared" si="170"/>
        <v>102.14296221914071</v>
      </c>
    </row>
    <row r="43" spans="1:44">
      <c r="A43" s="3344" t="s">
        <v>3252</v>
      </c>
      <c r="B43" s="3403">
        <v>2023</v>
      </c>
      <c r="C43" s="3404">
        <v>2</v>
      </c>
      <c r="D43" s="3404"/>
      <c r="E43" s="3404">
        <v>0.5</v>
      </c>
      <c r="F43" s="3404">
        <v>0.45</v>
      </c>
      <c r="G43" s="3404">
        <v>0.89</v>
      </c>
      <c r="H43" s="3410"/>
      <c r="I43" s="3405">
        <f t="shared" si="194"/>
        <v>0.45</v>
      </c>
      <c r="J43" s="3365"/>
      <c r="K43" s="3366"/>
      <c r="L43" s="3367">
        <f t="shared" si="212"/>
        <v>5.0000000000000001E-3</v>
      </c>
      <c r="M43" s="3367">
        <f t="shared" si="213"/>
        <v>4.5000000000000005E-3</v>
      </c>
      <c r="N43" s="3367">
        <f t="shared" si="214"/>
        <v>8.8999999999999999E-3</v>
      </c>
      <c r="O43" s="3367"/>
      <c r="P43" s="3367">
        <f t="shared" si="215"/>
        <v>4.5000000000000005E-3</v>
      </c>
      <c r="Q43" s="3365"/>
      <c r="R43" s="3381"/>
      <c r="S43" s="3381">
        <f>ROUND(IF(项目基本情况!$B$8="出让",SUMPRODUCT(PRODUCT(1+L43:L$52)),SUMPRODUCT(PRODUCT(1+L43:L$51))),4)</f>
        <v>1.0431999999999999</v>
      </c>
      <c r="T43" s="3381">
        <f>ROUND(IF(项目基本情况!$B$8="出让",SUMPRODUCT(PRODUCT(1+M43:M$52)),SUMPRODUCT(PRODUCT(1+M43:M$51))),4)</f>
        <v>1.0319</v>
      </c>
      <c r="U43" s="3381">
        <f>ROUND(IF(项目基本情况!$B$8="出让",SUMPRODUCT(PRODUCT(1+N43:N$52)),SUMPRODUCT(PRODUCT(1+N43:N$51))),4)</f>
        <v>1.0771999999999999</v>
      </c>
      <c r="V43" s="3381"/>
      <c r="W43" s="3381">
        <f t="shared" si="216"/>
        <v>1.0319</v>
      </c>
      <c r="X43" s="3365"/>
      <c r="Y43" s="3390"/>
      <c r="Z43" s="3391">
        <f t="shared" ref="Z43:AB43" si="219">IF(E43=0,0,ROUND(AVERAGE(E43:E54)/100,4))</f>
        <v>4.1999999999999997E-3</v>
      </c>
      <c r="AA43" s="3393">
        <f t="shared" si="219"/>
        <v>3.2000000000000002E-3</v>
      </c>
      <c r="AB43" s="3390">
        <f t="shared" si="219"/>
        <v>7.4999999999999997E-3</v>
      </c>
      <c r="AC43" s="3392"/>
      <c r="AD43" s="3390">
        <f t="shared" si="218"/>
        <v>3.2000000000000002E-3</v>
      </c>
      <c r="AG43" s="3680">
        <f t="shared" si="185"/>
        <v>104.32</v>
      </c>
      <c r="AH43" s="3680">
        <f t="shared" si="186"/>
        <v>103.19</v>
      </c>
      <c r="AI43" s="3680">
        <f t="shared" si="187"/>
        <v>107.72</v>
      </c>
      <c r="AJ43" s="3680"/>
      <c r="AK43" s="3680">
        <f t="shared" si="188"/>
        <v>103.19</v>
      </c>
      <c r="AN43" s="3680">
        <f t="shared" si="167"/>
        <v>102.42534065713295</v>
      </c>
      <c r="AO43" s="3680">
        <f t="shared" si="168"/>
        <v>101.96961387555227</v>
      </c>
      <c r="AP43" s="3680">
        <f t="shared" si="169"/>
        <v>103.21875386563104</v>
      </c>
      <c r="AQ43" s="3680"/>
      <c r="AR43" s="3680">
        <f t="shared" si="170"/>
        <v>101.96961387555227</v>
      </c>
    </row>
    <row r="44" spans="1:44">
      <c r="A44" s="3344" t="s">
        <v>3250</v>
      </c>
      <c r="B44" s="3403">
        <v>2023</v>
      </c>
      <c r="C44" s="3404">
        <v>1</v>
      </c>
      <c r="D44" s="3404"/>
      <c r="E44" s="3404">
        <v>0.55000000000000004</v>
      </c>
      <c r="F44" s="3404">
        <v>0.59</v>
      </c>
      <c r="G44" s="3404">
        <v>0.64</v>
      </c>
      <c r="H44" s="3410"/>
      <c r="I44" s="3405">
        <f t="shared" si="194"/>
        <v>0.59</v>
      </c>
      <c r="J44" s="3365"/>
      <c r="K44" s="3366"/>
      <c r="L44" s="3367">
        <f t="shared" si="212"/>
        <v>5.5000000000000005E-3</v>
      </c>
      <c r="M44" s="3367">
        <f t="shared" si="213"/>
        <v>5.8999999999999999E-3</v>
      </c>
      <c r="N44" s="3367">
        <f t="shared" si="214"/>
        <v>6.4000000000000003E-3</v>
      </c>
      <c r="O44" s="3367"/>
      <c r="P44" s="3367">
        <f t="shared" si="215"/>
        <v>5.8999999999999999E-3</v>
      </c>
      <c r="Q44" s="3365"/>
      <c r="R44" s="3381"/>
      <c r="S44" s="3381">
        <f>ROUND(IF(项目基本情况!$B$8="出让",SUMPRODUCT(PRODUCT(1+L44:L$52)),SUMPRODUCT(PRODUCT(1+L44:L$51))),4)</f>
        <v>1.038</v>
      </c>
      <c r="T44" s="3381">
        <f>ROUND(IF(项目基本情况!$B$8="出让",SUMPRODUCT(PRODUCT(1+M44:M$52)),SUMPRODUCT(PRODUCT(1+M44:M$51))),4)</f>
        <v>1.0273000000000001</v>
      </c>
      <c r="U44" s="3381">
        <f>ROUND(IF(项目基本情况!$B$8="出让",SUMPRODUCT(PRODUCT(1+N44:N$52)),SUMPRODUCT(PRODUCT(1+N44:N$51))),4)</f>
        <v>1.0677000000000001</v>
      </c>
      <c r="V44" s="3381"/>
      <c r="W44" s="3381">
        <f t="shared" si="216"/>
        <v>1.0273000000000001</v>
      </c>
      <c r="X44" s="3365"/>
      <c r="Y44" s="3390"/>
      <c r="Z44" s="3391">
        <f t="shared" ref="Z44:AB44" si="220">IF(E44=0,0,ROUND(AVERAGE(E44:E55)/100,4))</f>
        <v>4.1999999999999997E-3</v>
      </c>
      <c r="AA44" s="3393">
        <f t="shared" si="220"/>
        <v>3.0000000000000001E-3</v>
      </c>
      <c r="AB44" s="3390">
        <f t="shared" si="220"/>
        <v>7.3000000000000001E-3</v>
      </c>
      <c r="AC44" s="3392"/>
      <c r="AD44" s="3390">
        <f t="shared" si="218"/>
        <v>3.0000000000000001E-3</v>
      </c>
      <c r="AG44" s="3680">
        <f t="shared" si="185"/>
        <v>103.8</v>
      </c>
      <c r="AH44" s="3680">
        <f t="shared" si="186"/>
        <v>102.73</v>
      </c>
      <c r="AI44" s="3680">
        <f t="shared" si="187"/>
        <v>106.77000000000001</v>
      </c>
      <c r="AJ44" s="3680"/>
      <c r="AK44" s="3680">
        <f t="shared" si="188"/>
        <v>102.73</v>
      </c>
      <c r="AN44" s="3680">
        <f t="shared" si="167"/>
        <v>101.91576184789349</v>
      </c>
      <c r="AO44" s="3680">
        <f t="shared" si="168"/>
        <v>101.5128062474388</v>
      </c>
      <c r="AP44" s="3680">
        <f t="shared" si="169"/>
        <v>102.30821078960358</v>
      </c>
      <c r="AQ44" s="3680"/>
      <c r="AR44" s="3680">
        <f t="shared" si="170"/>
        <v>101.5128062474388</v>
      </c>
    </row>
    <row r="45" spans="1:44">
      <c r="A45" s="3344" t="s">
        <v>3248</v>
      </c>
      <c r="B45" s="3403">
        <v>2022</v>
      </c>
      <c r="C45" s="3404">
        <v>4</v>
      </c>
      <c r="D45" s="3404"/>
      <c r="E45" s="3404">
        <v>0.45</v>
      </c>
      <c r="F45" s="3404">
        <v>0.2</v>
      </c>
      <c r="G45" s="3404">
        <v>0.38</v>
      </c>
      <c r="H45" s="3410"/>
      <c r="I45" s="3405">
        <f t="shared" si="194"/>
        <v>0.2</v>
      </c>
      <c r="J45" s="3365"/>
      <c r="K45" s="3366"/>
      <c r="L45" s="3367">
        <f t="shared" si="195"/>
        <v>4.5000000000000005E-3</v>
      </c>
      <c r="M45" s="3367">
        <f t="shared" si="195"/>
        <v>2E-3</v>
      </c>
      <c r="N45" s="3367">
        <f t="shared" si="195"/>
        <v>3.8E-3</v>
      </c>
      <c r="O45" s="3367"/>
      <c r="P45" s="3367">
        <f t="shared" ref="P45:P52" si="221">M45</f>
        <v>2E-3</v>
      </c>
      <c r="Q45" s="3365"/>
      <c r="R45" s="3381"/>
      <c r="S45" s="3381">
        <f>ROUND(IF(项目基本情况!$B$8="出让",SUMPRODUCT(PRODUCT(1+L45:L$52)),SUMPRODUCT(PRODUCT(1+L45:L$51))),4)</f>
        <v>1.0323</v>
      </c>
      <c r="T45" s="3381">
        <f>ROUND(IF(项目基本情况!$B$8="出让",SUMPRODUCT(PRODUCT(1+M45:M$52)),SUMPRODUCT(PRODUCT(1+M45:M$51))),4)</f>
        <v>1.0213000000000001</v>
      </c>
      <c r="U45" s="3381">
        <f>ROUND(IF(项目基本情况!$B$8="出让",SUMPRODUCT(PRODUCT(1+N45:N$52)),SUMPRODUCT(PRODUCT(1+N45:N$51))),4)</f>
        <v>1.0609</v>
      </c>
      <c r="V45" s="3381"/>
      <c r="W45" s="3381">
        <f t="shared" ref="W45:W52" si="222">T45</f>
        <v>1.0213000000000001</v>
      </c>
      <c r="X45" s="3365"/>
      <c r="Y45" s="3390"/>
      <c r="Z45" s="3391">
        <f t="shared" ref="Z45:AD52" si="223">IF(E45=0,0,ROUND(AVERAGE(E45:E53)/100,4))</f>
        <v>4.0000000000000001E-3</v>
      </c>
      <c r="AA45" s="3393">
        <f t="shared" si="223"/>
        <v>2.5999999999999999E-3</v>
      </c>
      <c r="AB45" s="3390">
        <f t="shared" si="223"/>
        <v>7.4000000000000003E-3</v>
      </c>
      <c r="AC45" s="3392"/>
      <c r="AD45" s="3390">
        <f t="shared" si="223"/>
        <v>2.5999999999999999E-3</v>
      </c>
      <c r="AG45" s="3680">
        <f t="shared" si="185"/>
        <v>103.23</v>
      </c>
      <c r="AH45" s="3680">
        <f t="shared" si="186"/>
        <v>102.13000000000001</v>
      </c>
      <c r="AI45" s="3680">
        <f t="shared" si="187"/>
        <v>106.08999999999999</v>
      </c>
      <c r="AJ45" s="3680"/>
      <c r="AK45" s="3680">
        <f t="shared" si="188"/>
        <v>102.13000000000001</v>
      </c>
      <c r="AN45" s="3680">
        <f t="shared" si="167"/>
        <v>101.35829124604027</v>
      </c>
      <c r="AO45" s="3680">
        <f t="shared" si="168"/>
        <v>100.91739362505101</v>
      </c>
      <c r="AP45" s="3680">
        <f t="shared" si="169"/>
        <v>101.6576021359336</v>
      </c>
      <c r="AQ45" s="3680"/>
      <c r="AR45" s="3680">
        <f t="shared" si="170"/>
        <v>100.91739362505101</v>
      </c>
    </row>
    <row r="46" spans="1:44">
      <c r="A46" s="3344" t="s">
        <v>3246</v>
      </c>
      <c r="B46" s="3403">
        <v>2022</v>
      </c>
      <c r="C46" s="3404">
        <v>3</v>
      </c>
      <c r="D46" s="3404"/>
      <c r="E46" s="3404">
        <v>0.3</v>
      </c>
      <c r="F46" s="3404">
        <v>0.28999999999999998</v>
      </c>
      <c r="G46" s="3404">
        <v>0.83</v>
      </c>
      <c r="H46" s="3410"/>
      <c r="I46" s="3405">
        <f t="shared" si="194"/>
        <v>0.28999999999999998</v>
      </c>
      <c r="J46" s="3365"/>
      <c r="K46" s="3366"/>
      <c r="L46" s="3367">
        <f t="shared" si="195"/>
        <v>3.0000000000000001E-3</v>
      </c>
      <c r="M46" s="3367">
        <f t="shared" si="195"/>
        <v>2.8999999999999998E-3</v>
      </c>
      <c r="N46" s="3367">
        <f t="shared" si="195"/>
        <v>8.3000000000000001E-3</v>
      </c>
      <c r="O46" s="3367"/>
      <c r="P46" s="3367">
        <f t="shared" si="221"/>
        <v>2.8999999999999998E-3</v>
      </c>
      <c r="Q46" s="3365"/>
      <c r="R46" s="3381"/>
      <c r="S46" s="3381">
        <f>ROUND(IF(项目基本情况!$B$8="出让",SUMPRODUCT(PRODUCT(1+L46:L$52)),SUMPRODUCT(PRODUCT(1+L46:L$51))),4)</f>
        <v>1.0277000000000001</v>
      </c>
      <c r="T46" s="3381">
        <f>ROUND(IF(项目基本情况!$B$8="出让",SUMPRODUCT(PRODUCT(1+M46:M$52)),SUMPRODUCT(PRODUCT(1+M46:M$51))),4)</f>
        <v>1.0192000000000001</v>
      </c>
      <c r="U46" s="3381">
        <f>ROUND(IF(项目基本情况!$B$8="出让",SUMPRODUCT(PRODUCT(1+N46:N$52)),SUMPRODUCT(PRODUCT(1+N46:N$51))),4)</f>
        <v>1.0569</v>
      </c>
      <c r="V46" s="3381"/>
      <c r="W46" s="3381">
        <f t="shared" si="222"/>
        <v>1.0192000000000001</v>
      </c>
      <c r="X46" s="3365"/>
      <c r="Y46" s="3390"/>
      <c r="Z46" s="3391">
        <f t="shared" si="223"/>
        <v>3.8999999999999998E-3</v>
      </c>
      <c r="AA46" s="3393">
        <f t="shared" si="223"/>
        <v>2.7000000000000001E-3</v>
      </c>
      <c r="AB46" s="3390">
        <f t="shared" si="223"/>
        <v>7.9000000000000008E-3</v>
      </c>
      <c r="AC46" s="3392"/>
      <c r="AD46" s="3390">
        <f t="shared" si="223"/>
        <v>2.7000000000000001E-3</v>
      </c>
      <c r="AG46" s="3680">
        <f t="shared" si="185"/>
        <v>102.77000000000001</v>
      </c>
      <c r="AH46" s="3680">
        <f t="shared" si="186"/>
        <v>101.92000000000002</v>
      </c>
      <c r="AI46" s="3680">
        <f t="shared" si="187"/>
        <v>105.69</v>
      </c>
      <c r="AJ46" s="3680"/>
      <c r="AK46" s="3680">
        <f t="shared" si="188"/>
        <v>101.92000000000002</v>
      </c>
      <c r="AN46" s="3680">
        <f t="shared" si="167"/>
        <v>100.90422224593357</v>
      </c>
      <c r="AO46" s="3680">
        <f t="shared" si="168"/>
        <v>100.71596170164771</v>
      </c>
      <c r="AP46" s="3680">
        <f t="shared" si="169"/>
        <v>101.2727656265527</v>
      </c>
      <c r="AQ46" s="3680"/>
      <c r="AR46" s="3680">
        <f t="shared" si="170"/>
        <v>100.71596170164771</v>
      </c>
    </row>
    <row r="47" spans="1:44">
      <c r="A47" s="3344" t="s">
        <v>3245</v>
      </c>
      <c r="B47" s="3403">
        <v>2022</v>
      </c>
      <c r="C47" s="3404">
        <v>2</v>
      </c>
      <c r="D47" s="3404"/>
      <c r="E47" s="3404">
        <v>-0.11</v>
      </c>
      <c r="F47" s="3404">
        <v>-0.13</v>
      </c>
      <c r="G47" s="3404">
        <v>0.53</v>
      </c>
      <c r="H47" s="3410"/>
      <c r="I47" s="3405">
        <f t="shared" si="194"/>
        <v>-0.13</v>
      </c>
      <c r="J47" s="3365"/>
      <c r="K47" s="3366"/>
      <c r="L47" s="3367">
        <f t="shared" si="195"/>
        <v>-1.1000000000000001E-3</v>
      </c>
      <c r="M47" s="3367">
        <f t="shared" si="195"/>
        <v>-1.2999999999999999E-3</v>
      </c>
      <c r="N47" s="3367">
        <f t="shared" si="195"/>
        <v>5.3E-3</v>
      </c>
      <c r="O47" s="3367"/>
      <c r="P47" s="3367">
        <f t="shared" si="221"/>
        <v>-1.2999999999999999E-3</v>
      </c>
      <c r="Q47" s="3365"/>
      <c r="R47" s="3381"/>
      <c r="S47" s="3381">
        <f>ROUND(IF(项目基本情况!$B$8="出让",SUMPRODUCT(PRODUCT(1+L47:L$52)),SUMPRODUCT(PRODUCT(1+L47:L$51))),4)</f>
        <v>1.0246</v>
      </c>
      <c r="T47" s="3381">
        <f>ROUND(IF(项目基本情况!$B$8="出让",SUMPRODUCT(PRODUCT(1+M47:M$52)),SUMPRODUCT(PRODUCT(1+M47:M$51))),4)</f>
        <v>1.0163</v>
      </c>
      <c r="U47" s="3381">
        <f>ROUND(IF(项目基本情况!$B$8="出让",SUMPRODUCT(PRODUCT(1+N47:N$52)),SUMPRODUCT(PRODUCT(1+N47:N$51))),4)</f>
        <v>1.0482</v>
      </c>
      <c r="V47" s="3381"/>
      <c r="W47" s="3381">
        <f t="shared" si="222"/>
        <v>1.0163</v>
      </c>
      <c r="X47" s="3365"/>
      <c r="Y47" s="3390"/>
      <c r="Z47" s="3391">
        <f t="shared" si="223"/>
        <v>4.1000000000000003E-3</v>
      </c>
      <c r="AA47" s="3393">
        <f t="shared" si="223"/>
        <v>2.7000000000000001E-3</v>
      </c>
      <c r="AB47" s="3390">
        <f t="shared" si="223"/>
        <v>7.9000000000000008E-3</v>
      </c>
      <c r="AC47" s="3392"/>
      <c r="AD47" s="3390">
        <f t="shared" si="223"/>
        <v>2.7000000000000001E-3</v>
      </c>
      <c r="AG47" s="3680">
        <f t="shared" si="185"/>
        <v>102.46</v>
      </c>
      <c r="AH47" s="3680">
        <f t="shared" si="186"/>
        <v>101.63</v>
      </c>
      <c r="AI47" s="3680">
        <f t="shared" si="187"/>
        <v>104.82000000000001</v>
      </c>
      <c r="AJ47" s="3680"/>
      <c r="AK47" s="3680">
        <f t="shared" si="188"/>
        <v>101.63</v>
      </c>
      <c r="AN47" s="3680">
        <f t="shared" si="167"/>
        <v>100.60241500093079</v>
      </c>
      <c r="AO47" s="3680">
        <f t="shared" si="168"/>
        <v>100.42472998469212</v>
      </c>
      <c r="AP47" s="3680">
        <f t="shared" si="169"/>
        <v>100.43912092289268</v>
      </c>
      <c r="AQ47" s="3680"/>
      <c r="AR47" s="3680">
        <f t="shared" si="170"/>
        <v>100.42472998469212</v>
      </c>
    </row>
    <row r="48" spans="1:44">
      <c r="A48" s="3344" t="s">
        <v>2781</v>
      </c>
      <c r="B48" s="3403">
        <v>2022</v>
      </c>
      <c r="C48" s="3404">
        <v>1</v>
      </c>
      <c r="D48" s="3404"/>
      <c r="E48" s="3404">
        <v>0.6</v>
      </c>
      <c r="F48" s="3404">
        <v>0.45</v>
      </c>
      <c r="G48" s="3404">
        <v>0.53</v>
      </c>
      <c r="H48" s="3410"/>
      <c r="I48" s="3405">
        <f t="shared" si="194"/>
        <v>0.45</v>
      </c>
      <c r="J48" s="3365"/>
      <c r="K48" s="3366"/>
      <c r="L48" s="3367">
        <f t="shared" si="195"/>
        <v>6.0000000000000001E-3</v>
      </c>
      <c r="M48" s="3367">
        <f t="shared" si="195"/>
        <v>4.5000000000000005E-3</v>
      </c>
      <c r="N48" s="3367">
        <f t="shared" si="195"/>
        <v>5.3E-3</v>
      </c>
      <c r="O48" s="3367"/>
      <c r="P48" s="3367">
        <f t="shared" si="221"/>
        <v>4.5000000000000005E-3</v>
      </c>
      <c r="Q48" s="3365"/>
      <c r="R48" s="3381"/>
      <c r="S48" s="3381">
        <f>ROUND(IF(项目基本情况!$B$8="出让",SUMPRODUCT(PRODUCT(1+L48:L$52)),SUMPRODUCT(PRODUCT(1+L48:L$51))),4)</f>
        <v>1.0258</v>
      </c>
      <c r="T48" s="3381">
        <f>ROUND(IF(项目基本情况!$B$8="出让",SUMPRODUCT(PRODUCT(1+M48:M$52)),SUMPRODUCT(PRODUCT(1+M48:M$51))),4)</f>
        <v>1.0176000000000001</v>
      </c>
      <c r="U48" s="3381">
        <f>ROUND(IF(项目基本情况!$B$8="出让",SUMPRODUCT(PRODUCT(1+N48:N$52)),SUMPRODUCT(PRODUCT(1+N48:N$51))),4)</f>
        <v>1.0427</v>
      </c>
      <c r="V48" s="3381"/>
      <c r="W48" s="3381">
        <f t="shared" si="222"/>
        <v>1.0176000000000001</v>
      </c>
      <c r="X48" s="3365"/>
      <c r="Y48" s="3390"/>
      <c r="Z48" s="3391">
        <f t="shared" si="223"/>
        <v>5.1000000000000004E-3</v>
      </c>
      <c r="AA48" s="3393">
        <f t="shared" si="223"/>
        <v>3.5000000000000001E-3</v>
      </c>
      <c r="AB48" s="3390">
        <f t="shared" si="223"/>
        <v>8.3999999999999995E-3</v>
      </c>
      <c r="AC48" s="3392"/>
      <c r="AD48" s="3390">
        <f t="shared" si="223"/>
        <v>3.5000000000000001E-3</v>
      </c>
      <c r="AG48" s="3680">
        <f t="shared" si="185"/>
        <v>102.58</v>
      </c>
      <c r="AH48" s="3680">
        <f t="shared" si="186"/>
        <v>101.76</v>
      </c>
      <c r="AI48" s="3680">
        <f t="shared" si="187"/>
        <v>104.27</v>
      </c>
      <c r="AJ48" s="3680"/>
      <c r="AK48" s="3680">
        <f t="shared" si="188"/>
        <v>101.76</v>
      </c>
      <c r="AN48" s="3680">
        <f t="shared" si="167"/>
        <v>100.71319952040324</v>
      </c>
      <c r="AO48" s="3680">
        <f t="shared" si="168"/>
        <v>100.55545207238622</v>
      </c>
      <c r="AP48" s="3680">
        <f t="shared" si="169"/>
        <v>99.90960004266654</v>
      </c>
      <c r="AQ48" s="3680"/>
      <c r="AR48" s="3680">
        <f t="shared" si="170"/>
        <v>100.55545207238622</v>
      </c>
    </row>
    <row r="49" spans="1:44">
      <c r="A49" s="3344" t="s">
        <v>2782</v>
      </c>
      <c r="B49" s="3403">
        <v>2021</v>
      </c>
      <c r="C49" s="3404">
        <v>4</v>
      </c>
      <c r="D49" s="3404"/>
      <c r="E49" s="3404">
        <v>0.57999999999999996</v>
      </c>
      <c r="F49" s="3404">
        <v>0.08</v>
      </c>
      <c r="G49" s="3404">
        <v>0.68</v>
      </c>
      <c r="H49" s="3410"/>
      <c r="I49" s="3405">
        <f t="shared" si="194"/>
        <v>0.08</v>
      </c>
      <c r="J49" s="3365"/>
      <c r="K49" s="3366"/>
      <c r="L49" s="3367">
        <f t="shared" si="195"/>
        <v>5.7999999999999996E-3</v>
      </c>
      <c r="M49" s="3367">
        <f t="shared" si="195"/>
        <v>8.0000000000000004E-4</v>
      </c>
      <c r="N49" s="3367">
        <f t="shared" si="195"/>
        <v>6.8000000000000005E-3</v>
      </c>
      <c r="O49" s="3367"/>
      <c r="P49" s="3367">
        <f t="shared" si="221"/>
        <v>8.0000000000000004E-4</v>
      </c>
      <c r="Q49" s="3365"/>
      <c r="R49" s="3381"/>
      <c r="S49" s="3381">
        <f>ROUND(IF(项目基本情况!$B$8="出让",SUMPRODUCT(PRODUCT(1+L49:L$52)),SUMPRODUCT(PRODUCT(1+L49:L$51))),4)</f>
        <v>1.0196000000000001</v>
      </c>
      <c r="T49" s="3381">
        <f>ROUND(IF(项目基本情况!$B$8="出让",SUMPRODUCT(PRODUCT(1+M49:M$52)),SUMPRODUCT(PRODUCT(1+M49:M$51))),4)</f>
        <v>1.0130999999999999</v>
      </c>
      <c r="U49" s="3381">
        <f>ROUND(IF(项目基本情况!$B$8="出让",SUMPRODUCT(PRODUCT(1+N49:N$52)),SUMPRODUCT(PRODUCT(1+N49:N$51))),4)</f>
        <v>1.0371999999999999</v>
      </c>
      <c r="V49" s="3381"/>
      <c r="W49" s="3381">
        <f t="shared" si="222"/>
        <v>1.0130999999999999</v>
      </c>
      <c r="X49" s="3365"/>
      <c r="Y49" s="3390"/>
      <c r="Z49" s="3391">
        <f t="shared" si="223"/>
        <v>4.8999999999999998E-3</v>
      </c>
      <c r="AA49" s="3393">
        <f t="shared" si="223"/>
        <v>3.3E-3</v>
      </c>
      <c r="AB49" s="3390">
        <f t="shared" si="223"/>
        <v>9.1999999999999998E-3</v>
      </c>
      <c r="AC49" s="3392"/>
      <c r="AD49" s="3390">
        <f t="shared" si="223"/>
        <v>3.3E-3</v>
      </c>
      <c r="AG49" s="3680">
        <f t="shared" si="185"/>
        <v>101.96000000000001</v>
      </c>
      <c r="AH49" s="3680">
        <f t="shared" si="186"/>
        <v>101.30999999999999</v>
      </c>
      <c r="AI49" s="3680">
        <f t="shared" si="187"/>
        <v>103.71999999999998</v>
      </c>
      <c r="AJ49" s="3680"/>
      <c r="AK49" s="3680">
        <f t="shared" si="188"/>
        <v>101.30999999999999</v>
      </c>
      <c r="AN49" s="3680">
        <f t="shared" si="167"/>
        <v>100.11252437415828</v>
      </c>
      <c r="AO49" s="3680">
        <f t="shared" si="168"/>
        <v>100.10497966389867</v>
      </c>
      <c r="AP49" s="3680">
        <f t="shared" si="169"/>
        <v>99.382870827281934</v>
      </c>
      <c r="AQ49" s="3680"/>
      <c r="AR49" s="3680">
        <f t="shared" si="170"/>
        <v>100.10497966389867</v>
      </c>
    </row>
    <row r="50" spans="1:44">
      <c r="A50" s="3344" t="s">
        <v>2783</v>
      </c>
      <c r="B50" s="3403">
        <v>2021</v>
      </c>
      <c r="C50" s="3404">
        <v>3</v>
      </c>
      <c r="D50" s="3404"/>
      <c r="E50" s="3404">
        <v>0.47</v>
      </c>
      <c r="F50" s="3404">
        <v>0.28000000000000003</v>
      </c>
      <c r="G50" s="3404">
        <v>0.91</v>
      </c>
      <c r="H50" s="3410"/>
      <c r="I50" s="3405">
        <f t="shared" si="194"/>
        <v>0.28000000000000003</v>
      </c>
      <c r="J50" s="3365"/>
      <c r="K50" s="3366"/>
      <c r="L50" s="3367">
        <f t="shared" si="195"/>
        <v>4.6999999999999993E-3</v>
      </c>
      <c r="M50" s="3367">
        <f t="shared" si="195"/>
        <v>2.8000000000000004E-3</v>
      </c>
      <c r="N50" s="3367">
        <f t="shared" si="195"/>
        <v>9.1000000000000004E-3</v>
      </c>
      <c r="O50" s="3367"/>
      <c r="P50" s="3367">
        <f t="shared" si="221"/>
        <v>2.8000000000000004E-3</v>
      </c>
      <c r="Q50" s="3365"/>
      <c r="R50" s="3381"/>
      <c r="S50" s="3381">
        <f>ROUND(IF(项目基本情况!$B$8="出让",SUMPRODUCT(PRODUCT(1+L50:L$52)),SUMPRODUCT(PRODUCT(1+L50:L$51))),4)</f>
        <v>1.0138</v>
      </c>
      <c r="T50" s="3381">
        <f>ROUND(IF(项目基本情况!$B$8="出让",SUMPRODUCT(PRODUCT(1+M50:M$52)),SUMPRODUCT(PRODUCT(1+M50:M$51))),4)</f>
        <v>1.0122</v>
      </c>
      <c r="U50" s="3381">
        <f>ROUND(IF(项目基本情况!$B$8="出让",SUMPRODUCT(PRODUCT(1+N50:N$52)),SUMPRODUCT(PRODUCT(1+N50:N$51))),4)</f>
        <v>1.0302</v>
      </c>
      <c r="V50" s="3381"/>
      <c r="W50" s="3381">
        <f t="shared" si="222"/>
        <v>1.0122</v>
      </c>
      <c r="X50" s="3365"/>
      <c r="Y50" s="3390"/>
      <c r="Z50" s="3391">
        <f t="shared" si="223"/>
        <v>4.5999999999999999E-3</v>
      </c>
      <c r="AA50" s="3393">
        <f t="shared" si="223"/>
        <v>4.1000000000000003E-3</v>
      </c>
      <c r="AB50" s="3390">
        <f t="shared" si="223"/>
        <v>0.01</v>
      </c>
      <c r="AC50" s="3392"/>
      <c r="AD50" s="3390">
        <f t="shared" si="223"/>
        <v>4.1000000000000003E-3</v>
      </c>
      <c r="AG50" s="3680">
        <f t="shared" si="185"/>
        <v>101.38000000000001</v>
      </c>
      <c r="AH50" s="3680">
        <f t="shared" si="186"/>
        <v>101.22</v>
      </c>
      <c r="AI50" s="3680">
        <f t="shared" si="187"/>
        <v>103.02</v>
      </c>
      <c r="AJ50" s="3680"/>
      <c r="AK50" s="3680">
        <f t="shared" si="188"/>
        <v>101.22</v>
      </c>
      <c r="AN50" s="3680">
        <f t="shared" si="167"/>
        <v>99.535220097592244</v>
      </c>
      <c r="AO50" s="3680">
        <f t="shared" si="168"/>
        <v>100.02495969614176</v>
      </c>
      <c r="AP50" s="3680">
        <f t="shared" si="169"/>
        <v>98.711631731507694</v>
      </c>
      <c r="AQ50" s="3680"/>
      <c r="AR50" s="3680">
        <f t="shared" si="170"/>
        <v>100.02495969614176</v>
      </c>
    </row>
    <row r="51" spans="1:44">
      <c r="A51" s="3344" t="s">
        <v>2787</v>
      </c>
      <c r="B51" s="3403">
        <v>2021</v>
      </c>
      <c r="C51" s="3404">
        <v>2</v>
      </c>
      <c r="D51" s="3404"/>
      <c r="E51" s="3404">
        <v>0.55000000000000004</v>
      </c>
      <c r="F51" s="3404">
        <v>0.46</v>
      </c>
      <c r="G51" s="3404">
        <v>1.1000000000000001</v>
      </c>
      <c r="H51" s="3410"/>
      <c r="I51" s="3405">
        <f t="shared" si="194"/>
        <v>0.46</v>
      </c>
      <c r="J51" s="3365"/>
      <c r="K51" s="3366"/>
      <c r="L51" s="3367">
        <f t="shared" si="195"/>
        <v>5.5000000000000005E-3</v>
      </c>
      <c r="M51" s="3367">
        <f t="shared" si="195"/>
        <v>4.5999999999999999E-3</v>
      </c>
      <c r="N51" s="3367">
        <f t="shared" si="195"/>
        <v>1.1000000000000001E-2</v>
      </c>
      <c r="O51" s="3367"/>
      <c r="P51" s="3367">
        <f t="shared" si="221"/>
        <v>4.5999999999999999E-3</v>
      </c>
      <c r="Q51" s="3365"/>
      <c r="R51" s="3381"/>
      <c r="S51" s="3381">
        <f>ROUND(IF(项目基本情况!$B$8="出让",SUMPRODUCT(PRODUCT(1+L51:L$52)),SUMPRODUCT(PRODUCT(1+L51:L$51))),4)</f>
        <v>1.0089999999999999</v>
      </c>
      <c r="T51" s="3381">
        <f>ROUND(IF(项目基本情况!$B$8="出让",SUMPRODUCT(PRODUCT(1+M51:M$52)),SUMPRODUCT(PRODUCT(1+M51:M$51))),4)</f>
        <v>1.0094000000000001</v>
      </c>
      <c r="U51" s="3381">
        <f>ROUND(IF(项目基本情况!$B$8="出让",SUMPRODUCT(PRODUCT(1+N51:N$52)),SUMPRODUCT(PRODUCT(1+N51:N$51))),4)</f>
        <v>1.0208999999999999</v>
      </c>
      <c r="V51" s="3381"/>
      <c r="W51" s="3381">
        <f t="shared" si="222"/>
        <v>1.0094000000000001</v>
      </c>
      <c r="X51" s="3365"/>
      <c r="Y51" s="3390"/>
      <c r="Z51" s="3391">
        <f t="shared" si="223"/>
        <v>4.4999999999999997E-3</v>
      </c>
      <c r="AA51" s="3393">
        <f t="shared" si="223"/>
        <v>4.7000000000000002E-3</v>
      </c>
      <c r="AB51" s="3390">
        <f t="shared" si="223"/>
        <v>1.04E-2</v>
      </c>
      <c r="AC51" s="3392"/>
      <c r="AD51" s="3390">
        <f t="shared" si="223"/>
        <v>4.7000000000000002E-3</v>
      </c>
      <c r="AG51" s="3680">
        <f t="shared" si="185"/>
        <v>100.89999999999999</v>
      </c>
      <c r="AH51" s="3680">
        <f t="shared" si="186"/>
        <v>100.94000000000001</v>
      </c>
      <c r="AI51" s="3680">
        <f t="shared" si="187"/>
        <v>102.08999999999999</v>
      </c>
      <c r="AJ51" s="3680"/>
      <c r="AK51" s="3680">
        <f t="shared" si="188"/>
        <v>100.94000000000001</v>
      </c>
      <c r="AN51" s="3680">
        <f t="shared" si="167"/>
        <v>99.069593010443171</v>
      </c>
      <c r="AO51" s="3680">
        <f t="shared" si="168"/>
        <v>99.745671815059609</v>
      </c>
      <c r="AP51" s="3680">
        <f t="shared" si="169"/>
        <v>97.821456477561867</v>
      </c>
      <c r="AQ51" s="3680"/>
      <c r="AR51" s="3680">
        <f t="shared" si="170"/>
        <v>99.745671815059609</v>
      </c>
    </row>
    <row r="52" spans="1:44" ht="15" thickBot="1">
      <c r="A52" s="3346" t="s">
        <v>2788</v>
      </c>
      <c r="B52" s="3411">
        <v>2021</v>
      </c>
      <c r="C52" s="3412">
        <v>1</v>
      </c>
      <c r="D52" s="3412"/>
      <c r="E52" s="3412">
        <v>0.35</v>
      </c>
      <c r="F52" s="3412">
        <v>0.48</v>
      </c>
      <c r="G52" s="3412">
        <v>0.98</v>
      </c>
      <c r="H52" s="3413"/>
      <c r="I52" s="3414">
        <f t="shared" si="194"/>
        <v>0.48</v>
      </c>
      <c r="J52" s="3371"/>
      <c r="K52" s="3372"/>
      <c r="L52" s="3373">
        <f t="shared" si="195"/>
        <v>3.4999999999999996E-3</v>
      </c>
      <c r="M52" s="3373">
        <f>F52/100</f>
        <v>4.7999999999999996E-3</v>
      </c>
      <c r="N52" s="3373">
        <f t="shared" si="195"/>
        <v>9.7999999999999997E-3</v>
      </c>
      <c r="O52" s="3373"/>
      <c r="P52" s="3373">
        <f t="shared" si="221"/>
        <v>4.7999999999999996E-3</v>
      </c>
      <c r="Q52" s="3371"/>
      <c r="R52" s="3382"/>
      <c r="S52" s="3382">
        <v>1</v>
      </c>
      <c r="T52" s="3382">
        <v>1</v>
      </c>
      <c r="U52" s="3382">
        <v>1</v>
      </c>
      <c r="V52" s="3382"/>
      <c r="W52" s="3382">
        <f t="shared" si="222"/>
        <v>1</v>
      </c>
      <c r="X52" s="3371"/>
      <c r="Y52" s="3373"/>
      <c r="Z52" s="3397">
        <f t="shared" si="223"/>
        <v>3.5000000000000001E-3</v>
      </c>
      <c r="AA52" s="3398">
        <f t="shared" si="223"/>
        <v>4.7999999999999996E-3</v>
      </c>
      <c r="AB52" s="3373">
        <f t="shared" si="223"/>
        <v>9.7999999999999997E-3</v>
      </c>
      <c r="AC52" s="3399"/>
      <c r="AD52" s="3373">
        <f t="shared" si="223"/>
        <v>4.7999999999999996E-3</v>
      </c>
      <c r="AG52" s="3681">
        <v>100</v>
      </c>
      <c r="AH52" s="3681">
        <v>100</v>
      </c>
      <c r="AI52" s="3681">
        <v>100</v>
      </c>
      <c r="AJ52" s="3681"/>
      <c r="AK52" s="3681">
        <v>100</v>
      </c>
      <c r="AN52" s="3680">
        <f t="shared" si="167"/>
        <v>98.527690711529758</v>
      </c>
      <c r="AO52" s="3680">
        <f t="shared" si="168"/>
        <v>99.288942678737428</v>
      </c>
      <c r="AP52" s="3680">
        <f t="shared" si="169"/>
        <v>96.757128068805017</v>
      </c>
      <c r="AQ52" s="3680"/>
      <c r="AR52" s="3680">
        <f t="shared" si="170"/>
        <v>99.288942678737428</v>
      </c>
    </row>
    <row r="53" spans="1:44" ht="15" thickTop="1"/>
    <row r="54" spans="1:44">
      <c r="A54" s="3662"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12896.08平方米。根据《建设工程规划许可证》[]、《出让合同》[]，估价对象规划建筑面积为32240.2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2025年6月25日（评估专业人员勘察现场之日）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根据《国有土地使用证》[]，估价对象（分摊）出让国有建设用地使用权面积为12896.08平方米。根据《建设工程规划许可证》[]、《出让合同》[]，估价对象规划建筑面积为32240.2平方米。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6月25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32" t="s">
        <v>1807</v>
      </c>
      <c r="C8" s="1612">
        <f ca="1">ROUND(F8*F10*F9*(1-F11)/10000,0)</f>
        <v>0</v>
      </c>
      <c r="D8" s="1609" t="s">
        <v>1817</v>
      </c>
      <c r="E8" s="59" t="s">
        <v>585</v>
      </c>
      <c r="F8" s="751">
        <f ca="1">INDIRECT("'数据-取费表'!u"&amp;$G$1)</f>
        <v>0</v>
      </c>
      <c r="G8" s="1405"/>
      <c r="H8" s="2151" t="s">
        <v>1353</v>
      </c>
      <c r="I8" s="4032" t="s">
        <v>1807</v>
      </c>
      <c r="J8" s="749">
        <f ca="1">ROUND(M8*M10*M9*(1-M11)/10000,0)</f>
        <v>0</v>
      </c>
      <c r="K8" s="332" t="s">
        <v>1817</v>
      </c>
      <c r="L8" s="750" t="s">
        <v>1267</v>
      </c>
      <c r="M8" s="751">
        <f ca="1">INDIRECT("'数据-取费表'!z"&amp;$G$1)</f>
        <v>0</v>
      </c>
    </row>
    <row r="9" spans="1:25" ht="18" customHeight="1">
      <c r="A9" s="2147"/>
      <c r="B9" s="4033"/>
      <c r="C9" s="1613"/>
      <c r="D9" s="1610"/>
      <c r="E9" s="59" t="s">
        <v>586</v>
      </c>
      <c r="F9" s="751">
        <f ca="1">IF(INDIRECT("'数据-取费表'!ah"&amp;$G$1)="",INDIRECT("'数据-取费表'!k"&amp;$G$1),INDIRECT("'数据-取费表'!ah"&amp;$G$1))</f>
        <v>0</v>
      </c>
      <c r="G9" s="1405"/>
      <c r="H9" s="2136"/>
      <c r="I9" s="4033"/>
      <c r="J9" s="754"/>
      <c r="K9" s="755"/>
      <c r="L9" s="750" t="s">
        <v>1268</v>
      </c>
      <c r="M9" s="751">
        <f ca="1">F9</f>
        <v>0</v>
      </c>
    </row>
    <row r="10" spans="1:25" ht="18" customHeight="1">
      <c r="A10" s="2140"/>
      <c r="B10" s="4034"/>
      <c r="C10" s="1613"/>
      <c r="D10" s="1610"/>
      <c r="E10" s="59" t="s">
        <v>587</v>
      </c>
      <c r="F10" s="751">
        <f ca="1">INDIRECT("'数据-取费表'!ai"&amp;$G$1)</f>
        <v>0</v>
      </c>
      <c r="G10" s="1405"/>
      <c r="H10" s="2136"/>
      <c r="I10" s="4034"/>
      <c r="J10" s="754"/>
      <c r="K10" s="755"/>
      <c r="L10" s="750" t="s">
        <v>1269</v>
      </c>
      <c r="M10" s="751">
        <f ca="1">INDIRECT("'数据-取费表'!ai"&amp;$G$1)</f>
        <v>0</v>
      </c>
    </row>
    <row r="11" spans="1:25" ht="18" customHeight="1">
      <c r="A11" s="752"/>
      <c r="B11" s="4035"/>
      <c r="C11" s="1613"/>
      <c r="D11" s="1610"/>
      <c r="E11" s="59" t="s">
        <v>588</v>
      </c>
      <c r="F11" s="760">
        <f ca="1">INDIRECT("'数据-取费表'!w"&amp;$G$1)</f>
        <v>0</v>
      </c>
      <c r="G11" s="1405"/>
      <c r="H11" s="2152"/>
      <c r="I11" s="4034"/>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0.03</v>
      </c>
      <c r="G22" s="1406"/>
      <c r="H22" s="1619" t="s">
        <v>1379</v>
      </c>
      <c r="I22" s="1609" t="s">
        <v>615</v>
      </c>
      <c r="J22" s="52">
        <f ca="1">ROUND(M22*M23/10000,0)</f>
        <v>0</v>
      </c>
      <c r="K22" s="779" t="s">
        <v>616</v>
      </c>
      <c r="L22" s="750" t="s">
        <v>617</v>
      </c>
      <c r="M22" s="608">
        <f>'数据-取费表'!B52</f>
        <v>18</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0.03</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8.9999999999999998E-4</v>
      </c>
      <c r="D26" s="2187" t="str">
        <f>IF(F25&lt;=1,"销售费用×利率×(建设周期÷2)","销售费用×((1+利率)^(建设周期÷2)-1)")</f>
        <v>销售费用×((1+利率)^(建设周期÷2)-1)</v>
      </c>
      <c r="E26" s="750" t="s">
        <v>629</v>
      </c>
      <c r="F26" s="784">
        <f ca="1">'数据-取费表'!B40</f>
        <v>0.03</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6.5000000000000002E-2</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18</v>
      </c>
      <c r="G36" s="1786"/>
      <c r="H36" s="1789"/>
      <c r="I36" s="4031"/>
      <c r="J36" s="1803"/>
      <c r="K36" s="1804"/>
      <c r="L36" s="1803"/>
      <c r="M36" s="1803"/>
    </row>
    <row r="37" spans="1:18" ht="18" customHeight="1">
      <c r="A37" s="780"/>
      <c r="B37" s="759"/>
      <c r="C37" s="67"/>
      <c r="D37" s="781"/>
      <c r="E37" s="750" t="s">
        <v>621</v>
      </c>
      <c r="F37" s="751">
        <f ca="1">INDIRECT("'数据-取费表'!r"&amp;$G$1)</f>
        <v>0</v>
      </c>
      <c r="G37" s="1786"/>
      <c r="H37" s="1789"/>
      <c r="I37" s="4031"/>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7.0000000000000007E-2</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0.05</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50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50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str">
        <f ca="1">J61</f>
        <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#VALUE!</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v>
      </c>
      <c r="K54" s="4036"/>
      <c r="L54" s="4037"/>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f ca="1">Q49+Q50</f>
        <v>0</v>
      </c>
      <c r="R55" s="2095" t="s">
        <v>1746</v>
      </c>
    </row>
    <row r="56" spans="1:18" s="1783" customFormat="1" ht="16.2" thickBot="1">
      <c r="A56" s="1819"/>
      <c r="B56" s="1820"/>
      <c r="C56" s="1820"/>
      <c r="I56" s="2571" t="s">
        <v>1709</v>
      </c>
      <c r="J56" s="2543" t="e">
        <f ca="1">ROUND(IF(J48="钢混",J58/J51,1-(1-2%)*(J51-J58)/J51),3)</f>
        <v>#VALUE!</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50</v>
      </c>
      <c r="O57" s="2087" t="s">
        <v>1729</v>
      </c>
      <c r="P57" s="2088" t="s">
        <v>1730</v>
      </c>
      <c r="Q57" s="2089" t="s">
        <v>1731</v>
      </c>
      <c r="R57" s="2088" t="s">
        <v>1732</v>
      </c>
    </row>
    <row r="58" spans="1:18" s="1783" customFormat="1" ht="31.8" thickBot="1">
      <c r="A58" s="1819"/>
      <c r="B58" s="1820"/>
      <c r="C58" s="1820"/>
      <c r="I58" s="2574" t="s">
        <v>1712</v>
      </c>
      <c r="J58" s="2575" t="str">
        <f ca="1">IF(OR(M48="住宅",J52&lt;L49,J57="是"),"——",J52-L49)</f>
        <v>——</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#VALUE!</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str">
        <f ca="1">IF(OR(M48="住宅",J52&lt;L49,J57="是"),"——",ROUND(C30*J59,0))</f>
        <v>——</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str">
        <f ca="1">IF(OR(M48="住宅",J52&lt;L49,J57="是"),"0",ROUND(J60/(1+J53)^J54,0))</f>
        <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7.0000000000000007E-2</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f ca="1">J53</f>
        <v>70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4032" t="s">
        <v>1807</v>
      </c>
      <c r="C6" s="749">
        <f ca="1">ROUND(F6*F8*F7*(1-F9)/10000,0)</f>
        <v>0</v>
      </c>
      <c r="D6" s="2144" t="s">
        <v>1806</v>
      </c>
      <c r="E6" s="750" t="s">
        <v>1267</v>
      </c>
      <c r="F6" s="751">
        <f ca="1">INDIRECT("'数据-取费表'!u"&amp;$G$1)</f>
        <v>0</v>
      </c>
      <c r="G6" s="1786"/>
      <c r="H6" s="2151" t="s">
        <v>1812</v>
      </c>
      <c r="I6" s="4032" t="s">
        <v>1807</v>
      </c>
      <c r="J6" s="749">
        <f ca="1">ROUND(M6*M8*M7*(1-M9)/10000,0)</f>
        <v>0</v>
      </c>
      <c r="K6" s="332" t="s">
        <v>1266</v>
      </c>
      <c r="L6" s="750" t="s">
        <v>1267</v>
      </c>
      <c r="M6" s="751">
        <f ca="1">INDIRECT("'数据-取费表'!z"&amp;$G$1)</f>
        <v>0</v>
      </c>
    </row>
    <row r="7" spans="1:33" ht="18" customHeight="1">
      <c r="A7" s="2147"/>
      <c r="B7" s="4033"/>
      <c r="C7" s="754"/>
      <c r="D7" s="755"/>
      <c r="E7" s="750" t="s">
        <v>1268</v>
      </c>
      <c r="F7" s="751">
        <f ca="1">IF(INDIRECT("'数据-取费表'!ah"&amp;$G$1)="",INDIRECT("'数据-取费表'!k"&amp;$G$1),INDIRECT("'数据-取费表'!ah"&amp;$G$1))</f>
        <v>32240.2</v>
      </c>
      <c r="G7" s="1786"/>
      <c r="H7" s="2136"/>
      <c r="I7" s="4033"/>
      <c r="J7" s="754"/>
      <c r="K7" s="755"/>
      <c r="L7" s="750" t="s">
        <v>1268</v>
      </c>
      <c r="M7" s="751">
        <f ca="1">F7</f>
        <v>32240.2</v>
      </c>
    </row>
    <row r="8" spans="1:33" ht="18" customHeight="1">
      <c r="A8" s="2140"/>
      <c r="B8" s="4034"/>
      <c r="C8" s="754"/>
      <c r="D8" s="755"/>
      <c r="E8" s="750" t="s">
        <v>1269</v>
      </c>
      <c r="F8" s="751">
        <f ca="1">INDIRECT("'数据-取费表'!ai"&amp;$G$1)</f>
        <v>0</v>
      </c>
      <c r="G8" s="1786"/>
      <c r="H8" s="2136"/>
      <c r="I8" s="4034"/>
      <c r="J8" s="754"/>
      <c r="K8" s="755"/>
      <c r="L8" s="750" t="s">
        <v>1269</v>
      </c>
      <c r="M8" s="751">
        <f ca="1">INDIRECT("'数据-取费表'!ai"&amp;$G$1)</f>
        <v>0</v>
      </c>
    </row>
    <row r="9" spans="1:33" ht="18" customHeight="1">
      <c r="A9" s="752"/>
      <c r="B9" s="4035"/>
      <c r="C9" s="754"/>
      <c r="D9" s="755"/>
      <c r="E9" s="750" t="s">
        <v>1270</v>
      </c>
      <c r="F9" s="760">
        <f ca="1">INDIRECT("'数据-取费表'!w"&amp;$G$1)</f>
        <v>0</v>
      </c>
      <c r="G9" s="1786"/>
      <c r="H9" s="2152"/>
      <c r="I9" s="4034"/>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14508</v>
      </c>
      <c r="D14" s="1734" t="s">
        <v>1274</v>
      </c>
      <c r="E14" s="1735"/>
      <c r="F14" s="771"/>
      <c r="G14" s="1786"/>
      <c r="H14" s="1454" t="s">
        <v>1359</v>
      </c>
      <c r="I14" s="1950" t="s">
        <v>2103</v>
      </c>
      <c r="J14" s="51">
        <f ca="1">C29</f>
        <v>26507</v>
      </c>
      <c r="K14" s="24"/>
      <c r="L14" s="767"/>
      <c r="M14" s="768"/>
    </row>
    <row r="15" spans="1:33" s="1788" customFormat="1" ht="18" customHeight="1" thickBot="1">
      <c r="A15" s="1453" t="s">
        <v>1410</v>
      </c>
      <c r="B15" s="750" t="s">
        <v>595</v>
      </c>
      <c r="C15" s="51">
        <f ca="1">ROUND(C14*F15,0)</f>
        <v>725</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1451</v>
      </c>
      <c r="D16" s="750" t="s">
        <v>1275</v>
      </c>
      <c r="E16" s="750" t="s">
        <v>1276</v>
      </c>
      <c r="F16" s="775">
        <f ca="1">IF(INDIRECT("'数据-取费表'!c"&amp;$G$1)="住宅",'数据-取费表'!B34,0)</f>
        <v>0.1</v>
      </c>
      <c r="G16" s="1786"/>
      <c r="H16" s="1616" t="s">
        <v>1277</v>
      </c>
      <c r="I16" s="1614" t="s">
        <v>1278</v>
      </c>
      <c r="J16" s="758">
        <f ca="1">ROUND(J17+J22+J23+J24,0)</f>
        <v>23</v>
      </c>
      <c r="K16" s="1608" t="s">
        <v>1279</v>
      </c>
      <c r="L16" s="2133"/>
      <c r="M16" s="2138"/>
    </row>
    <row r="17" spans="1:33" s="1788" customFormat="1" ht="18" customHeight="1">
      <c r="A17" s="1453" t="s">
        <v>1412</v>
      </c>
      <c r="B17" s="750" t="s">
        <v>601</v>
      </c>
      <c r="C17" s="51">
        <f ca="1">ROUND(F17*(F43+INDIRECT("'数据-取费表'!S"&amp;$G$1))/10000,0)</f>
        <v>645</v>
      </c>
      <c r="D17" s="750" t="s">
        <v>1280</v>
      </c>
      <c r="E17" s="750" t="s">
        <v>1281</v>
      </c>
      <c r="F17" s="54">
        <f>'数据-取费表'!B35</f>
        <v>200</v>
      </c>
      <c r="G17" s="3003"/>
      <c r="H17" s="1454" t="s">
        <v>1359</v>
      </c>
      <c r="I17" s="750" t="s">
        <v>604</v>
      </c>
      <c r="J17" s="2762">
        <f ca="1">ROUND(IF(AND(项目基本情况!B11="自然人",项目基本情况!B10="北京市"),J6*M17/(1+'数据-取费表'!C42),J18+J19+J20),2)</f>
        <v>23.21</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218</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17547</v>
      </c>
      <c r="D19" s="252" t="s">
        <v>1286</v>
      </c>
      <c r="E19" s="173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526</v>
      </c>
      <c r="D20" s="777" t="s">
        <v>1288</v>
      </c>
      <c r="E20" s="750" t="s">
        <v>1276</v>
      </c>
      <c r="F20" s="775">
        <f>'数据-取费表'!B37</f>
        <v>0.03</v>
      </c>
      <c r="G20" s="3003"/>
      <c r="H20" s="1456" t="s">
        <v>1405</v>
      </c>
      <c r="I20" s="332" t="s">
        <v>1289</v>
      </c>
      <c r="J20" s="52">
        <f ca="1">ROUND(M20*M21/10000,2)</f>
        <v>23.21</v>
      </c>
      <c r="K20" s="779" t="s">
        <v>1290</v>
      </c>
      <c r="L20" s="750" t="s">
        <v>1291</v>
      </c>
      <c r="M20" s="608">
        <f>'数据-取费表'!B52</f>
        <v>18</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0.03</v>
      </c>
      <c r="G21" s="3003"/>
      <c r="H21" s="2153"/>
      <c r="I21" s="759"/>
      <c r="J21" s="67"/>
      <c r="K21" s="781"/>
      <c r="L21" s="750" t="s">
        <v>1295</v>
      </c>
      <c r="M21" s="751">
        <f ca="1">INDIRECT("'数据-取费表'!r"&amp;$G$1)</f>
        <v>12896.08</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v>
      </c>
    </row>
    <row r="23" spans="1:33" s="1788" customFormat="1" ht="18" customHeight="1">
      <c r="A23" s="1453" t="s">
        <v>1360</v>
      </c>
      <c r="B23" s="750" t="s">
        <v>1818</v>
      </c>
      <c r="C23" s="51">
        <f ca="1">ROUND(IF('数据-取费表'!B22&lt;=1,(C19+C20)*F24*F23/2,(C19+C20)*(POWER((1+F24),F23/2)-1)),0)</f>
        <v>542</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0</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8.9999999999999998E-4</v>
      </c>
      <c r="D24" s="2187" t="str">
        <f>IF(F23&lt;=1,"销售费用×利率×(建设周期÷2)","销售费用×((1+利率)^(建设周期÷2)-1)")</f>
        <v>销售费用×((1+利率)^(建设周期÷2)-1)</v>
      </c>
      <c r="E24" s="750" t="s">
        <v>1302</v>
      </c>
      <c r="F24" s="784">
        <f ca="1">'数据-取费表'!B40</f>
        <v>0.03</v>
      </c>
      <c r="G24" s="3003"/>
      <c r="H24" s="2169" t="s">
        <v>1416</v>
      </c>
      <c r="I24" s="2164" t="s">
        <v>613</v>
      </c>
      <c r="J24" s="2162">
        <f ca="1">ROUND(J5*M24,2)</f>
        <v>0</v>
      </c>
      <c r="K24" s="2163" t="s">
        <v>1303</v>
      </c>
      <c r="L24" s="2164" t="s">
        <v>1276</v>
      </c>
      <c r="M24" s="2160">
        <f ca="1">INDIRECT("'数据-取费表'!Am"&amp;$G$1)</f>
        <v>0</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-23</v>
      </c>
      <c r="K25" s="2166" t="s">
        <v>1306</v>
      </c>
      <c r="L25" s="2167"/>
      <c r="M25" s="2168"/>
    </row>
    <row r="26" spans="1:33" ht="18" customHeight="1">
      <c r="A26" s="1453" t="s">
        <v>1360</v>
      </c>
      <c r="B26" s="750" t="s">
        <v>1785</v>
      </c>
      <c r="C26" s="51">
        <f ca="1">ROUND((C19+C20)*F26,0)</f>
        <v>5422</v>
      </c>
      <c r="D26" s="777" t="s">
        <v>1307</v>
      </c>
      <c r="E26" s="761" t="s">
        <v>1308</v>
      </c>
      <c r="F26" s="760">
        <f ca="1">INDIRECT("'数据-取费表'!q"&amp;$G$1)</f>
        <v>0.3</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8.9999999999999993E-3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26507</v>
      </c>
      <c r="D29" s="2163"/>
      <c r="E29" s="2164"/>
      <c r="F29" s="2165"/>
      <c r="G29" s="3003"/>
      <c r="H29" s="788" t="s">
        <v>1316</v>
      </c>
      <c r="I29" s="789" t="s">
        <v>1317</v>
      </c>
      <c r="J29" s="790">
        <f ca="1">ROUND(J26/(1+F40)^F41,0)</f>
        <v>0</v>
      </c>
      <c r="K29" s="791" t="s">
        <v>1318</v>
      </c>
      <c r="L29" s="792"/>
      <c r="M29" s="793">
        <f ca="1">INDIRECT("'数据-取费表'!k"&amp;$G$1)</f>
        <v>32240.2</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23</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23.21</v>
      </c>
      <c r="D31" s="1734" t="s">
        <v>1321</v>
      </c>
      <c r="E31" s="1732" t="s">
        <v>1322</v>
      </c>
      <c r="F31" s="2761" t="str">
        <f>IF(项目基本情况!B11="企业","——",IF(M47="住宅",IF(F6*F7*F8/12/(1+'数据-取费表'!F30)&gt;100000,4%,2.5%),IF(F6*F7*F8/12/(1+'数据-取费表'!F30)&gt;100000,12%,7%)))</f>
        <v>——</v>
      </c>
      <c r="G31" s="1786"/>
      <c r="H31" s="3000" t="s">
        <v>2280</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23.21</v>
      </c>
      <c r="D34" s="779" t="s">
        <v>1328</v>
      </c>
      <c r="E34" s="750" t="s">
        <v>1329</v>
      </c>
      <c r="F34" s="608">
        <f>'数据-取费表'!B52</f>
        <v>18</v>
      </c>
      <c r="G34" s="1786"/>
      <c r="H34" s="1789"/>
      <c r="I34" s="800" t="s">
        <v>1342</v>
      </c>
      <c r="J34" s="801"/>
      <c r="K34" s="1804"/>
      <c r="L34" s="1803"/>
      <c r="M34" s="1803"/>
    </row>
    <row r="35" spans="1:18" ht="18" customHeight="1">
      <c r="A35" s="780"/>
      <c r="B35" s="759"/>
      <c r="C35" s="67"/>
      <c r="D35" s="781"/>
      <c r="E35" s="750" t="s">
        <v>1330</v>
      </c>
      <c r="F35" s="751">
        <f ca="1">INDIRECT("'数据-取费表'!r"&amp;$G$1)</f>
        <v>12896.08</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0</v>
      </c>
      <c r="D37" s="1732" t="s">
        <v>1333</v>
      </c>
      <c r="E37" s="750" t="s">
        <v>1325</v>
      </c>
      <c r="F37" s="783">
        <f ca="1">INDIRECT("'数据-取费表'!Al"&amp;$G$1)</f>
        <v>0</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v>
      </c>
      <c r="G38" s="1786"/>
      <c r="H38" s="1801"/>
      <c r="I38" s="808" t="s">
        <v>1346</v>
      </c>
      <c r="J38" s="809"/>
      <c r="K38" s="1806"/>
      <c r="L38" s="1801"/>
      <c r="M38" s="1801"/>
    </row>
    <row r="39" spans="1:18" ht="24.6" customHeight="1" thickTop="1">
      <c r="A39" s="1616" t="s">
        <v>1419</v>
      </c>
      <c r="B39" s="2484" t="s">
        <v>2099</v>
      </c>
      <c r="C39" s="758">
        <f ca="1">C5-C30</f>
        <v>-23</v>
      </c>
      <c r="D39" s="2166" t="s">
        <v>1335</v>
      </c>
      <c r="E39" s="2167"/>
      <c r="F39" s="2168"/>
      <c r="G39" s="1786"/>
      <c r="H39" s="1801"/>
      <c r="I39" s="802" t="s">
        <v>1347</v>
      </c>
      <c r="J39" s="810">
        <f ca="1">ROUND(J35/C39,3)</f>
        <v>0</v>
      </c>
      <c r="K39" s="1806"/>
      <c r="L39" s="1801"/>
      <c r="M39" s="1801"/>
    </row>
    <row r="40" spans="1:18" ht="18" customHeight="1">
      <c r="A40" s="747" t="s">
        <v>1420</v>
      </c>
      <c r="B40" s="1951" t="s">
        <v>1658</v>
      </c>
      <c r="C40" s="749">
        <f ca="1">ROUND(C39*(1-((1+F42)/(1+F40))^F41)/(F40-F42),0)</f>
        <v>0</v>
      </c>
      <c r="D40" s="779" t="s">
        <v>1336</v>
      </c>
      <c r="E40" s="750" t="s">
        <v>1773</v>
      </c>
      <c r="F40" s="760">
        <f ca="1">INDIRECT("'数据-取费表'!I"&amp;$G$1)</f>
        <v>0.06</v>
      </c>
      <c r="G40" s="1786"/>
      <c r="H40" s="1786"/>
      <c r="I40" s="802" t="s">
        <v>1348</v>
      </c>
      <c r="J40" s="810">
        <f ca="1">1-J39</f>
        <v>1</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f ca="1">ROUND(C40*10000/F43,0)</f>
        <v>0</v>
      </c>
      <c r="D43" s="791" t="s">
        <v>1340</v>
      </c>
      <c r="E43" s="792" t="s">
        <v>1341</v>
      </c>
      <c r="F43" s="793">
        <f ca="1">INDIRECT("'数据-取费表'!k"&amp;$G$1)</f>
        <v>32240.2</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70</v>
      </c>
      <c r="M48" s="3005"/>
      <c r="O48" s="2090" t="s">
        <v>1733</v>
      </c>
      <c r="P48" s="2091" t="s">
        <v>1759</v>
      </c>
      <c r="Q48" s="2092">
        <f ca="1">C40+J29</f>
        <v>0</v>
      </c>
      <c r="R48" s="2091" t="s">
        <v>1734</v>
      </c>
    </row>
    <row r="49" spans="1:18" s="1783" customFormat="1" ht="18" customHeight="1" thickBot="1">
      <c r="A49" s="752"/>
      <c r="B49" s="753"/>
      <c r="C49" s="754"/>
      <c r="D49" s="755"/>
      <c r="E49" s="750" t="s">
        <v>1268</v>
      </c>
      <c r="F49" s="751">
        <f ca="1">F7</f>
        <v>32240.2</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0</v>
      </c>
      <c r="G50" s="1818"/>
      <c r="H50" s="1816"/>
      <c r="I50" s="2554" t="s">
        <v>1701</v>
      </c>
      <c r="J50" s="2561">
        <f>SUMPRODUCT((I63:I65=J47)*(J62:L62=J48)*(J63:L65))</f>
        <v>0</v>
      </c>
      <c r="K50" s="2565" t="s">
        <v>1707</v>
      </c>
      <c r="L50" s="2076"/>
      <c r="M50" s="3005"/>
      <c r="O50" s="2093" t="s">
        <v>1737</v>
      </c>
      <c r="P50" s="2091" t="s">
        <v>1761</v>
      </c>
      <c r="Q50" s="2092">
        <f ca="1">C29</f>
        <v>26507</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f ca="1">ROUND(-PV(INDIRECT("'数据-取费表'!h"&amp;$G$1),J51,(C39-C13*J36),0),0)</f>
        <v>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70</v>
      </c>
      <c r="K53" s="4038" t="s">
        <v>2226</v>
      </c>
      <c r="L53" s="4039"/>
      <c r="M53" s="3005"/>
      <c r="O53" s="2093" t="s">
        <v>1742</v>
      </c>
      <c r="P53" s="2091" t="s">
        <v>1743</v>
      </c>
      <c r="Q53" s="2092">
        <f ca="1">J53</f>
        <v>70</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f ca="1">Q48+Q49</f>
        <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26507</v>
      </c>
      <c r="D56" s="2245"/>
      <c r="E56" s="750"/>
      <c r="F56" s="775"/>
      <c r="I56" s="2573" t="s">
        <v>1711</v>
      </c>
      <c r="J56" s="2583"/>
      <c r="K56" s="2554" t="s">
        <v>1716</v>
      </c>
      <c r="L56" s="1664">
        <f ca="1">IF(L48&lt;J51,"——",L48-J51)</f>
        <v>70</v>
      </c>
      <c r="M56" s="3005"/>
      <c r="O56" s="2087" t="s">
        <v>1729</v>
      </c>
      <c r="P56" s="2088" t="s">
        <v>1730</v>
      </c>
      <c r="Q56" s="2089" t="s">
        <v>1731</v>
      </c>
      <c r="R56" s="2088" t="s">
        <v>1732</v>
      </c>
    </row>
    <row r="57" spans="1:18" s="1783" customFormat="1" ht="28.5" customHeight="1" thickBot="1">
      <c r="A57" s="763" t="s">
        <v>1277</v>
      </c>
      <c r="B57" s="764" t="s">
        <v>599</v>
      </c>
      <c r="C57" s="765">
        <f ca="1">ROUND(C58+C63+C64+C65,0)</f>
        <v>23</v>
      </c>
      <c r="D57" s="24" t="s">
        <v>1279</v>
      </c>
      <c r="E57" s="2246"/>
      <c r="F57" s="54"/>
      <c r="I57" s="2574" t="s">
        <v>1712</v>
      </c>
      <c r="J57" s="2575" t="str">
        <f ca="1">IF(OR(M47="住宅",J51&lt;L48,J56="是"),"——",J51-L48)</f>
        <v>——</v>
      </c>
      <c r="K57" s="2554" t="s">
        <v>1717</v>
      </c>
      <c r="L57" s="1664">
        <f ca="1">IF(L48&lt;J51,"——",IF(L55="比较法",L49,IF(L55="基准地价",L50,L51)))</f>
        <v>0</v>
      </c>
      <c r="M57" s="3005"/>
      <c r="O57" s="2090" t="s">
        <v>1733</v>
      </c>
      <c r="P57" s="2091" t="s">
        <v>1763</v>
      </c>
      <c r="Q57" s="2092">
        <f ca="1">C40+J29</f>
        <v>0</v>
      </c>
      <c r="R57" s="2091" t="s">
        <v>1734</v>
      </c>
    </row>
    <row r="58" spans="1:18" s="1783" customFormat="1" ht="28.5" customHeight="1" thickBot="1">
      <c r="A58" s="1454" t="s">
        <v>1353</v>
      </c>
      <c r="B58" s="750" t="s">
        <v>604</v>
      </c>
      <c r="C58" s="2762">
        <f ca="1">ROUND(IF(AND(项目基本情况!B11="自然人",项目基本情况!B10="北京市"),C48*F58/(1+'数据-取费表'!C42),C59+C60+C61),2)</f>
        <v>23.21</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23.21</v>
      </c>
      <c r="D61" s="779" t="s">
        <v>616</v>
      </c>
      <c r="E61" s="750" t="s">
        <v>617</v>
      </c>
      <c r="F61" s="608">
        <f t="shared" si="0"/>
        <v>18</v>
      </c>
      <c r="K61" s="1809"/>
      <c r="O61" s="2093" t="s">
        <v>1740</v>
      </c>
      <c r="P61" s="2091" t="s">
        <v>1748</v>
      </c>
      <c r="Q61" s="2092" t="e">
        <f ca="1">L58</f>
        <v>#DIV/0!</v>
      </c>
      <c r="R61" s="2095" t="s">
        <v>1749</v>
      </c>
    </row>
    <row r="62" spans="1:18" s="1783" customFormat="1" ht="16.2" thickBot="1">
      <c r="A62" s="780"/>
      <c r="B62" s="759"/>
      <c r="C62" s="67"/>
      <c r="D62" s="781"/>
      <c r="E62" s="750" t="s">
        <v>621</v>
      </c>
      <c r="F62" s="751">
        <f t="shared" ca="1" si="0"/>
        <v>12896.08</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6.2" thickBot="1">
      <c r="A63" s="1454" t="s">
        <v>1414</v>
      </c>
      <c r="B63" s="750" t="s">
        <v>623</v>
      </c>
      <c r="C63" s="51">
        <f ca="1">ROUND(C56*F63,2)</f>
        <v>0</v>
      </c>
      <c r="D63" s="2245" t="s">
        <v>1332</v>
      </c>
      <c r="E63" s="750" t="s">
        <v>1276</v>
      </c>
      <c r="F63" s="782">
        <f t="shared" ca="1" si="0"/>
        <v>0</v>
      </c>
      <c r="I63" s="2579" t="s">
        <v>1724</v>
      </c>
      <c r="J63" s="2580">
        <v>70</v>
      </c>
      <c r="K63" s="2580">
        <v>50</v>
      </c>
      <c r="L63" s="2580">
        <v>80</v>
      </c>
      <c r="M63" s="2582">
        <v>0.02</v>
      </c>
      <c r="O63" s="2090" t="s">
        <v>1745</v>
      </c>
      <c r="P63" s="2091" t="s">
        <v>1762</v>
      </c>
      <c r="Q63" s="2092">
        <f ca="1">Q57+Q58</f>
        <v>0</v>
      </c>
      <c r="R63" s="2095" t="s">
        <v>1746</v>
      </c>
    </row>
    <row r="64" spans="1:18" s="1783" customFormat="1" ht="16.2" thickBot="1">
      <c r="A64" s="1454" t="s">
        <v>1415</v>
      </c>
      <c r="B64" s="750" t="s">
        <v>626</v>
      </c>
      <c r="C64" s="51">
        <f ca="1">ROUND(C55*F64,2)</f>
        <v>0</v>
      </c>
      <c r="D64" s="2245" t="s">
        <v>627</v>
      </c>
      <c r="E64" s="750" t="s">
        <v>1276</v>
      </c>
      <c r="F64" s="783">
        <f t="shared" ca="1" si="0"/>
        <v>0</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f ca="1">ROUND(C47*F65,2)</f>
        <v>0</v>
      </c>
      <c r="D65" s="2245" t="s">
        <v>630</v>
      </c>
      <c r="E65" s="750" t="s">
        <v>1276</v>
      </c>
      <c r="F65" s="760">
        <f t="shared" ca="1" si="0"/>
        <v>0</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f ca="1">C47-C57</f>
        <v>-23</v>
      </c>
      <c r="D66" s="2244" t="s">
        <v>647</v>
      </c>
      <c r="E66" s="2243"/>
      <c r="F66" s="785"/>
      <c r="K66" s="1809"/>
      <c r="O66" s="2090" t="s">
        <v>1733</v>
      </c>
      <c r="P66" s="2091" t="s">
        <v>1763</v>
      </c>
      <c r="Q66" s="2092">
        <f ca="1">C40+J29</f>
        <v>0</v>
      </c>
      <c r="R66" s="2091" t="s">
        <v>1734</v>
      </c>
    </row>
    <row r="67" spans="1:18" s="1783" customFormat="1" ht="19.2" thickBot="1">
      <c r="A67" s="747" t="s">
        <v>1309</v>
      </c>
      <c r="B67" s="1951" t="s">
        <v>1658</v>
      </c>
      <c r="C67" s="749">
        <f ca="1">ROUND(C66*(1-((1+F69)/(1+F67))^F68)/(F67-F69),0)</f>
        <v>0</v>
      </c>
      <c r="D67" s="779" t="s">
        <v>651</v>
      </c>
      <c r="E67" s="750" t="s">
        <v>652</v>
      </c>
      <c r="F67" s="760">
        <f ca="1">F40</f>
        <v>0.06</v>
      </c>
      <c r="K67" s="1809"/>
      <c r="O67" s="2090" t="s">
        <v>1735</v>
      </c>
      <c r="P67" s="2091" t="s">
        <v>1766</v>
      </c>
      <c r="Q67" s="2092">
        <f ca="1">L60</f>
        <v>0</v>
      </c>
      <c r="R67" s="2095" t="s">
        <v>1768</v>
      </c>
    </row>
    <row r="68" spans="1:18" ht="20.399999999999999" thickBot="1">
      <c r="A68" s="752"/>
      <c r="B68" s="753"/>
      <c r="C68" s="754"/>
      <c r="D68" s="786" t="s">
        <v>1337</v>
      </c>
      <c r="E68" s="750" t="s">
        <v>1313</v>
      </c>
      <c r="F68" s="787">
        <f ca="1">F41</f>
        <v>0</v>
      </c>
      <c r="O68" s="2093" t="s">
        <v>1737</v>
      </c>
      <c r="P68" s="2091" t="s">
        <v>1767</v>
      </c>
      <c r="Q68" s="2097">
        <f ca="1">L51</f>
        <v>0</v>
      </c>
      <c r="R68" s="2098" t="s">
        <v>1770</v>
      </c>
    </row>
    <row r="69" spans="1:18" ht="19.2" thickBot="1">
      <c r="A69" s="756"/>
      <c r="B69" s="757"/>
      <c r="C69" s="758"/>
      <c r="D69" s="781"/>
      <c r="E69" s="750" t="s">
        <v>657</v>
      </c>
      <c r="F69" s="2065"/>
      <c r="O69" s="2093" t="s">
        <v>1738</v>
      </c>
      <c r="P69" s="2099" t="s">
        <v>1752</v>
      </c>
      <c r="Q69" s="2092">
        <f ca="1">ROUND(Q70-Q71*Q72,0)</f>
        <v>-23</v>
      </c>
      <c r="R69" s="2095"/>
    </row>
    <row r="70" spans="1:18" ht="16.2" thickBot="1">
      <c r="A70" s="788" t="s">
        <v>1316</v>
      </c>
      <c r="B70" s="789" t="s">
        <v>1339</v>
      </c>
      <c r="C70" s="790">
        <f ca="1">ROUND(C67*10000/F70,0)</f>
        <v>0</v>
      </c>
      <c r="D70" s="791" t="s">
        <v>1340</v>
      </c>
      <c r="E70" s="792" t="s">
        <v>1341</v>
      </c>
      <c r="F70" s="793">
        <f ca="1">F43</f>
        <v>32240.2</v>
      </c>
      <c r="O70" s="2093" t="s">
        <v>1753</v>
      </c>
      <c r="P70" s="2099" t="s">
        <v>1754</v>
      </c>
      <c r="Q70" s="2092">
        <f ca="1">C39</f>
        <v>-23</v>
      </c>
      <c r="R70" s="2091" t="s">
        <v>1734</v>
      </c>
    </row>
    <row r="71" spans="1:18" ht="16.2" thickBot="1">
      <c r="O71" s="2093" t="s">
        <v>1755</v>
      </c>
      <c r="P71" s="2099" t="s">
        <v>1756</v>
      </c>
      <c r="Q71" s="2092">
        <f ca="1">C13</f>
        <v>0</v>
      </c>
      <c r="R71" s="2091" t="s">
        <v>1734</v>
      </c>
    </row>
    <row r="72" spans="1:18" ht="16.2" thickBot="1">
      <c r="O72" s="2093" t="s">
        <v>1757</v>
      </c>
      <c r="P72" s="2099" t="s">
        <v>1758</v>
      </c>
      <c r="Q72" s="2094">
        <f ca="1">J36</f>
        <v>7.0000000000000007E-2</v>
      </c>
      <c r="R72" s="2095"/>
    </row>
    <row r="73" spans="1:18" ht="16.2" thickBot="1">
      <c r="O73" s="2093" t="s">
        <v>1740</v>
      </c>
      <c r="P73" s="2091" t="s">
        <v>1747</v>
      </c>
      <c r="Q73" s="2094">
        <f>L52</f>
        <v>0</v>
      </c>
      <c r="R73" s="2095"/>
    </row>
    <row r="74" spans="1:18" ht="19.2" thickBot="1">
      <c r="O74" s="2093" t="s">
        <v>1742</v>
      </c>
      <c r="P74" s="2091" t="s">
        <v>1748</v>
      </c>
      <c r="Q74" s="2092" t="e">
        <f ca="1">L58</f>
        <v>#DIV/0!</v>
      </c>
      <c r="R74" s="2095" t="s">
        <v>1749</v>
      </c>
    </row>
    <row r="75" spans="1:18" ht="16.2" thickBot="1">
      <c r="O75" s="2093" t="s">
        <v>1771</v>
      </c>
      <c r="P75" s="2091" t="str">
        <f>K59</f>
        <v>建筑物剩余耐用年限下的土地年期修正系数Kn</v>
      </c>
      <c r="Q75" s="2092" t="e">
        <f ca="1">L59</f>
        <v>#DIV/0!</v>
      </c>
      <c r="R75" s="2095" t="s">
        <v>1751</v>
      </c>
    </row>
    <row r="76" spans="1:18" ht="16.2" thickBot="1">
      <c r="O76" s="2090" t="s">
        <v>1745</v>
      </c>
      <c r="P76" s="2091" t="s">
        <v>1762</v>
      </c>
      <c r="Q76" s="2092">
        <f ca="1">Q66+Q67</f>
        <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4046" t="s">
        <v>2300</v>
      </c>
      <c r="K2" s="4047"/>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4048" t="s">
        <v>2310</v>
      </c>
      <c r="K3" s="4049"/>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4048" t="s">
        <v>2312</v>
      </c>
      <c r="K4" s="4049"/>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4054" t="s">
        <v>2316</v>
      </c>
      <c r="B6" s="4055"/>
      <c r="C6" s="4056"/>
      <c r="D6" s="3098"/>
      <c r="E6" s="3099"/>
      <c r="F6" s="3100"/>
      <c r="G6" s="3101"/>
      <c r="H6" s="3076"/>
      <c r="I6" s="3077"/>
      <c r="J6" s="4040">
        <v>1</v>
      </c>
      <c r="K6" s="4041"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4040"/>
      <c r="K7" s="4042"/>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4057" t="s">
        <v>2330</v>
      </c>
      <c r="C8" s="4058"/>
      <c r="D8" s="3117" t="s">
        <v>2331</v>
      </c>
      <c r="E8" s="3118" t="s">
        <v>2332</v>
      </c>
      <c r="F8" s="3119" t="s">
        <v>2333</v>
      </c>
      <c r="G8" s="3120"/>
      <c r="H8" s="3076"/>
      <c r="I8" s="3077"/>
      <c r="J8" s="4040"/>
      <c r="K8" s="4042"/>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4057" t="s">
        <v>2336</v>
      </c>
      <c r="C9" s="4058"/>
      <c r="D9" s="3117">
        <f>ROUND(D6*E9,0)</f>
        <v>0</v>
      </c>
      <c r="E9" s="3121"/>
      <c r="F9" s="3122" t="s">
        <v>2337</v>
      </c>
      <c r="G9" s="3101"/>
      <c r="H9" s="3076"/>
      <c r="I9" s="3077"/>
      <c r="J9" s="4040"/>
      <c r="K9" s="4042"/>
      <c r="L9" s="3111" t="s">
        <v>2338</v>
      </c>
      <c r="M9" s="3112"/>
      <c r="N9" s="3088"/>
      <c r="O9" s="3113"/>
      <c r="P9" s="3113"/>
      <c r="Q9" s="3114">
        <v>365</v>
      </c>
      <c r="R9" s="3115">
        <f t="shared" si="0"/>
        <v>0</v>
      </c>
      <c r="S9" s="3068"/>
      <c r="T9" s="3068"/>
      <c r="U9" s="3068"/>
      <c r="V9" s="3077"/>
    </row>
    <row r="10" spans="1:22" s="3081" customFormat="1" ht="13.2" customHeight="1">
      <c r="A10" s="3116">
        <v>2</v>
      </c>
      <c r="B10" s="4057" t="s">
        <v>2339</v>
      </c>
      <c r="C10" s="4058"/>
      <c r="D10" s="3117">
        <f>ROUND(D6*E10,0)</f>
        <v>0</v>
      </c>
      <c r="E10" s="3121"/>
      <c r="F10" s="3122" t="s">
        <v>2340</v>
      </c>
      <c r="G10" s="3101"/>
      <c r="H10" s="3076"/>
      <c r="I10" s="3077"/>
      <c r="J10" s="4040"/>
      <c r="K10" s="4042"/>
      <c r="L10" s="3111" t="s">
        <v>2341</v>
      </c>
      <c r="M10" s="3112"/>
      <c r="N10" s="3088"/>
      <c r="O10" s="3113"/>
      <c r="P10" s="3113"/>
      <c r="Q10" s="3114">
        <v>365</v>
      </c>
      <c r="R10" s="3115">
        <f t="shared" si="0"/>
        <v>0</v>
      </c>
      <c r="S10" s="3068"/>
      <c r="T10" s="3068"/>
      <c r="U10" s="3068"/>
      <c r="V10" s="3077"/>
    </row>
    <row r="11" spans="1:22" s="3081" customFormat="1" ht="13.2" customHeight="1">
      <c r="A11" s="3116">
        <v>3</v>
      </c>
      <c r="B11" s="4057" t="s">
        <v>2342</v>
      </c>
      <c r="C11" s="4058"/>
      <c r="D11" s="3117">
        <f>D12+D14+D15+D16</f>
        <v>0</v>
      </c>
      <c r="E11" s="3123" t="e">
        <f>D11/D6</f>
        <v>#DIV/0!</v>
      </c>
      <c r="F11" s="3119"/>
      <c r="G11" s="3120"/>
      <c r="H11" s="3076"/>
      <c r="I11" s="3077"/>
      <c r="J11" s="4040"/>
      <c r="K11" s="4042"/>
      <c r="L11" s="3111" t="s">
        <v>2343</v>
      </c>
      <c r="M11" s="3112"/>
      <c r="N11" s="3088"/>
      <c r="O11" s="3113"/>
      <c r="P11" s="3113"/>
      <c r="Q11" s="3114">
        <v>365</v>
      </c>
      <c r="R11" s="3115">
        <f t="shared" si="0"/>
        <v>0</v>
      </c>
      <c r="S11" s="3068"/>
      <c r="T11" s="3068"/>
      <c r="U11" s="3068"/>
      <c r="V11" s="3077"/>
    </row>
    <row r="12" spans="1:22" s="3081" customFormat="1" ht="13.2" customHeight="1">
      <c r="A12" s="3124" t="s">
        <v>2344</v>
      </c>
      <c r="B12" s="4050" t="s">
        <v>2345</v>
      </c>
      <c r="C12" s="4051"/>
      <c r="D12" s="3125">
        <f>ROUND(D13*1.2%*(1-30%),0)</f>
        <v>0</v>
      </c>
      <c r="E12" s="3126">
        <v>1.2E-2</v>
      </c>
      <c r="F12" s="3119" t="s">
        <v>2346</v>
      </c>
      <c r="G12" s="3120"/>
      <c r="H12" s="3076"/>
      <c r="I12" s="3077"/>
      <c r="J12" s="4040"/>
      <c r="K12" s="4042"/>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4040"/>
      <c r="K13" s="4042"/>
      <c r="L13" s="3111" t="s">
        <v>2349</v>
      </c>
      <c r="M13" s="3112"/>
      <c r="N13" s="3088"/>
      <c r="O13" s="3113"/>
      <c r="P13" s="3113"/>
      <c r="Q13" s="3114">
        <v>365</v>
      </c>
      <c r="R13" s="3115">
        <f t="shared" si="0"/>
        <v>0</v>
      </c>
      <c r="S13" s="3068"/>
      <c r="T13" s="3068"/>
      <c r="U13" s="3068"/>
      <c r="V13" s="3077"/>
    </row>
    <row r="14" spans="1:22" s="3081" customFormat="1" ht="13.2" customHeight="1">
      <c r="A14" s="3124" t="s">
        <v>2350</v>
      </c>
      <c r="B14" s="4050" t="s">
        <v>2351</v>
      </c>
      <c r="C14" s="4051"/>
      <c r="D14" s="3125">
        <f>ROUND(E14*B5/10000,0)</f>
        <v>0</v>
      </c>
      <c r="E14" s="3114"/>
      <c r="F14" s="3119" t="s">
        <v>2352</v>
      </c>
      <c r="G14" s="3120"/>
      <c r="H14" s="3076"/>
      <c r="I14" s="3077"/>
      <c r="J14" s="4040"/>
      <c r="K14" s="4043"/>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4050" t="s">
        <v>2355</v>
      </c>
      <c r="C15" s="4051"/>
      <c r="D15" s="3125">
        <f>ROUND(D6*E15,0)</f>
        <v>0</v>
      </c>
      <c r="E15" s="3126">
        <v>5.5E-2</v>
      </c>
      <c r="F15" s="3119" t="s">
        <v>2356</v>
      </c>
      <c r="G15" s="3101"/>
      <c r="H15" s="3076"/>
      <c r="I15" s="3077"/>
      <c r="J15" s="4040">
        <v>2</v>
      </c>
      <c r="K15" s="4041"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4050" t="s">
        <v>2366</v>
      </c>
      <c r="C16" s="4051"/>
      <c r="D16" s="3136">
        <f>D6*E16</f>
        <v>0</v>
      </c>
      <c r="E16" s="3137"/>
      <c r="F16" s="3122" t="s">
        <v>2367</v>
      </c>
      <c r="G16" s="3101"/>
      <c r="H16" s="3076"/>
      <c r="I16" s="3077"/>
      <c r="J16" s="4040"/>
      <c r="K16" s="4042"/>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4052" t="s">
        <v>2369</v>
      </c>
      <c r="C17" s="4053"/>
      <c r="D17" s="3139">
        <f>ROUND(D6*E17,0)</f>
        <v>0</v>
      </c>
      <c r="E17" s="3140"/>
      <c r="F17" s="3141" t="s">
        <v>2370</v>
      </c>
      <c r="G17" s="3101"/>
      <c r="H17" s="3076"/>
      <c r="I17" s="3077"/>
      <c r="J17" s="4040"/>
      <c r="K17" s="4042"/>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4040"/>
      <c r="K18" s="4042"/>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4040"/>
      <c r="K19" s="4043"/>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4040">
        <v>3</v>
      </c>
      <c r="K20" s="4041"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4040"/>
      <c r="K21" s="4042"/>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4040"/>
      <c r="K22" s="4042"/>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4040"/>
      <c r="K23" s="4042"/>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4040"/>
      <c r="K24" s="4043"/>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4044">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4045"/>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4046" t="s">
        <v>2412</v>
      </c>
      <c r="K32" s="4047"/>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4048" t="s">
        <v>2416</v>
      </c>
      <c r="K33" s="4049"/>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4048" t="s">
        <v>2418</v>
      </c>
      <c r="K34" s="4049"/>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4040">
        <v>1</v>
      </c>
      <c r="K36" s="4041"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4040"/>
      <c r="K37" s="4042"/>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4040"/>
      <c r="K38" s="4042"/>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4040"/>
      <c r="K39" s="4042"/>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4040"/>
      <c r="K40" s="4043"/>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4044">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4045"/>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129312</v>
      </c>
      <c r="C2" s="3010"/>
      <c r="D2" s="3010"/>
      <c r="E2" s="3010"/>
      <c r="F2" s="3010"/>
      <c r="G2" s="3010"/>
    </row>
    <row r="3" spans="1:25" s="1783" customFormat="1" ht="18" customHeight="1">
      <c r="A3" s="1237" t="s">
        <v>1218</v>
      </c>
      <c r="B3" s="412">
        <f ca="1">ROUND(B2*10000/'数据-汇总表'!E3,0)</f>
        <v>40109</v>
      </c>
      <c r="C3" s="3010"/>
      <c r="D3" s="3010"/>
      <c r="E3" s="3010"/>
      <c r="F3" s="3010"/>
      <c r="G3" s="3010"/>
    </row>
    <row r="4" spans="1:25" s="1783" customFormat="1" ht="18" customHeight="1">
      <c r="A4" s="413" t="s">
        <v>428</v>
      </c>
      <c r="B4" s="414">
        <f ca="1">ROUND(B2*10000/'数据-汇总表'!D3,0)</f>
        <v>100272</v>
      </c>
      <c r="C4" s="2964"/>
      <c r="D4" s="3010"/>
      <c r="E4" s="3010"/>
      <c r="F4" s="3010"/>
      <c r="G4" s="3010"/>
    </row>
    <row r="5" spans="1:25" s="1783" customFormat="1" ht="18" customHeight="1" thickBot="1">
      <c r="A5" s="416"/>
      <c r="B5" s="417">
        <f ca="1">ROUND(B2/('数据-汇总表'!D3/666.67),0)</f>
        <v>6685</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119297</v>
      </c>
      <c r="D7" s="716"/>
      <c r="E7" s="717"/>
      <c r="F7" s="717"/>
      <c r="G7" s="2128"/>
    </row>
    <row r="8" spans="1:25" s="1905" customFormat="1" ht="13.5" customHeight="1">
      <c r="A8" s="2119" t="s">
        <v>1786</v>
      </c>
      <c r="B8" s="2122" t="s">
        <v>1788</v>
      </c>
      <c r="C8" s="3013">
        <f>ROUND(D8*E8/10000,0)</f>
        <v>119297</v>
      </c>
      <c r="D8" s="3013">
        <f>'数据-汇总表'!D3</f>
        <v>12896.08</v>
      </c>
      <c r="E8" s="3014">
        <f>'朝阳区2020-2023成本案例'!U6</f>
        <v>92506.434782608689</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100</v>
      </c>
      <c r="D10" s="726"/>
      <c r="E10" s="716"/>
      <c r="F10" s="727"/>
      <c r="G10" s="725" t="s">
        <v>562</v>
      </c>
    </row>
    <row r="11" spans="1:25" s="1905" customFormat="1" ht="13.5" customHeight="1">
      <c r="A11" s="2119" t="s">
        <v>1786</v>
      </c>
      <c r="B11" s="719" t="s">
        <v>558</v>
      </c>
      <c r="C11" s="720">
        <f>'数据-取费表'!B29</f>
        <v>100</v>
      </c>
      <c r="D11" s="721"/>
      <c r="E11" s="720"/>
      <c r="F11" s="722"/>
      <c r="G11" s="2127" t="s">
        <v>1797</v>
      </c>
    </row>
    <row r="12" spans="1:25" s="1905" customFormat="1" ht="13.5" customHeight="1">
      <c r="A12" s="2125" t="s">
        <v>1794</v>
      </c>
      <c r="B12" s="723" t="s">
        <v>559</v>
      </c>
      <c r="C12" s="724">
        <f>ROUND(D12*E12/10000,0)</f>
        <v>516</v>
      </c>
      <c r="D12" s="3013">
        <f>'数据-汇总表'!E5</f>
        <v>32240.2</v>
      </c>
      <c r="E12" s="3013">
        <f>'数据-取费表'!B27</f>
        <v>160</v>
      </c>
      <c r="F12" s="722"/>
      <c r="G12" s="725"/>
    </row>
    <row r="13" spans="1:25" s="1905" customFormat="1" ht="13.5" customHeight="1">
      <c r="A13" s="2125" t="s">
        <v>1793</v>
      </c>
      <c r="B13" s="723" t="s">
        <v>560</v>
      </c>
      <c r="C13" s="724">
        <f>ROUND(D13*E13/10000,0)</f>
        <v>0</v>
      </c>
      <c r="D13" s="3013">
        <f>'数据-汇总表'!E6</f>
        <v>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'数据-取费表'!B40</f>
        <v>0.03</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14328</v>
      </c>
      <c r="D18" s="728"/>
      <c r="E18" s="729"/>
      <c r="F18" s="1209">
        <v>0.12</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133725</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133725</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129312</v>
      </c>
      <c r="D22" s="726"/>
      <c r="E22" s="716"/>
      <c r="F22" s="732">
        <f>'数据-取费表'!AP16</f>
        <v>0.96699999999999997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129312</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R12"/>
  <sheetViews>
    <sheetView workbookViewId="0">
      <selection activeCell="L3" sqref="L3"/>
    </sheetView>
  </sheetViews>
  <sheetFormatPr defaultColWidth="5.5546875" defaultRowHeight="64.2" customHeight="1"/>
  <cols>
    <col min="1" max="2" width="5.5546875" style="3727"/>
    <col min="3" max="3" width="3.109375" style="3727" customWidth="1"/>
    <col min="4" max="4" width="3.21875" style="3727" customWidth="1"/>
    <col min="5" max="6" width="5.5546875" style="3727"/>
    <col min="7" max="7" width="11" style="3727" customWidth="1"/>
    <col min="8" max="8" width="11.5546875" style="3727" customWidth="1"/>
    <col min="9" max="9" width="5.5546875" style="3727"/>
    <col min="10" max="10" width="7.6640625" style="3727" customWidth="1"/>
    <col min="11" max="11" width="59.44140625" style="3727" customWidth="1"/>
    <col min="12" max="12" width="7.109375" style="3727" customWidth="1"/>
    <col min="13" max="13" width="7.77734375" style="3727" customWidth="1"/>
    <col min="14" max="14" width="6.88671875" style="3727" customWidth="1"/>
    <col min="15" max="15" width="12" style="3727" customWidth="1"/>
    <col min="16" max="16" width="61.5546875" style="3727" customWidth="1"/>
    <col min="17" max="17" width="16" style="3727" customWidth="1"/>
    <col min="18" max="18" width="9.44140625" style="3729" customWidth="1"/>
    <col min="19" max="20" width="9.6640625" style="3729" customWidth="1"/>
    <col min="21" max="21" width="9.33203125" style="3729" customWidth="1"/>
    <col min="22" max="16384" width="5.5546875" style="3727"/>
  </cols>
  <sheetData>
    <row r="1" spans="1:29 16359:16372" s="3692" customFormat="1" ht="25.8" customHeight="1">
      <c r="A1" s="4060" t="s">
        <v>3353</v>
      </c>
      <c r="B1" s="4060" t="s">
        <v>3354</v>
      </c>
      <c r="C1" s="4064" t="s">
        <v>3355</v>
      </c>
      <c r="D1" s="4060" t="s">
        <v>3356</v>
      </c>
      <c r="E1" s="4060" t="s">
        <v>3357</v>
      </c>
      <c r="F1" s="4059" t="s">
        <v>3358</v>
      </c>
      <c r="G1" s="4060" t="s">
        <v>3359</v>
      </c>
      <c r="H1" s="4060" t="s">
        <v>3360</v>
      </c>
      <c r="I1" s="4059" t="s">
        <v>3361</v>
      </c>
      <c r="J1" s="4060" t="s">
        <v>3362</v>
      </c>
      <c r="K1" s="4060" t="s">
        <v>3425</v>
      </c>
      <c r="L1" s="4063" t="s">
        <v>3363</v>
      </c>
      <c r="M1" s="4063"/>
      <c r="N1" s="4059" t="s">
        <v>3364</v>
      </c>
      <c r="O1" s="4059" t="s">
        <v>3365</v>
      </c>
      <c r="P1" s="4060" t="s">
        <v>3366</v>
      </c>
      <c r="Q1" s="4059" t="s">
        <v>3367</v>
      </c>
      <c r="R1" s="4059" t="s">
        <v>3419</v>
      </c>
      <c r="S1" s="4059" t="s">
        <v>3420</v>
      </c>
      <c r="T1" s="4061" t="s">
        <v>3422</v>
      </c>
      <c r="U1" s="4059" t="s">
        <v>3421</v>
      </c>
      <c r="V1" s="3690"/>
      <c r="W1" s="3691"/>
      <c r="X1" s="3691"/>
      <c r="Y1" s="3691"/>
      <c r="Z1" s="3691"/>
      <c r="AA1" s="3691"/>
    </row>
    <row r="2" spans="1:29 16359:16372" s="3692" customFormat="1" ht="33" customHeight="1">
      <c r="A2" s="4060"/>
      <c r="B2" s="4060"/>
      <c r="C2" s="4064"/>
      <c r="D2" s="4060"/>
      <c r="E2" s="4060"/>
      <c r="F2" s="4059"/>
      <c r="G2" s="4060"/>
      <c r="H2" s="4060"/>
      <c r="I2" s="4059"/>
      <c r="J2" s="4060"/>
      <c r="K2" s="4060"/>
      <c r="L2" s="3693" t="s">
        <v>3368</v>
      </c>
      <c r="M2" s="3693" t="s">
        <v>3369</v>
      </c>
      <c r="N2" s="4059"/>
      <c r="O2" s="4060"/>
      <c r="P2" s="4060"/>
      <c r="Q2" s="4060"/>
      <c r="R2" s="4060"/>
      <c r="S2" s="4060"/>
      <c r="T2" s="4062"/>
      <c r="U2" s="4060"/>
      <c r="V2" s="3690"/>
      <c r="W2" s="3691"/>
      <c r="X2" s="3691"/>
      <c r="Y2" s="3691"/>
      <c r="Z2" s="3691"/>
      <c r="AA2" s="3691"/>
    </row>
    <row r="3" spans="1:29 16359:16372" s="3692" customFormat="1" ht="64.2" customHeight="1">
      <c r="A3" s="3694">
        <v>484</v>
      </c>
      <c r="B3" s="3695">
        <v>2022</v>
      </c>
      <c r="C3" s="3696">
        <v>7</v>
      </c>
      <c r="D3" s="3697">
        <v>1</v>
      </c>
      <c r="E3" s="3697" t="s">
        <v>3370</v>
      </c>
      <c r="F3" s="3697" t="s">
        <v>3371</v>
      </c>
      <c r="G3" s="3698" t="s">
        <v>3372</v>
      </c>
      <c r="H3" s="3698" t="s">
        <v>3373</v>
      </c>
      <c r="I3" s="3698" t="s">
        <v>3374</v>
      </c>
      <c r="J3" s="3698" t="s">
        <v>3375</v>
      </c>
      <c r="K3" s="3698" t="s">
        <v>3376</v>
      </c>
      <c r="L3" s="3699">
        <v>1.206</v>
      </c>
      <c r="M3" s="3699">
        <v>1.21</v>
      </c>
      <c r="N3" s="3699">
        <v>3.0150000000000001</v>
      </c>
      <c r="O3" s="3699">
        <v>99495.41</v>
      </c>
      <c r="P3" s="3698" t="s">
        <v>3776</v>
      </c>
      <c r="Q3" s="3698" t="s">
        <v>3377</v>
      </c>
      <c r="R3" s="3728">
        <v>1369882.47</v>
      </c>
      <c r="S3" s="3728">
        <v>2146520.88</v>
      </c>
      <c r="T3" s="3728">
        <f>R3+S3</f>
        <v>3516403.3499999996</v>
      </c>
      <c r="U3" s="3728">
        <f>T3/L3</f>
        <v>2915757.3383084573</v>
      </c>
      <c r="V3" s="3691"/>
      <c r="W3" s="3691"/>
      <c r="X3" s="3691"/>
      <c r="Z3" s="3691"/>
      <c r="AA3" s="3691"/>
      <c r="AB3" s="3691"/>
      <c r="AC3" s="3691"/>
    </row>
    <row r="4" spans="1:29 16359:16372" s="3707" customFormat="1" ht="64.2" customHeight="1">
      <c r="A4" s="3694">
        <v>466</v>
      </c>
      <c r="B4" s="3695">
        <v>2022</v>
      </c>
      <c r="C4" s="3694">
        <v>2</v>
      </c>
      <c r="D4" s="3700">
        <v>4</v>
      </c>
      <c r="E4" s="3701" t="s">
        <v>3370</v>
      </c>
      <c r="F4" s="3701" t="s">
        <v>3371</v>
      </c>
      <c r="G4" s="3701" t="s">
        <v>3378</v>
      </c>
      <c r="H4" s="3701" t="s">
        <v>3379</v>
      </c>
      <c r="I4" s="3701" t="s">
        <v>3374</v>
      </c>
      <c r="J4" s="3701" t="s">
        <v>3380</v>
      </c>
      <c r="K4" s="3702" t="s">
        <v>3381</v>
      </c>
      <c r="L4" s="3701">
        <v>9.49</v>
      </c>
      <c r="M4" s="3701">
        <v>6.28</v>
      </c>
      <c r="N4" s="3703">
        <v>27.55</v>
      </c>
      <c r="O4" s="3703">
        <v>512430</v>
      </c>
      <c r="P4" s="3697" t="s">
        <v>3423</v>
      </c>
      <c r="Q4" s="3705" t="s">
        <v>3382</v>
      </c>
      <c r="R4" s="3707">
        <v>0</v>
      </c>
      <c r="S4" s="3707">
        <v>6102.22</v>
      </c>
      <c r="T4" s="3728">
        <f t="shared" ref="T4:T12" si="0">R4+S4</f>
        <v>6102.22</v>
      </c>
      <c r="U4" s="3728">
        <f t="shared" ref="U4:U12" si="1">T4/L4</f>
        <v>643.01580611169652</v>
      </c>
      <c r="XEE4" s="3708"/>
      <c r="XEF4" s="3708"/>
      <c r="XEG4" s="3708"/>
      <c r="XEH4" s="3708"/>
      <c r="XEI4" s="3708"/>
      <c r="XEJ4" s="3708"/>
      <c r="XEK4" s="3708"/>
      <c r="XEL4" s="3708"/>
      <c r="XEM4" s="3708"/>
      <c r="XEN4" s="3708"/>
      <c r="XEO4" s="3708"/>
      <c r="XEP4" s="3708"/>
      <c r="XEQ4" s="3708"/>
      <c r="XER4" s="3708"/>
    </row>
    <row r="5" spans="1:29 16359:16372" s="3707" customFormat="1" ht="64.2" customHeight="1">
      <c r="A5" s="3694">
        <v>465</v>
      </c>
      <c r="B5" s="3695">
        <v>2022</v>
      </c>
      <c r="C5" s="3694">
        <v>2</v>
      </c>
      <c r="D5" s="3700">
        <v>3</v>
      </c>
      <c r="E5" s="3701" t="s">
        <v>3370</v>
      </c>
      <c r="F5" s="3701" t="s">
        <v>3371</v>
      </c>
      <c r="G5" s="3701" t="s">
        <v>3383</v>
      </c>
      <c r="H5" s="3701" t="s">
        <v>3384</v>
      </c>
      <c r="I5" s="3701" t="s">
        <v>3374</v>
      </c>
      <c r="J5" s="3701" t="s">
        <v>3375</v>
      </c>
      <c r="K5" s="3702" t="s">
        <v>3385</v>
      </c>
      <c r="L5" s="3701">
        <v>2.7039749</v>
      </c>
      <c r="M5" s="3701">
        <v>2.7039749</v>
      </c>
      <c r="N5" s="3703">
        <f>M5*2.8</f>
        <v>7.5711297199999992</v>
      </c>
      <c r="O5" s="3703">
        <v>469900.95</v>
      </c>
      <c r="P5" s="3730" t="s">
        <v>3424</v>
      </c>
      <c r="Q5" s="3705" t="s">
        <v>3386</v>
      </c>
      <c r="R5" s="3707">
        <v>0</v>
      </c>
      <c r="S5" s="3707">
        <v>469900.95</v>
      </c>
      <c r="T5" s="3728">
        <f t="shared" si="0"/>
        <v>469900.95</v>
      </c>
      <c r="U5" s="3728">
        <f t="shared" si="1"/>
        <v>173781.55026513006</v>
      </c>
      <c r="XEE5" s="3708"/>
      <c r="XEF5" s="3708"/>
      <c r="XEG5" s="3708"/>
      <c r="XEH5" s="3708"/>
      <c r="XEI5" s="3708"/>
      <c r="XEJ5" s="3708"/>
      <c r="XEK5" s="3708"/>
      <c r="XEL5" s="3708"/>
      <c r="XEM5" s="3708"/>
      <c r="XEN5" s="3708"/>
      <c r="XEO5" s="3708"/>
      <c r="XEP5" s="3708"/>
      <c r="XEQ5" s="3708"/>
      <c r="XER5" s="3708"/>
    </row>
    <row r="6" spans="1:29 16359:16372" s="3707" customFormat="1" ht="82.8" customHeight="1">
      <c r="A6" s="3694">
        <v>464</v>
      </c>
      <c r="B6" s="3695">
        <v>2022</v>
      </c>
      <c r="C6" s="3694">
        <v>2</v>
      </c>
      <c r="D6" s="3700">
        <v>2</v>
      </c>
      <c r="E6" s="3701" t="s">
        <v>3370</v>
      </c>
      <c r="F6" s="3701" t="s">
        <v>3371</v>
      </c>
      <c r="G6" s="3701" t="s">
        <v>3387</v>
      </c>
      <c r="H6" s="3701" t="s">
        <v>3379</v>
      </c>
      <c r="I6" s="3701" t="s">
        <v>3374</v>
      </c>
      <c r="J6" s="3701" t="s">
        <v>3375</v>
      </c>
      <c r="K6" s="3702" t="s">
        <v>3388</v>
      </c>
      <c r="L6" s="3701">
        <v>3.45</v>
      </c>
      <c r="M6" s="3701">
        <v>3.45</v>
      </c>
      <c r="N6" s="3703">
        <v>8.6300000000000008</v>
      </c>
      <c r="O6" s="3703">
        <v>319147.2</v>
      </c>
      <c r="P6" s="3704" t="s">
        <v>3389</v>
      </c>
      <c r="Q6" s="3705" t="s">
        <v>3386</v>
      </c>
      <c r="R6" s="3707">
        <v>0</v>
      </c>
      <c r="S6" s="3707">
        <v>319147.2</v>
      </c>
      <c r="T6" s="3728">
        <f t="shared" si="0"/>
        <v>319147.2</v>
      </c>
      <c r="U6" s="3731">
        <f t="shared" si="1"/>
        <v>92506.434782608689</v>
      </c>
      <c r="XEE6" s="3708"/>
      <c r="XEF6" s="3708"/>
      <c r="XEG6" s="3708"/>
      <c r="XEH6" s="3708"/>
      <c r="XEI6" s="3708"/>
      <c r="XEJ6" s="3708"/>
      <c r="XEK6" s="3708"/>
      <c r="XEL6" s="3708"/>
      <c r="XEM6" s="3708"/>
      <c r="XEN6" s="3708"/>
      <c r="XEO6" s="3708"/>
      <c r="XEP6" s="3708"/>
      <c r="XEQ6" s="3708"/>
      <c r="XER6" s="3708"/>
    </row>
    <row r="7" spans="1:29 16359:16372" s="3716" customFormat="1" ht="64.2" customHeight="1">
      <c r="A7" s="3709">
        <v>449</v>
      </c>
      <c r="B7" s="3709">
        <v>2021</v>
      </c>
      <c r="C7" s="3709">
        <v>8</v>
      </c>
      <c r="D7" s="3709">
        <v>1</v>
      </c>
      <c r="E7" s="3705" t="s">
        <v>3370</v>
      </c>
      <c r="F7" s="3705" t="s">
        <v>3371</v>
      </c>
      <c r="G7" s="3705" t="s">
        <v>3390</v>
      </c>
      <c r="H7" s="3710" t="s">
        <v>3391</v>
      </c>
      <c r="I7" s="3710" t="s">
        <v>3374</v>
      </c>
      <c r="J7" s="3711" t="s">
        <v>3380</v>
      </c>
      <c r="K7" s="3705" t="s">
        <v>3392</v>
      </c>
      <c r="L7" s="3705">
        <v>1.06</v>
      </c>
      <c r="M7" s="3705">
        <v>1.06</v>
      </c>
      <c r="N7" s="3706">
        <v>4.7699999999999996</v>
      </c>
      <c r="O7" s="3712">
        <v>101206.89</v>
      </c>
      <c r="P7" s="3713" t="s">
        <v>3393</v>
      </c>
      <c r="Q7" s="3714" t="s">
        <v>3394</v>
      </c>
      <c r="R7" s="3715">
        <v>7692.23</v>
      </c>
      <c r="S7" s="3716">
        <v>112470.68</v>
      </c>
      <c r="T7" s="3728">
        <f t="shared" si="0"/>
        <v>120162.90999999999</v>
      </c>
      <c r="U7" s="3728">
        <f t="shared" si="1"/>
        <v>113361.23584905658</v>
      </c>
    </row>
    <row r="8" spans="1:29 16359:16372" s="3692" customFormat="1" ht="64.2" customHeight="1">
      <c r="A8" s="3709">
        <v>441</v>
      </c>
      <c r="B8" s="3705">
        <v>2021</v>
      </c>
      <c r="C8" s="3717">
        <v>5</v>
      </c>
      <c r="D8" s="3705">
        <v>1</v>
      </c>
      <c r="E8" s="3710" t="s">
        <v>3370</v>
      </c>
      <c r="F8" s="3710" t="s">
        <v>3371</v>
      </c>
      <c r="G8" s="3706" t="s">
        <v>3395</v>
      </c>
      <c r="H8" s="3705" t="s">
        <v>3396</v>
      </c>
      <c r="I8" s="3705" t="s">
        <v>3374</v>
      </c>
      <c r="J8" s="3705" t="s">
        <v>3375</v>
      </c>
      <c r="K8" s="3706" t="s">
        <v>3397</v>
      </c>
      <c r="L8" s="3712">
        <v>3.68</v>
      </c>
      <c r="M8" s="3712">
        <v>3.68</v>
      </c>
      <c r="N8" s="3712">
        <v>9.2100000000000009</v>
      </c>
      <c r="O8" s="3712">
        <v>323155.75</v>
      </c>
      <c r="P8" s="3718" t="s">
        <v>3398</v>
      </c>
      <c r="Q8" s="3705" t="s">
        <v>3399</v>
      </c>
      <c r="R8" s="3728"/>
      <c r="S8" s="3728"/>
      <c r="T8" s="3728">
        <f t="shared" si="0"/>
        <v>0</v>
      </c>
      <c r="U8" s="3728">
        <f t="shared" si="1"/>
        <v>0</v>
      </c>
      <c r="V8" s="3691"/>
      <c r="W8" s="3691"/>
      <c r="X8" s="3691"/>
      <c r="Y8" s="3691"/>
      <c r="Z8" s="3691"/>
      <c r="AA8" s="3691"/>
    </row>
    <row r="9" spans="1:29 16359:16372" s="3692" customFormat="1" ht="64.2" customHeight="1">
      <c r="A9" s="3709">
        <v>442</v>
      </c>
      <c r="B9" s="3705">
        <v>2021</v>
      </c>
      <c r="C9" s="3717">
        <v>5</v>
      </c>
      <c r="D9" s="3705">
        <v>2</v>
      </c>
      <c r="E9" s="3710" t="s">
        <v>3370</v>
      </c>
      <c r="F9" s="3710" t="s">
        <v>3371</v>
      </c>
      <c r="G9" s="3706" t="s">
        <v>3400</v>
      </c>
      <c r="H9" s="3705" t="s">
        <v>3396</v>
      </c>
      <c r="I9" s="3705" t="s">
        <v>3374</v>
      </c>
      <c r="J9" s="3705" t="s">
        <v>3375</v>
      </c>
      <c r="K9" s="3706" t="s">
        <v>3401</v>
      </c>
      <c r="L9" s="3712">
        <v>6.19</v>
      </c>
      <c r="M9" s="3712">
        <v>6.19</v>
      </c>
      <c r="N9" s="3712">
        <v>15.47</v>
      </c>
      <c r="O9" s="3712">
        <v>726960</v>
      </c>
      <c r="P9" s="3718" t="s">
        <v>3402</v>
      </c>
      <c r="Q9" s="3705" t="s">
        <v>3403</v>
      </c>
      <c r="R9" s="3728"/>
      <c r="S9" s="3728"/>
      <c r="T9" s="3728">
        <f t="shared" si="0"/>
        <v>0</v>
      </c>
      <c r="U9" s="3728">
        <f t="shared" si="1"/>
        <v>0</v>
      </c>
      <c r="V9" s="3691"/>
      <c r="W9" s="3691"/>
      <c r="X9" s="3691"/>
      <c r="Y9" s="3691"/>
      <c r="Z9" s="3691"/>
      <c r="AA9" s="3691"/>
    </row>
    <row r="10" spans="1:29 16359:16372" s="3692" customFormat="1" ht="64.2" customHeight="1">
      <c r="A10" s="3709">
        <v>417</v>
      </c>
      <c r="B10" s="3705">
        <v>2021</v>
      </c>
      <c r="C10" s="3717">
        <v>2</v>
      </c>
      <c r="D10" s="3705">
        <v>1</v>
      </c>
      <c r="E10" s="3701" t="s">
        <v>3370</v>
      </c>
      <c r="F10" s="3701" t="s">
        <v>3371</v>
      </c>
      <c r="G10" s="3701" t="s">
        <v>3404</v>
      </c>
      <c r="H10" s="3701" t="s">
        <v>3396</v>
      </c>
      <c r="I10" s="3701" t="s">
        <v>3374</v>
      </c>
      <c r="J10" s="3701" t="s">
        <v>3405</v>
      </c>
      <c r="K10" s="3719" t="s">
        <v>3406</v>
      </c>
      <c r="L10" s="3720">
        <v>11.39</v>
      </c>
      <c r="M10" s="3720">
        <v>11.39</v>
      </c>
      <c r="N10" s="3703">
        <v>27.61</v>
      </c>
      <c r="O10" s="3721">
        <v>917292.13</v>
      </c>
      <c r="P10" s="3722" t="s">
        <v>3407</v>
      </c>
      <c r="Q10" s="3711" t="s">
        <v>3408</v>
      </c>
      <c r="R10" s="3728"/>
      <c r="S10" s="3728"/>
      <c r="T10" s="3728">
        <f t="shared" si="0"/>
        <v>0</v>
      </c>
      <c r="U10" s="3728">
        <f t="shared" si="1"/>
        <v>0</v>
      </c>
      <c r="V10" s="3691"/>
      <c r="W10" s="3691"/>
      <c r="X10" s="3691"/>
      <c r="Y10" s="3691"/>
      <c r="Z10" s="3691"/>
      <c r="AA10" s="3691"/>
    </row>
    <row r="11" spans="1:29 16359:16372" s="3692" customFormat="1" ht="64.2" customHeight="1">
      <c r="A11" s="3709">
        <v>406</v>
      </c>
      <c r="B11" s="3705">
        <v>2020</v>
      </c>
      <c r="C11" s="3723">
        <v>5</v>
      </c>
      <c r="D11" s="3705">
        <v>2</v>
      </c>
      <c r="E11" s="3710" t="s">
        <v>3370</v>
      </c>
      <c r="F11" s="3710" t="s">
        <v>3371</v>
      </c>
      <c r="G11" s="3724" t="s">
        <v>3409</v>
      </c>
      <c r="H11" s="3705" t="s">
        <v>3410</v>
      </c>
      <c r="I11" s="3705" t="s">
        <v>3374</v>
      </c>
      <c r="J11" s="3705" t="s">
        <v>3411</v>
      </c>
      <c r="K11" s="3715" t="s">
        <v>3412</v>
      </c>
      <c r="L11" s="3712">
        <v>31.95</v>
      </c>
      <c r="M11" s="3712">
        <v>15.55</v>
      </c>
      <c r="N11" s="3712">
        <v>38.909999999999997</v>
      </c>
      <c r="O11" s="3712">
        <v>460924.73</v>
      </c>
      <c r="P11" s="3725" t="s">
        <v>3413</v>
      </c>
      <c r="Q11" s="3705" t="s">
        <v>3414</v>
      </c>
      <c r="R11" s="3728">
        <v>295719.05</v>
      </c>
      <c r="S11" s="3728">
        <v>104830.2</v>
      </c>
      <c r="T11" s="3728">
        <f t="shared" si="0"/>
        <v>400549.25</v>
      </c>
      <c r="U11" s="3728">
        <f t="shared" si="1"/>
        <v>12536.752738654148</v>
      </c>
      <c r="V11" s="3691"/>
      <c r="W11" s="3691"/>
      <c r="X11" s="3691"/>
      <c r="Y11" s="3691"/>
      <c r="Z11" s="3691"/>
      <c r="AA11" s="3691"/>
    </row>
    <row r="12" spans="1:29 16359:16372" s="3692" customFormat="1" ht="64.2" customHeight="1">
      <c r="A12" s="3709">
        <v>405</v>
      </c>
      <c r="B12" s="3705">
        <v>2020</v>
      </c>
      <c r="C12" s="3723">
        <v>5</v>
      </c>
      <c r="D12" s="3700">
        <v>1</v>
      </c>
      <c r="E12" s="3701" t="s">
        <v>3370</v>
      </c>
      <c r="F12" s="3701" t="s">
        <v>3371</v>
      </c>
      <c r="G12" s="3701" t="s">
        <v>3415</v>
      </c>
      <c r="H12" s="3701" t="s">
        <v>3396</v>
      </c>
      <c r="I12" s="3701" t="s">
        <v>3374</v>
      </c>
      <c r="J12" s="3701" t="s">
        <v>3416</v>
      </c>
      <c r="K12" s="3719" t="s">
        <v>3417</v>
      </c>
      <c r="L12" s="3720">
        <v>18.47</v>
      </c>
      <c r="M12" s="3720">
        <v>18.47</v>
      </c>
      <c r="N12" s="3703">
        <v>39.54</v>
      </c>
      <c r="O12" s="3721">
        <v>1490076</v>
      </c>
      <c r="P12" s="3726" t="s">
        <v>3418</v>
      </c>
      <c r="Q12" s="3711" t="s">
        <v>3408</v>
      </c>
      <c r="R12" s="3728"/>
      <c r="S12" s="3728"/>
      <c r="T12" s="3728">
        <f t="shared" si="0"/>
        <v>0</v>
      </c>
      <c r="U12" s="3728">
        <f t="shared" si="1"/>
        <v>0</v>
      </c>
      <c r="V12" s="3691"/>
      <c r="W12" s="3691"/>
      <c r="X12" s="3691"/>
      <c r="Y12" s="3691"/>
      <c r="Z12" s="3691"/>
      <c r="AA12" s="3691"/>
    </row>
  </sheetData>
  <mergeCells count="20">
    <mergeCell ref="L1:M1"/>
    <mergeCell ref="A1:A2"/>
    <mergeCell ref="B1:B2"/>
    <mergeCell ref="C1:C2"/>
    <mergeCell ref="D1:D2"/>
    <mergeCell ref="E1:E2"/>
    <mergeCell ref="F1:F2"/>
    <mergeCell ref="G1:G2"/>
    <mergeCell ref="H1:H2"/>
    <mergeCell ref="I1:I2"/>
    <mergeCell ref="J1:J2"/>
    <mergeCell ref="K1:K2"/>
    <mergeCell ref="U1:U2"/>
    <mergeCell ref="T1:T2"/>
    <mergeCell ref="N1:N2"/>
    <mergeCell ref="O1:O2"/>
    <mergeCell ref="P1:P2"/>
    <mergeCell ref="Q1:Q2"/>
    <mergeCell ref="R1:R2"/>
    <mergeCell ref="S1:S2"/>
  </mergeCells>
  <phoneticPr fontId="224" type="noConversion"/>
  <dataValidations disablePrompts="1" count="1">
    <dataValidation type="list" allowBlank="1" showInputMessage="1" showErrorMessage="1" sqref="F3:F12">
      <formula1>"公开出让,协议出让,划拨"</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zoomScaleSheetLayoutView="80" workbookViewId="0">
      <selection activeCell="Q17" sqref="Q17"/>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70" t="s">
        <v>471</v>
      </c>
      <c r="D6" s="3971"/>
      <c r="E6" s="3970" t="s">
        <v>472</v>
      </c>
      <c r="F6" s="3971"/>
      <c r="G6" s="3970" t="s">
        <v>473</v>
      </c>
      <c r="H6" s="3971"/>
      <c r="I6" s="3970" t="s">
        <v>474</v>
      </c>
      <c r="J6" s="3971"/>
      <c r="K6" s="484" t="s">
        <v>475</v>
      </c>
      <c r="L6" s="1856"/>
      <c r="M6" s="1855"/>
      <c r="N6" s="1855"/>
      <c r="O6" s="1857"/>
      <c r="P6" s="3974" t="s">
        <v>476</v>
      </c>
      <c r="Q6" s="3975"/>
      <c r="R6" s="3980" t="s">
        <v>472</v>
      </c>
      <c r="S6" s="3981"/>
      <c r="T6" s="3980" t="s">
        <v>473</v>
      </c>
      <c r="U6" s="3981"/>
      <c r="V6" s="3960" t="s">
        <v>474</v>
      </c>
      <c r="W6" s="3960"/>
      <c r="X6" s="1380"/>
      <c r="Y6" s="3980" t="s">
        <v>476</v>
      </c>
      <c r="Z6" s="3981"/>
      <c r="AA6" s="3967" t="s">
        <v>472</v>
      </c>
      <c r="AB6" s="3968" t="s">
        <v>473</v>
      </c>
      <c r="AC6" s="3967" t="s">
        <v>474</v>
      </c>
    </row>
    <row r="7" spans="1:30" ht="21">
      <c r="A7" s="485"/>
      <c r="B7" s="486"/>
      <c r="C7" s="3988" t="s">
        <v>2192</v>
      </c>
      <c r="D7" s="3989"/>
      <c r="E7" s="3988" t="s">
        <v>2193</v>
      </c>
      <c r="F7" s="3989"/>
      <c r="G7" s="3988" t="s">
        <v>2194</v>
      </c>
      <c r="H7" s="3989"/>
      <c r="I7" s="3988" t="s">
        <v>2195</v>
      </c>
      <c r="J7" s="3989"/>
      <c r="K7" s="484"/>
      <c r="L7" s="1856"/>
      <c r="M7" s="1855"/>
      <c r="N7" s="1855"/>
      <c r="O7" s="1857"/>
      <c r="P7" s="3976"/>
      <c r="Q7" s="3977"/>
      <c r="R7" s="3982"/>
      <c r="S7" s="3983"/>
      <c r="T7" s="3982"/>
      <c r="U7" s="3983"/>
      <c r="V7" s="3960"/>
      <c r="W7" s="3960"/>
      <c r="X7" s="1380"/>
      <c r="Y7" s="3982"/>
      <c r="Z7" s="3983"/>
      <c r="AA7" s="3968"/>
      <c r="AB7" s="3968"/>
      <c r="AC7" s="3968"/>
    </row>
    <row r="8" spans="1:30" ht="21.6" thickBot="1">
      <c r="A8" s="485"/>
      <c r="B8" s="486"/>
      <c r="C8" s="4069" t="s">
        <v>2196</v>
      </c>
      <c r="D8" s="4070"/>
      <c r="E8" s="4069" t="s">
        <v>2196</v>
      </c>
      <c r="F8" s="4070"/>
      <c r="G8" s="3990" t="s">
        <v>2196</v>
      </c>
      <c r="H8" s="3991"/>
      <c r="I8" s="3990" t="s">
        <v>2196</v>
      </c>
      <c r="J8" s="3991"/>
      <c r="K8" s="484" t="s">
        <v>477</v>
      </c>
      <c r="L8" s="1856"/>
      <c r="M8" s="1855"/>
      <c r="N8" s="1855"/>
      <c r="O8" s="1857"/>
      <c r="P8" s="3978"/>
      <c r="Q8" s="3979"/>
      <c r="R8" s="3982"/>
      <c r="S8" s="3983"/>
      <c r="T8" s="3984"/>
      <c r="U8" s="3985"/>
      <c r="V8" s="3960"/>
      <c r="W8" s="3960"/>
      <c r="X8" s="1380"/>
      <c r="Y8" s="3984"/>
      <c r="Z8" s="3985"/>
      <c r="AA8" s="3969"/>
      <c r="AB8" s="3969"/>
      <c r="AC8" s="3969"/>
    </row>
    <row r="9" spans="1:30" s="1118" customFormat="1" ht="21.6" thickBot="1">
      <c r="A9" s="2392"/>
      <c r="B9" s="2399" t="s">
        <v>478</v>
      </c>
      <c r="C9" s="2391">
        <f>'数据-取费表'!B2</f>
        <v>45833</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65" t="s">
        <v>479</v>
      </c>
      <c r="Q9" s="3992"/>
      <c r="R9" s="1381" t="s">
        <v>5</v>
      </c>
      <c r="S9" s="1382">
        <f t="shared" ref="S9:S17" si="0">F9</f>
        <v>0</v>
      </c>
      <c r="T9" s="1381" t="s">
        <v>5</v>
      </c>
      <c r="U9" s="1382">
        <f t="shared" ref="U9:U17" si="1">H9</f>
        <v>0</v>
      </c>
      <c r="V9" s="1381" t="s">
        <v>5</v>
      </c>
      <c r="W9" s="1382">
        <f t="shared" ref="W9:W17" si="2">J9</f>
        <v>0</v>
      </c>
      <c r="X9" s="1383"/>
      <c r="Y9" s="3965" t="s">
        <v>479</v>
      </c>
      <c r="Z9" s="3966"/>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65" t="s">
        <v>482</v>
      </c>
      <c r="Q10" s="3966"/>
      <c r="R10" s="1381" t="s">
        <v>5</v>
      </c>
      <c r="S10" s="1382">
        <f t="shared" si="0"/>
        <v>0</v>
      </c>
      <c r="T10" s="1381" t="s">
        <v>5</v>
      </c>
      <c r="U10" s="1382">
        <f t="shared" si="1"/>
        <v>0</v>
      </c>
      <c r="V10" s="1381" t="s">
        <v>5</v>
      </c>
      <c r="W10" s="1382">
        <f t="shared" si="2"/>
        <v>0</v>
      </c>
      <c r="X10" s="1383"/>
      <c r="Y10" s="3965" t="s">
        <v>482</v>
      </c>
      <c r="Z10" s="3966"/>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58" t="s">
        <v>484</v>
      </c>
      <c r="Q11" s="1050" t="str">
        <f t="shared" ref="Q11:Q17" si="6">B11</f>
        <v>用途</v>
      </c>
      <c r="R11" s="1381" t="s">
        <v>5</v>
      </c>
      <c r="S11" s="1382">
        <f t="shared" si="0"/>
        <v>100</v>
      </c>
      <c r="T11" s="1381" t="s">
        <v>5</v>
      </c>
      <c r="U11" s="1382">
        <f t="shared" si="1"/>
        <v>100</v>
      </c>
      <c r="V11" s="1381" t="s">
        <v>5</v>
      </c>
      <c r="W11" s="1382">
        <f t="shared" si="2"/>
        <v>100</v>
      </c>
      <c r="X11" s="1383"/>
      <c r="Y11" s="3903"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58"/>
      <c r="Q12" s="1050" t="str">
        <f t="shared" si="6"/>
        <v>土地使用年限（年）</v>
      </c>
      <c r="R12" s="1381" t="s">
        <v>5</v>
      </c>
      <c r="S12" s="1382">
        <f t="shared" si="0"/>
        <v>100</v>
      </c>
      <c r="T12" s="1381" t="s">
        <v>5</v>
      </c>
      <c r="U12" s="1382">
        <f t="shared" si="1"/>
        <v>100</v>
      </c>
      <c r="V12" s="1381" t="s">
        <v>5</v>
      </c>
      <c r="W12" s="1382">
        <f t="shared" si="2"/>
        <v>100</v>
      </c>
      <c r="X12" s="1383"/>
      <c r="Y12" s="3903"/>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58"/>
      <c r="Q13" s="1050" t="str">
        <f t="shared" si="6"/>
        <v>容积率</v>
      </c>
      <c r="R13" s="1381" t="s">
        <v>5</v>
      </c>
      <c r="S13" s="1382" t="e">
        <f t="shared" si="0"/>
        <v>#N/A</v>
      </c>
      <c r="T13" s="1381" t="s">
        <v>5</v>
      </c>
      <c r="U13" s="1382" t="e">
        <f t="shared" si="1"/>
        <v>#N/A</v>
      </c>
      <c r="V13" s="1381" t="s">
        <v>5</v>
      </c>
      <c r="W13" s="1382" t="e">
        <f t="shared" si="2"/>
        <v>#N/A</v>
      </c>
      <c r="X13" s="1383"/>
      <c r="Y13" s="3903"/>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58"/>
      <c r="Q14" s="1050" t="str">
        <f t="shared" si="6"/>
        <v>配建</v>
      </c>
      <c r="R14" s="1381" t="s">
        <v>5</v>
      </c>
      <c r="S14" s="1382">
        <f t="shared" si="0"/>
        <v>100</v>
      </c>
      <c r="T14" s="1381" t="s">
        <v>5</v>
      </c>
      <c r="U14" s="1382">
        <f t="shared" si="1"/>
        <v>100</v>
      </c>
      <c r="V14" s="1381" t="s">
        <v>5</v>
      </c>
      <c r="W14" s="1382">
        <f t="shared" si="2"/>
        <v>100</v>
      </c>
      <c r="X14" s="1383"/>
      <c r="Y14" s="3903"/>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58"/>
      <c r="Q15" s="1050">
        <f t="shared" si="6"/>
        <v>111</v>
      </c>
      <c r="R15" s="1381" t="s">
        <v>5</v>
      </c>
      <c r="S15" s="1382">
        <f t="shared" si="0"/>
        <v>100</v>
      </c>
      <c r="T15" s="1381" t="s">
        <v>5</v>
      </c>
      <c r="U15" s="1382">
        <f t="shared" si="1"/>
        <v>100</v>
      </c>
      <c r="V15" s="1381" t="s">
        <v>5</v>
      </c>
      <c r="W15" s="1382">
        <f t="shared" si="2"/>
        <v>100</v>
      </c>
      <c r="X15" s="1383"/>
      <c r="Y15" s="3903"/>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58"/>
      <c r="Q16" s="1050">
        <f t="shared" si="6"/>
        <v>111</v>
      </c>
      <c r="R16" s="1381" t="s">
        <v>5</v>
      </c>
      <c r="S16" s="1382">
        <f t="shared" si="0"/>
        <v>100</v>
      </c>
      <c r="T16" s="1381" t="s">
        <v>5</v>
      </c>
      <c r="U16" s="1382">
        <f t="shared" si="1"/>
        <v>100</v>
      </c>
      <c r="V16" s="1381" t="s">
        <v>5</v>
      </c>
      <c r="W16" s="1382">
        <f t="shared" si="2"/>
        <v>100</v>
      </c>
      <c r="X16" s="1383"/>
      <c r="Y16" s="3903"/>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61" t="s">
        <v>489</v>
      </c>
      <c r="Q17" s="1385" t="str">
        <f t="shared" si="6"/>
        <v>居住社区成熟度</v>
      </c>
      <c r="R17" s="1386" t="s">
        <v>5</v>
      </c>
      <c r="S17" s="1387">
        <f t="shared" si="0"/>
        <v>100</v>
      </c>
      <c r="T17" s="1386" t="s">
        <v>5</v>
      </c>
      <c r="U17" s="1387">
        <f t="shared" si="1"/>
        <v>100</v>
      </c>
      <c r="V17" s="1386" t="s">
        <v>5</v>
      </c>
      <c r="W17" s="1387">
        <f t="shared" si="2"/>
        <v>100</v>
      </c>
      <c r="X17" s="1380"/>
      <c r="Y17" s="3961"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62"/>
      <c r="Q18" s="1385"/>
      <c r="R18" s="1386"/>
      <c r="S18" s="1387"/>
      <c r="T18" s="1386"/>
      <c r="U18" s="1387"/>
      <c r="V18" s="1386"/>
      <c r="W18" s="1387"/>
      <c r="X18" s="1380"/>
      <c r="Y18" s="3962"/>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62"/>
      <c r="Q19" s="1385" t="str">
        <f>B19</f>
        <v>商业繁华度</v>
      </c>
      <c r="R19" s="1386" t="s">
        <v>5</v>
      </c>
      <c r="S19" s="1387">
        <f>F19</f>
        <v>100</v>
      </c>
      <c r="T19" s="1386" t="s">
        <v>5</v>
      </c>
      <c r="U19" s="1387">
        <f>H19</f>
        <v>100</v>
      </c>
      <c r="V19" s="1386" t="s">
        <v>5</v>
      </c>
      <c r="W19" s="1387">
        <f>J19</f>
        <v>100</v>
      </c>
      <c r="X19" s="1380"/>
      <c r="Y19" s="3962"/>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62"/>
      <c r="Q20" s="1385"/>
      <c r="R20" s="1386"/>
      <c r="S20" s="1387"/>
      <c r="T20" s="1386"/>
      <c r="U20" s="1387"/>
      <c r="V20" s="1386"/>
      <c r="W20" s="1387"/>
      <c r="X20" s="1380"/>
      <c r="Y20" s="3962"/>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62"/>
      <c r="Q21" s="1385" t="str">
        <f>B21</f>
        <v>办公集聚程度</v>
      </c>
      <c r="R21" s="1386" t="s">
        <v>5</v>
      </c>
      <c r="S21" s="1387">
        <f>F21</f>
        <v>100</v>
      </c>
      <c r="T21" s="1386" t="s">
        <v>5</v>
      </c>
      <c r="U21" s="1387">
        <f>H21</f>
        <v>100</v>
      </c>
      <c r="V21" s="1386" t="s">
        <v>5</v>
      </c>
      <c r="W21" s="1387">
        <f>J21</f>
        <v>100</v>
      </c>
      <c r="X21" s="1380"/>
      <c r="Y21" s="3962"/>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62"/>
      <c r="Q22" s="1385"/>
      <c r="R22" s="1386"/>
      <c r="S22" s="1387"/>
      <c r="T22" s="1386"/>
      <c r="U22" s="1387"/>
      <c r="V22" s="1386"/>
      <c r="W22" s="1387"/>
      <c r="X22" s="1380"/>
      <c r="Y22" s="3962"/>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62"/>
      <c r="Q23" s="1385" t="str">
        <f>B23</f>
        <v>交通便捷度</v>
      </c>
      <c r="R23" s="1386" t="s">
        <v>5</v>
      </c>
      <c r="S23" s="1387">
        <f>F23</f>
        <v>100</v>
      </c>
      <c r="T23" s="1386" t="s">
        <v>5</v>
      </c>
      <c r="U23" s="1387">
        <f>H23</f>
        <v>100</v>
      </c>
      <c r="V23" s="1386" t="s">
        <v>5</v>
      </c>
      <c r="W23" s="1387">
        <f>J23</f>
        <v>100</v>
      </c>
      <c r="X23" s="1380"/>
      <c r="Y23" s="3962"/>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62"/>
      <c r="Q24" s="1385"/>
      <c r="R24" s="1386"/>
      <c r="S24" s="1387"/>
      <c r="T24" s="1386"/>
      <c r="U24" s="1387"/>
      <c r="V24" s="1386"/>
      <c r="W24" s="1387"/>
      <c r="X24" s="1380"/>
      <c r="Y24" s="3962"/>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62"/>
      <c r="Q25" s="1385" t="str">
        <f t="shared" ref="Q25:Q39" si="8">B25</f>
        <v>区域土地利用方向</v>
      </c>
      <c r="R25" s="1386" t="s">
        <v>5</v>
      </c>
      <c r="S25" s="1387">
        <f>F25</f>
        <v>100</v>
      </c>
      <c r="T25" s="1386" t="s">
        <v>5</v>
      </c>
      <c r="U25" s="1387">
        <f>H25</f>
        <v>100</v>
      </c>
      <c r="V25" s="1386" t="s">
        <v>5</v>
      </c>
      <c r="W25" s="1387">
        <f>J25</f>
        <v>100</v>
      </c>
      <c r="X25" s="1380"/>
      <c r="Y25" s="3962"/>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62"/>
      <c r="Q26" s="1385"/>
      <c r="R26" s="1386"/>
      <c r="S26" s="1387"/>
      <c r="T26" s="1386"/>
      <c r="U26" s="1387"/>
      <c r="V26" s="1386"/>
      <c r="W26" s="1387"/>
      <c r="X26" s="1380"/>
      <c r="Y26" s="3962"/>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62"/>
      <c r="Q27" s="1385" t="str">
        <f t="shared" si="8"/>
        <v>自然及人文环境状况</v>
      </c>
      <c r="R27" s="1386" t="s">
        <v>5</v>
      </c>
      <c r="S27" s="1387">
        <f>F27</f>
        <v>100</v>
      </c>
      <c r="T27" s="1386" t="s">
        <v>5</v>
      </c>
      <c r="U27" s="1387">
        <f>H27</f>
        <v>100</v>
      </c>
      <c r="V27" s="1386" t="s">
        <v>5</v>
      </c>
      <c r="W27" s="1387">
        <f>J27</f>
        <v>100</v>
      </c>
      <c r="X27" s="1380"/>
      <c r="Y27" s="3962"/>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62"/>
      <c r="Q28" s="1385"/>
      <c r="R28" s="1386"/>
      <c r="S28" s="1387"/>
      <c r="T28" s="1386"/>
      <c r="U28" s="1387"/>
      <c r="V28" s="1386"/>
      <c r="W28" s="1387"/>
      <c r="X28" s="1380"/>
      <c r="Y28" s="3962"/>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62"/>
      <c r="Q29" s="1050" t="str">
        <f t="shared" si="8"/>
        <v>公共配套设施</v>
      </c>
      <c r="R29" s="1381" t="s">
        <v>5</v>
      </c>
      <c r="S29" s="1382">
        <f>F29</f>
        <v>100</v>
      </c>
      <c r="T29" s="1381" t="s">
        <v>5</v>
      </c>
      <c r="U29" s="1382">
        <f>H29</f>
        <v>100</v>
      </c>
      <c r="V29" s="1381" t="s">
        <v>5</v>
      </c>
      <c r="W29" s="1382">
        <f>J29</f>
        <v>100</v>
      </c>
      <c r="X29" s="1383"/>
      <c r="Y29" s="3962"/>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62"/>
      <c r="Q30" s="1050"/>
      <c r="R30" s="1381"/>
      <c r="S30" s="1382"/>
      <c r="T30" s="1381"/>
      <c r="U30" s="1382"/>
      <c r="V30" s="1381"/>
      <c r="W30" s="1382"/>
      <c r="X30" s="1383"/>
      <c r="Y30" s="3962"/>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62"/>
      <c r="Q31" s="2192" t="str">
        <f>B31</f>
        <v>基础设施水平</v>
      </c>
      <c r="R31" s="1381" t="s">
        <v>5</v>
      </c>
      <c r="S31" s="1382">
        <f>F31</f>
        <v>100</v>
      </c>
      <c r="T31" s="1381" t="s">
        <v>5</v>
      </c>
      <c r="U31" s="1382">
        <f>H31</f>
        <v>100</v>
      </c>
      <c r="V31" s="1381" t="s">
        <v>5</v>
      </c>
      <c r="W31" s="1382">
        <f>J31</f>
        <v>100</v>
      </c>
      <c r="X31" s="1383"/>
      <c r="Y31" s="3962"/>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62"/>
      <c r="Q32" s="2192"/>
      <c r="R32" s="1381"/>
      <c r="S32" s="1382"/>
      <c r="T32" s="1381"/>
      <c r="U32" s="1382"/>
      <c r="V32" s="1381"/>
      <c r="W32" s="1382"/>
      <c r="X32" s="1383"/>
      <c r="Y32" s="3962"/>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6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62"/>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62"/>
      <c r="Q34" s="1385" t="str">
        <f t="shared" si="8"/>
        <v>毗邻道路的类型与等级</v>
      </c>
      <c r="R34" s="1386" t="s">
        <v>5</v>
      </c>
      <c r="S34" s="1387">
        <f t="shared" si="9"/>
        <v>100</v>
      </c>
      <c r="T34" s="1386" t="s">
        <v>5</v>
      </c>
      <c r="U34" s="1387">
        <f t="shared" si="10"/>
        <v>100</v>
      </c>
      <c r="V34" s="1386" t="s">
        <v>5</v>
      </c>
      <c r="W34" s="1387">
        <f t="shared" si="11"/>
        <v>100</v>
      </c>
      <c r="X34" s="1380"/>
      <c r="Y34" s="3962"/>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62"/>
      <c r="Q35" s="1385"/>
      <c r="R35" s="1386"/>
      <c r="S35" s="1387"/>
      <c r="T35" s="1386"/>
      <c r="U35" s="1387"/>
      <c r="V35" s="1386"/>
      <c r="W35" s="1387"/>
      <c r="X35" s="1380"/>
      <c r="Y35" s="3962"/>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62"/>
      <c r="Q36" s="1385" t="str">
        <f t="shared" si="8"/>
        <v>土地级别</v>
      </c>
      <c r="R36" s="1386" t="s">
        <v>5</v>
      </c>
      <c r="S36" s="1387">
        <f t="shared" si="9"/>
        <v>100</v>
      </c>
      <c r="T36" s="1386" t="s">
        <v>5</v>
      </c>
      <c r="U36" s="1387">
        <f t="shared" si="10"/>
        <v>100</v>
      </c>
      <c r="V36" s="1386" t="s">
        <v>5</v>
      </c>
      <c r="W36" s="1387">
        <f t="shared" si="11"/>
        <v>100</v>
      </c>
      <c r="X36" s="1380"/>
      <c r="Y36" s="3962"/>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62"/>
      <c r="Q37" s="1385">
        <f t="shared" si="8"/>
        <v>111</v>
      </c>
      <c r="R37" s="1386" t="s">
        <v>5</v>
      </c>
      <c r="S37" s="1387">
        <f t="shared" si="9"/>
        <v>100</v>
      </c>
      <c r="T37" s="1386" t="s">
        <v>5</v>
      </c>
      <c r="U37" s="1387">
        <f t="shared" si="10"/>
        <v>100</v>
      </c>
      <c r="V37" s="1386" t="s">
        <v>5</v>
      </c>
      <c r="W37" s="1387">
        <f t="shared" si="11"/>
        <v>100</v>
      </c>
      <c r="X37" s="1380"/>
      <c r="Y37" s="3962"/>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63" t="s">
        <v>499</v>
      </c>
      <c r="Q38" s="1385">
        <f t="shared" si="8"/>
        <v>111</v>
      </c>
      <c r="R38" s="1386" t="s">
        <v>5</v>
      </c>
      <c r="S38" s="1387">
        <f t="shared" si="9"/>
        <v>100</v>
      </c>
      <c r="T38" s="1386" t="s">
        <v>5</v>
      </c>
      <c r="U38" s="1387">
        <f t="shared" si="10"/>
        <v>100</v>
      </c>
      <c r="V38" s="1386" t="s">
        <v>5</v>
      </c>
      <c r="W38" s="1387">
        <f t="shared" si="11"/>
        <v>100</v>
      </c>
      <c r="X38" s="1380"/>
      <c r="Y38" s="3964"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64"/>
      <c r="Q39" s="1385">
        <f t="shared" si="8"/>
        <v>111</v>
      </c>
      <c r="R39" s="1390" t="s">
        <v>5</v>
      </c>
      <c r="S39" s="1391">
        <f t="shared" si="9"/>
        <v>100</v>
      </c>
      <c r="T39" s="1390" t="s">
        <v>5</v>
      </c>
      <c r="U39" s="1391">
        <f t="shared" si="10"/>
        <v>100</v>
      </c>
      <c r="V39" s="1390" t="s">
        <v>5</v>
      </c>
      <c r="W39" s="1391">
        <f t="shared" si="11"/>
        <v>100</v>
      </c>
      <c r="X39" s="1392"/>
      <c r="Y39" s="3964"/>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64"/>
      <c r="Q40" s="1385" t="str">
        <f>B40</f>
        <v>宗地面积</v>
      </c>
      <c r="R40" s="1386" t="s">
        <v>5</v>
      </c>
      <c r="S40" s="1387" t="e">
        <f t="shared" si="9"/>
        <v>#N/A</v>
      </c>
      <c r="T40" s="1386" t="s">
        <v>5</v>
      </c>
      <c r="U40" s="1387" t="e">
        <f t="shared" si="10"/>
        <v>#N/A</v>
      </c>
      <c r="V40" s="1386" t="s">
        <v>5</v>
      </c>
      <c r="W40" s="1387" t="e">
        <f t="shared" si="11"/>
        <v>#N/A</v>
      </c>
      <c r="X40" s="1380"/>
      <c r="Y40" s="3964"/>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64"/>
      <c r="Q41" s="1385" t="str">
        <f t="shared" ref="Q41:Q47" si="13">B41</f>
        <v>宗地形状</v>
      </c>
      <c r="R41" s="1386" t="s">
        <v>5</v>
      </c>
      <c r="S41" s="1387">
        <f t="shared" si="9"/>
        <v>100</v>
      </c>
      <c r="T41" s="1386" t="s">
        <v>5</v>
      </c>
      <c r="U41" s="1387">
        <f t="shared" si="10"/>
        <v>100</v>
      </c>
      <c r="V41" s="1386" t="s">
        <v>5</v>
      </c>
      <c r="W41" s="1387">
        <f t="shared" si="11"/>
        <v>100</v>
      </c>
      <c r="X41" s="1380"/>
      <c r="Y41" s="3964"/>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64"/>
      <c r="Q42" s="1385" t="str">
        <f t="shared" si="13"/>
        <v>临街宽度及深度</v>
      </c>
      <c r="R42" s="1386" t="s">
        <v>5</v>
      </c>
      <c r="S42" s="1387">
        <f t="shared" si="9"/>
        <v>100</v>
      </c>
      <c r="T42" s="1386" t="s">
        <v>5</v>
      </c>
      <c r="U42" s="1387">
        <f t="shared" si="10"/>
        <v>100</v>
      </c>
      <c r="V42" s="1386" t="s">
        <v>5</v>
      </c>
      <c r="W42" s="1387">
        <f t="shared" si="11"/>
        <v>100</v>
      </c>
      <c r="X42" s="1380"/>
      <c r="Y42" s="3964"/>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64"/>
      <c r="Q43" s="1385" t="str">
        <f t="shared" si="13"/>
        <v>宗地开发程度</v>
      </c>
      <c r="R43" s="1381" t="s">
        <v>5</v>
      </c>
      <c r="S43" s="1382">
        <f t="shared" si="9"/>
        <v>100</v>
      </c>
      <c r="T43" s="1381" t="s">
        <v>5</v>
      </c>
      <c r="U43" s="1382">
        <f t="shared" si="10"/>
        <v>100</v>
      </c>
      <c r="V43" s="1381" t="s">
        <v>5</v>
      </c>
      <c r="W43" s="1382">
        <f t="shared" si="11"/>
        <v>100</v>
      </c>
      <c r="X43" s="1383"/>
      <c r="Y43" s="3964"/>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64" t="s">
        <v>499</v>
      </c>
      <c r="Q44" s="1385" t="str">
        <f t="shared" si="13"/>
        <v>工程地质条件</v>
      </c>
      <c r="R44" s="1386" t="s">
        <v>5</v>
      </c>
      <c r="S44" s="1387">
        <f t="shared" si="9"/>
        <v>100</v>
      </c>
      <c r="T44" s="1386" t="s">
        <v>5</v>
      </c>
      <c r="U44" s="1387">
        <f t="shared" si="10"/>
        <v>100</v>
      </c>
      <c r="V44" s="1386" t="s">
        <v>5</v>
      </c>
      <c r="W44" s="1387">
        <f t="shared" si="11"/>
        <v>100</v>
      </c>
      <c r="X44" s="1380"/>
      <c r="Y44" s="3964"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64"/>
      <c r="Q45" s="1385">
        <f t="shared" si="13"/>
        <v>111</v>
      </c>
      <c r="R45" s="1386" t="s">
        <v>5</v>
      </c>
      <c r="S45" s="1387">
        <f t="shared" si="9"/>
        <v>100</v>
      </c>
      <c r="T45" s="1386" t="s">
        <v>5</v>
      </c>
      <c r="U45" s="1387">
        <f t="shared" si="10"/>
        <v>100</v>
      </c>
      <c r="V45" s="1386" t="s">
        <v>5</v>
      </c>
      <c r="W45" s="1387">
        <f t="shared" si="11"/>
        <v>100</v>
      </c>
      <c r="X45" s="1380"/>
      <c r="Y45" s="3964"/>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64"/>
      <c r="Q46" s="1385">
        <f t="shared" si="13"/>
        <v>111</v>
      </c>
      <c r="R46" s="1386" t="s">
        <v>5</v>
      </c>
      <c r="S46" s="1387">
        <f t="shared" si="9"/>
        <v>100</v>
      </c>
      <c r="T46" s="1386" t="s">
        <v>5</v>
      </c>
      <c r="U46" s="1387">
        <f t="shared" si="10"/>
        <v>100</v>
      </c>
      <c r="V46" s="1386" t="s">
        <v>5</v>
      </c>
      <c r="W46" s="1387">
        <f t="shared" si="11"/>
        <v>100</v>
      </c>
      <c r="X46" s="1380"/>
      <c r="Y46" s="3964"/>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64"/>
      <c r="Q47" s="1385">
        <f t="shared" si="13"/>
        <v>111</v>
      </c>
      <c r="R47" s="1390" t="s">
        <v>5</v>
      </c>
      <c r="S47" s="1391">
        <f t="shared" si="9"/>
        <v>100</v>
      </c>
      <c r="T47" s="1390" t="s">
        <v>5</v>
      </c>
      <c r="U47" s="1391">
        <f t="shared" si="10"/>
        <v>100</v>
      </c>
      <c r="V47" s="1390" t="s">
        <v>5</v>
      </c>
      <c r="W47" s="1391">
        <f t="shared" si="11"/>
        <v>100</v>
      </c>
      <c r="X47" s="1392"/>
      <c r="Y47" s="3964"/>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958" t="str">
        <f>A48</f>
        <v>成交单价</v>
      </c>
      <c r="Q48" s="3958"/>
      <c r="R48" s="3960">
        <f>E48</f>
        <v>0</v>
      </c>
      <c r="S48" s="3960"/>
      <c r="T48" s="3960">
        <f>G48</f>
        <v>0</v>
      </c>
      <c r="U48" s="3960"/>
      <c r="V48" s="3960">
        <f>I48</f>
        <v>0</v>
      </c>
      <c r="W48" s="3960"/>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58" t="str">
        <f>A49</f>
        <v>比较价格（元/平方米）</v>
      </c>
      <c r="Q49" s="3958"/>
      <c r="R49" s="3959" t="e">
        <f>ROUND(PRODUCT(R48,AA9:AA47),0)</f>
        <v>#DIV/0!</v>
      </c>
      <c r="S49" s="3959"/>
      <c r="T49" s="3959" t="e">
        <f>ROUND(PRODUCT(T48,AB9:AB47),0)</f>
        <v>#DIV/0!</v>
      </c>
      <c r="U49" s="3959"/>
      <c r="V49" s="3959" t="e">
        <f>ROUND(PRODUCT(V48,AC9:AC47),0)</f>
        <v>#DIV/0!</v>
      </c>
      <c r="W49" s="3959"/>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55" t="str">
        <f>A50</f>
        <v>估价对象XX用房的比较价格（楼面单价，元/平方米）</v>
      </c>
      <c r="Q50" s="3956"/>
      <c r="R50" s="4071" t="e">
        <f>ROUND(IF(D49="简单平均",AVERAGE(R49:W49),R49*F49+T49*H49+V49*J49),0)</f>
        <v>#DIV/0!</v>
      </c>
      <c r="S50" s="4071"/>
      <c r="T50" s="4071"/>
      <c r="U50" s="4071"/>
      <c r="V50" s="4071"/>
      <c r="W50" s="4071"/>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4065" t="s">
        <v>1639</v>
      </c>
      <c r="H57" s="4066"/>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32240.2</v>
      </c>
      <c r="F58" s="604" t="e">
        <f t="shared" ref="F58:F66" si="14">ROUND(B58*E58/10000,0)</f>
        <v>#DIV/0!</v>
      </c>
      <c r="G58" s="4067"/>
      <c r="H58" s="406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三级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12896.08</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2025-6-1</v>
      </c>
      <c r="D69" s="2279">
        <f>EDATE(C69,-3)</f>
        <v>45717</v>
      </c>
      <c r="E69" s="2279">
        <f t="shared" ref="E69:N69" si="17">EDATE(D69,-3)</f>
        <v>45627</v>
      </c>
      <c r="F69" s="2279">
        <f t="shared" si="17"/>
        <v>45536</v>
      </c>
      <c r="G69" s="2279">
        <f t="shared" si="17"/>
        <v>45444</v>
      </c>
      <c r="H69" s="2279">
        <f t="shared" si="17"/>
        <v>45352</v>
      </c>
      <c r="I69" s="2279">
        <f t="shared" si="17"/>
        <v>45261</v>
      </c>
      <c r="J69" s="2279">
        <f t="shared" si="17"/>
        <v>45170</v>
      </c>
      <c r="K69" s="2279">
        <f t="shared" si="17"/>
        <v>45078</v>
      </c>
      <c r="L69" s="2279">
        <f t="shared" si="17"/>
        <v>44986</v>
      </c>
      <c r="M69" s="2279">
        <f t="shared" si="17"/>
        <v>44896</v>
      </c>
      <c r="N69" s="2279">
        <f t="shared" si="17"/>
        <v>44805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2025-2</v>
      </c>
      <c r="D71" s="2281" t="str">
        <f>YEAR(D69)&amp;"-"&amp;ROUNDUP(MONTH(D69)/3,0)</f>
        <v>2025-1</v>
      </c>
      <c r="E71" s="2281" t="str">
        <f t="shared" ref="E71:N71" si="18">YEAR(E69)&amp;"-"&amp;ROUNDUP(MONTH(E69)/3,0)</f>
        <v>2024-4</v>
      </c>
      <c r="F71" s="2281" t="str">
        <f t="shared" si="18"/>
        <v>2024-3</v>
      </c>
      <c r="G71" s="2281" t="str">
        <f t="shared" si="18"/>
        <v>2024-2</v>
      </c>
      <c r="H71" s="2281" t="str">
        <f t="shared" si="18"/>
        <v>2024-1</v>
      </c>
      <c r="I71" s="2281" t="str">
        <f t="shared" si="18"/>
        <v>2023-4</v>
      </c>
      <c r="J71" s="2281" t="str">
        <f t="shared" si="18"/>
        <v>2023-3</v>
      </c>
      <c r="K71" s="2281" t="str">
        <f t="shared" si="18"/>
        <v>2023-2</v>
      </c>
      <c r="L71" s="2281" t="str">
        <f t="shared" si="18"/>
        <v>2023-1</v>
      </c>
      <c r="M71" s="2281" t="str">
        <f t="shared" si="18"/>
        <v>2022-4</v>
      </c>
      <c r="N71" s="2281" t="str">
        <f t="shared" si="18"/>
        <v>2022-3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32" priority="18" stopIfTrue="1" operator="containsText" text="超过">
      <formula>NOT(ISERROR(SEARCH("超过",F53)))</formula>
    </cfRule>
  </conditionalFormatting>
  <conditionalFormatting sqref="J55">
    <cfRule type="containsText" dxfId="131" priority="17" stopIfTrue="1" operator="containsText" text="超过">
      <formula>NOT(ISERROR(SEARCH("超过",J55)))</formula>
    </cfRule>
  </conditionalFormatting>
  <conditionalFormatting sqref="H55">
    <cfRule type="containsText" dxfId="130" priority="16" stopIfTrue="1" operator="containsText" text="超过">
      <formula>NOT(ISERROR(SEARCH("超过",H55)))</formula>
    </cfRule>
  </conditionalFormatting>
  <conditionalFormatting sqref="F55">
    <cfRule type="containsText" dxfId="129" priority="15" stopIfTrue="1" operator="containsText" text="超过">
      <formula>NOT(ISERROR(SEARCH("超过",F55)))</formula>
    </cfRule>
  </conditionalFormatting>
  <conditionalFormatting sqref="F54 H54 J54">
    <cfRule type="containsText" dxfId="128" priority="14" stopIfTrue="1" operator="containsText" text="超过">
      <formula>NOT(ISERROR(SEARCH("超过",F54)))</formula>
    </cfRule>
  </conditionalFormatting>
  <conditionalFormatting sqref="E53">
    <cfRule type="expression" dxfId="127" priority="13" stopIfTrue="1">
      <formula>$F$53="超过30%"</formula>
    </cfRule>
  </conditionalFormatting>
  <conditionalFormatting sqref="G55">
    <cfRule type="expression" dxfId="126" priority="12" stopIfTrue="1">
      <formula>$H$55="超过30%"</formula>
    </cfRule>
  </conditionalFormatting>
  <conditionalFormatting sqref="E54">
    <cfRule type="expression" dxfId="125" priority="11" stopIfTrue="1">
      <formula>$F$54="超过20%"</formula>
    </cfRule>
  </conditionalFormatting>
  <conditionalFormatting sqref="E55">
    <cfRule type="expression" dxfId="124" priority="10" stopIfTrue="1">
      <formula>$F$55="超过30%"</formula>
    </cfRule>
  </conditionalFormatting>
  <conditionalFormatting sqref="G53">
    <cfRule type="expression" dxfId="123" priority="9" stopIfTrue="1">
      <formula>$H$55+$H$53="超过30%"</formula>
    </cfRule>
  </conditionalFormatting>
  <conditionalFormatting sqref="G54">
    <cfRule type="expression" dxfId="122" priority="8" stopIfTrue="1">
      <formula>$H$54="超过20%"</formula>
    </cfRule>
  </conditionalFormatting>
  <conditionalFormatting sqref="I53">
    <cfRule type="expression" dxfId="121" priority="7" stopIfTrue="1">
      <formula>$J$53="超过30%"</formula>
    </cfRule>
  </conditionalFormatting>
  <conditionalFormatting sqref="I54">
    <cfRule type="expression" dxfId="120" priority="6" stopIfTrue="1">
      <formula>$J$54="超过20%"</formula>
    </cfRule>
  </conditionalFormatting>
  <conditionalFormatting sqref="I55">
    <cfRule type="expression" dxfId="119" priority="5" stopIfTrue="1">
      <formula>$J$55="超过30%"</formula>
    </cfRule>
  </conditionalFormatting>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F9:F47 H9:H47 J9:J47">
    <cfRule type="cellIs" dxfId="11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1"/>
  <sheetViews>
    <sheetView tabSelected="1" workbookViewId="0">
      <selection activeCell="J7" sqref="J7"/>
    </sheetView>
  </sheetViews>
  <sheetFormatPr defaultRowHeight="14.4"/>
  <cols>
    <col min="2" max="2" width="15.88671875" customWidth="1"/>
    <col min="3" max="3" width="13.88671875" customWidth="1"/>
    <col min="4" max="4" width="14.5546875" customWidth="1"/>
    <col min="6" max="6" width="13.44140625" bestFit="1" customWidth="1"/>
  </cols>
  <sheetData>
    <row r="1" spans="1:6" ht="16.2">
      <c r="A1" s="3752"/>
      <c r="B1" s="3753" t="s">
        <v>2741</v>
      </c>
      <c r="C1" s="3753" t="s">
        <v>3320</v>
      </c>
      <c r="D1" s="3752" t="s">
        <v>3505</v>
      </c>
    </row>
    <row r="2" spans="1:6" ht="15">
      <c r="A2" s="3754" t="s">
        <v>3511</v>
      </c>
      <c r="B2" s="3755">
        <f ca="1">'剩余法-待开发'!B3</f>
        <v>41001</v>
      </c>
      <c r="C2" s="3756"/>
      <c r="D2" s="3756">
        <v>0.7</v>
      </c>
      <c r="E2" s="3758"/>
      <c r="F2" s="3759">
        <f ca="1">B2/B3-1</f>
        <v>0.23750452734516481</v>
      </c>
    </row>
    <row r="3" spans="1:6" ht="15">
      <c r="A3" s="3754" t="s">
        <v>3512</v>
      </c>
      <c r="B3" s="3757">
        <f>'基准地价-住宅'!C33</f>
        <v>33132</v>
      </c>
      <c r="C3" s="3756"/>
      <c r="D3" s="3756">
        <f>1-D2</f>
        <v>0.30000000000000004</v>
      </c>
      <c r="E3" s="3758"/>
      <c r="F3" s="3758"/>
    </row>
    <row r="4" spans="1:6" ht="15">
      <c r="A4" s="3754" t="s">
        <v>16</v>
      </c>
      <c r="B4" s="4072">
        <f ca="1">ROUND(B2*D2+B3*D3,0)</f>
        <v>38640</v>
      </c>
      <c r="C4" s="4073"/>
      <c r="D4" s="4074"/>
      <c r="E4" s="3758"/>
      <c r="F4" s="3758">
        <f ca="1">B4*0.25</f>
        <v>9660</v>
      </c>
    </row>
    <row r="5" spans="1:6" s="4096" customFormat="1" ht="30">
      <c r="A5" s="4093" t="s">
        <v>3503</v>
      </c>
      <c r="B5" s="4093"/>
      <c r="C5" s="4093">
        <f ca="1">成本逼近法!B3</f>
        <v>40109</v>
      </c>
      <c r="D5" s="4093">
        <v>0.3</v>
      </c>
      <c r="E5" s="4094"/>
      <c r="F5" s="4095">
        <f ca="1">C5/C6-1</f>
        <v>0.48288228334812189</v>
      </c>
    </row>
    <row r="6" spans="1:6" ht="30">
      <c r="A6" s="3754" t="s">
        <v>3502</v>
      </c>
      <c r="B6" s="3756"/>
      <c r="C6" s="3756">
        <f ca="1">增值收益扣减!R22</f>
        <v>27048</v>
      </c>
      <c r="D6" s="3756">
        <f>1-D5</f>
        <v>0.7</v>
      </c>
      <c r="E6" s="3758"/>
      <c r="F6" s="3758"/>
    </row>
    <row r="7" spans="1:6" ht="15">
      <c r="A7" s="3754" t="s">
        <v>16</v>
      </c>
      <c r="B7" s="4072">
        <f ca="1">ROUND(C5*D5+C6*D6,0)</f>
        <v>30966</v>
      </c>
      <c r="C7" s="4073"/>
      <c r="D7" s="4074"/>
      <c r="E7" s="3758"/>
      <c r="F7" s="3758">
        <f ca="1">B8*1.05</f>
        <v>8057.7000000000007</v>
      </c>
    </row>
    <row r="8" spans="1:6" ht="15.6">
      <c r="A8" s="3754" t="s">
        <v>3513</v>
      </c>
      <c r="B8" s="4075">
        <f ca="1">B4-B7</f>
        <v>7674</v>
      </c>
      <c r="C8" s="4076"/>
      <c r="D8" s="4077"/>
      <c r="E8" s="3760"/>
      <c r="F8" s="3760"/>
    </row>
    <row r="11" spans="1:6">
      <c r="C11">
        <f>B3*(1-25%)</f>
        <v>24849</v>
      </c>
    </row>
  </sheetData>
  <mergeCells count="3">
    <mergeCell ref="B4:D4"/>
    <mergeCell ref="B7:D7"/>
    <mergeCell ref="B8:D8"/>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23"/>
  <sheetViews>
    <sheetView topLeftCell="A16" zoomScale="98" zoomScaleNormal="98" workbookViewId="0">
      <selection activeCell="R37" sqref="R37"/>
    </sheetView>
  </sheetViews>
  <sheetFormatPr defaultColWidth="9" defaultRowHeight="15.6"/>
  <cols>
    <col min="1" max="1" width="38.6640625" style="3733" customWidth="1"/>
    <col min="2" max="3" width="20" style="3733" hidden="1" customWidth="1"/>
    <col min="4" max="4" width="15.21875" style="3733" hidden="1" customWidth="1"/>
    <col min="5" max="5" width="9.77734375" style="3733" customWidth="1"/>
    <col min="6" max="6" width="11.21875" style="3733" customWidth="1"/>
    <col min="7" max="7" width="10" style="3733" customWidth="1"/>
    <col min="8" max="8" width="20" style="3733" customWidth="1"/>
    <col min="9" max="9" width="14.6640625" style="3733" customWidth="1"/>
    <col min="10" max="11" width="20" style="3733" hidden="1" customWidth="1"/>
    <col min="12" max="12" width="11.109375" style="3733" customWidth="1"/>
    <col min="13" max="17" width="20" style="3733" hidden="1" customWidth="1"/>
    <col min="18" max="18" width="13.21875" style="3733" customWidth="1"/>
    <col min="19" max="19" width="12.6640625" style="3733" customWidth="1"/>
    <col min="20" max="20" width="20" style="3733" hidden="1" customWidth="1"/>
    <col min="21" max="21" width="13.88671875" style="3733" customWidth="1"/>
    <col min="22" max="22" width="10.44140625" style="3733" customWidth="1"/>
    <col min="23" max="26" width="9" style="3733"/>
    <col min="27" max="27" width="12.77734375" style="3733" bestFit="1" customWidth="1"/>
    <col min="28" max="16384" width="9" style="3733"/>
  </cols>
  <sheetData>
    <row r="1" spans="1:25" ht="31.2">
      <c r="A1" s="3732" t="s">
        <v>3426</v>
      </c>
      <c r="B1" s="3732" t="s">
        <v>3427</v>
      </c>
      <c r="C1" s="3732" t="s">
        <v>3428</v>
      </c>
      <c r="D1" s="3732" t="s">
        <v>3429</v>
      </c>
      <c r="E1" s="3732" t="s">
        <v>3430</v>
      </c>
      <c r="F1" s="3732" t="s">
        <v>3431</v>
      </c>
      <c r="G1" s="3732" t="s">
        <v>1550</v>
      </c>
      <c r="H1" s="3732" t="s">
        <v>3358</v>
      </c>
      <c r="I1" s="3732" t="s">
        <v>3432</v>
      </c>
      <c r="J1" s="3732" t="s">
        <v>3433</v>
      </c>
      <c r="K1" s="3732" t="s">
        <v>3434</v>
      </c>
      <c r="L1" s="3732" t="s">
        <v>3435</v>
      </c>
      <c r="M1" s="3732" t="s">
        <v>3436</v>
      </c>
      <c r="N1" s="3732" t="s">
        <v>3437</v>
      </c>
      <c r="O1" s="3732" t="s">
        <v>3438</v>
      </c>
      <c r="P1" s="3732" t="s">
        <v>3439</v>
      </c>
      <c r="Q1" s="3732" t="s">
        <v>3440</v>
      </c>
      <c r="R1" s="3732" t="s">
        <v>3441</v>
      </c>
      <c r="S1" s="3732" t="s">
        <v>3442</v>
      </c>
      <c r="T1" s="3732" t="s">
        <v>3443</v>
      </c>
      <c r="U1" s="3732" t="s">
        <v>3444</v>
      </c>
      <c r="V1" s="3732" t="s">
        <v>3445</v>
      </c>
      <c r="W1" s="3732"/>
      <c r="X1" s="3732" t="s">
        <v>3446</v>
      </c>
      <c r="Y1" s="3732" t="s">
        <v>3447</v>
      </c>
    </row>
    <row r="2" spans="1:25" ht="78">
      <c r="A2" s="3732" t="s">
        <v>3448</v>
      </c>
      <c r="B2" s="3732"/>
      <c r="C2" s="3732"/>
      <c r="D2" s="3732"/>
      <c r="E2" s="3732">
        <v>133625.32800000001</v>
      </c>
      <c r="F2" s="3732">
        <v>146200</v>
      </c>
      <c r="G2" s="3732">
        <f>ROUND(F2/E2,2)</f>
        <v>1.0900000000000001</v>
      </c>
      <c r="H2" s="3732"/>
      <c r="I2" s="3732" t="s">
        <v>3449</v>
      </c>
      <c r="J2" s="3732"/>
      <c r="K2" s="3732"/>
      <c r="L2" s="3734">
        <v>45231</v>
      </c>
      <c r="M2" s="3732"/>
      <c r="N2" s="3732"/>
      <c r="O2" s="3732"/>
      <c r="P2" s="3732"/>
      <c r="Q2" s="3732"/>
      <c r="R2" s="3732">
        <v>241000</v>
      </c>
      <c r="S2" s="3732">
        <f>ROUND(R2/F2*10000,0)</f>
        <v>16484</v>
      </c>
      <c r="T2" s="3732"/>
      <c r="U2" s="3732">
        <v>209297.69</v>
      </c>
      <c r="V2" s="3735">
        <f>(R2-U2)/U2</f>
        <v>0.15146994694494717</v>
      </c>
      <c r="W2" s="3732"/>
      <c r="X2" s="3732">
        <f>ROUND(U2/F2*10000,0)</f>
        <v>14316</v>
      </c>
      <c r="Y2" s="3732">
        <f>ROUND(U2/E2*10000,0)</f>
        <v>15663</v>
      </c>
    </row>
    <row r="3" spans="1:25" ht="46.8">
      <c r="A3" s="3732" t="s">
        <v>3450</v>
      </c>
      <c r="B3" s="3732"/>
      <c r="C3" s="3732"/>
      <c r="D3" s="3732"/>
      <c r="E3" s="3732">
        <v>30880.23</v>
      </c>
      <c r="F3" s="3732">
        <v>55584.413999999997</v>
      </c>
      <c r="G3" s="3732">
        <f>ROUND(F3/E3,2)</f>
        <v>1.8</v>
      </c>
      <c r="H3" s="3732"/>
      <c r="I3" s="3732" t="s">
        <v>3451</v>
      </c>
      <c r="J3" s="3732"/>
      <c r="K3" s="3732"/>
      <c r="L3" s="3734">
        <v>45209</v>
      </c>
      <c r="M3" s="3732"/>
      <c r="N3" s="3732"/>
      <c r="O3" s="3732"/>
      <c r="P3" s="3732"/>
      <c r="Q3" s="3732"/>
      <c r="R3" s="3732">
        <v>49000</v>
      </c>
      <c r="S3" s="3732">
        <f>ROUND(R3/F3*10000,0)</f>
        <v>8815</v>
      </c>
      <c r="T3" s="3732"/>
      <c r="U3" s="3732">
        <v>22236.17</v>
      </c>
      <c r="V3" s="3735">
        <f>(R3-U3)/U3</f>
        <v>1.2036168998528076</v>
      </c>
      <c r="W3" s="3732"/>
      <c r="X3" s="3732">
        <f>ROUND(U3/F3*10000,0)</f>
        <v>4000</v>
      </c>
      <c r="Y3" s="3732">
        <f>ROUND(U3/E3*10000,0)</f>
        <v>7201</v>
      </c>
    </row>
    <row r="4" spans="1:25" ht="31.2">
      <c r="A4" s="3732" t="s">
        <v>3452</v>
      </c>
      <c r="B4" s="3732"/>
      <c r="C4" s="3732"/>
      <c r="D4" s="3732"/>
      <c r="E4" s="3732">
        <v>39059.786</v>
      </c>
      <c r="F4" s="3732">
        <v>46871.743000000002</v>
      </c>
      <c r="G4" s="3732">
        <f>ROUND(F4/E4,2)</f>
        <v>1.2</v>
      </c>
      <c r="H4" s="3732"/>
      <c r="I4" s="3732" t="s">
        <v>3451</v>
      </c>
      <c r="J4" s="3732"/>
      <c r="K4" s="3732"/>
      <c r="L4" s="3734">
        <v>45107</v>
      </c>
      <c r="M4" s="3732"/>
      <c r="N4" s="3732"/>
      <c r="O4" s="3732"/>
      <c r="P4" s="3732"/>
      <c r="Q4" s="3732"/>
      <c r="R4" s="3732">
        <v>49000</v>
      </c>
      <c r="S4" s="3732">
        <f>ROUND(R4/F4*10000,0)</f>
        <v>10454</v>
      </c>
      <c r="T4" s="3732"/>
      <c r="U4" s="3732">
        <v>7314.15</v>
      </c>
      <c r="V4" s="3735">
        <f t="shared" ref="V4:V17" si="0">(R4-U4)/U4</f>
        <v>5.6993430542168264</v>
      </c>
      <c r="W4" s="3732"/>
      <c r="X4" s="3732">
        <f>ROUND(U4/F4*10000,0)</f>
        <v>1560</v>
      </c>
      <c r="Y4" s="3732">
        <f>ROUND(U4/E4*10000,0)</f>
        <v>1873</v>
      </c>
    </row>
    <row r="5" spans="1:25" ht="31.2">
      <c r="A5" s="3732" t="s">
        <v>3453</v>
      </c>
      <c r="B5" s="3732" t="s">
        <v>1465</v>
      </c>
      <c r="C5" s="3732" t="s">
        <v>3454</v>
      </c>
      <c r="D5" s="3732" t="s">
        <v>3455</v>
      </c>
      <c r="E5" s="3732">
        <v>46654.62</v>
      </c>
      <c r="F5" s="3732">
        <v>88643.78</v>
      </c>
      <c r="G5" s="3732">
        <v>1.9</v>
      </c>
      <c r="H5" s="3732" t="s">
        <v>3456</v>
      </c>
      <c r="I5" s="3732" t="s">
        <v>3457</v>
      </c>
      <c r="J5" s="3732" t="s">
        <v>3458</v>
      </c>
      <c r="K5" s="3734">
        <v>44936.0004976852</v>
      </c>
      <c r="L5" s="3734">
        <v>44936.0004976852</v>
      </c>
      <c r="M5" s="3732" t="s">
        <v>3459</v>
      </c>
      <c r="N5" s="3732" t="s">
        <v>3460</v>
      </c>
      <c r="O5" s="3732">
        <v>28000</v>
      </c>
      <c r="P5" s="3732">
        <v>6000</v>
      </c>
      <c r="Q5" s="3732" t="s">
        <v>3461</v>
      </c>
      <c r="R5" s="3732">
        <v>28000</v>
      </c>
      <c r="S5" s="3732">
        <f>ROUND(R5*10000/F5,0)</f>
        <v>3159</v>
      </c>
      <c r="T5" s="3732">
        <v>0</v>
      </c>
      <c r="U5" s="3732">
        <v>13831.73</v>
      </c>
      <c r="V5" s="3735">
        <f t="shared" si="0"/>
        <v>1.024331012823414</v>
      </c>
      <c r="W5" s="3732"/>
      <c r="X5" s="3732">
        <f>ROUND(U5/F5*10000,0)</f>
        <v>1560</v>
      </c>
      <c r="Y5" s="3732">
        <f>ROUND(U5/E5*10000,0)</f>
        <v>2965</v>
      </c>
    </row>
    <row r="6" spans="1:25" ht="46.8">
      <c r="A6" s="3732" t="s">
        <v>3462</v>
      </c>
      <c r="B6" s="3732"/>
      <c r="C6" s="3732"/>
      <c r="D6" s="3732"/>
      <c r="E6" s="3732">
        <v>55570.197999999997</v>
      </c>
      <c r="F6" s="3732">
        <v>122254.436</v>
      </c>
      <c r="G6" s="3732">
        <f>ROUND(F6/E6,2)</f>
        <v>2.2000000000000002</v>
      </c>
      <c r="H6" s="3732"/>
      <c r="I6" s="3732" t="s">
        <v>3451</v>
      </c>
      <c r="J6" s="3732"/>
      <c r="K6" s="3734"/>
      <c r="L6" s="3734">
        <v>45191</v>
      </c>
      <c r="M6" s="3732"/>
      <c r="N6" s="3732"/>
      <c r="O6" s="3732"/>
      <c r="P6" s="3732"/>
      <c r="Q6" s="3732"/>
      <c r="R6" s="3732">
        <v>152000</v>
      </c>
      <c r="S6" s="3732">
        <f>ROUND(R6/F6*10000,0)</f>
        <v>12433</v>
      </c>
      <c r="T6" s="3732"/>
      <c r="U6" s="3732">
        <v>134420.46</v>
      </c>
      <c r="V6" s="3735">
        <f t="shared" si="0"/>
        <v>0.13078023985336762</v>
      </c>
      <c r="W6" s="3732"/>
      <c r="X6" s="3732">
        <f>ROUND(U6/F6*10000,0)</f>
        <v>10995</v>
      </c>
      <c r="Y6" s="3732">
        <f>ROUND(U6/E6*10000,0)</f>
        <v>24189</v>
      </c>
    </row>
    <row r="7" spans="1:25" ht="46.8">
      <c r="A7" s="3736" t="s">
        <v>3463</v>
      </c>
      <c r="B7" s="3736"/>
      <c r="C7" s="3736"/>
      <c r="D7" s="3736"/>
      <c r="E7" s="3736">
        <v>9953.991</v>
      </c>
      <c r="F7" s="3736">
        <v>19907.982</v>
      </c>
      <c r="G7" s="3736">
        <f>ROUND(F7/E7,2)</f>
        <v>2</v>
      </c>
      <c r="H7" s="3736"/>
      <c r="I7" s="3736" t="s">
        <v>3451</v>
      </c>
      <c r="J7" s="3736"/>
      <c r="K7" s="3737"/>
      <c r="L7" s="3737">
        <v>44826</v>
      </c>
      <c r="M7" s="3736"/>
      <c r="N7" s="3736"/>
      <c r="O7" s="3736"/>
      <c r="P7" s="3736"/>
      <c r="Q7" s="3736"/>
      <c r="R7" s="3736">
        <v>18000</v>
      </c>
      <c r="S7" s="3736">
        <f>ROUND(R7/F7*10000,0)</f>
        <v>9042</v>
      </c>
      <c r="T7" s="3736"/>
      <c r="U7" s="3736">
        <v>0</v>
      </c>
      <c r="V7" s="3738">
        <v>0</v>
      </c>
      <c r="W7" s="3736"/>
      <c r="X7" s="3736">
        <v>0</v>
      </c>
      <c r="Y7" s="3736">
        <v>0</v>
      </c>
    </row>
    <row r="8" spans="1:25" ht="62.4">
      <c r="A8" s="3739" t="s">
        <v>3464</v>
      </c>
      <c r="B8" s="3739" t="s">
        <v>1465</v>
      </c>
      <c r="C8" s="3739" t="s">
        <v>3465</v>
      </c>
      <c r="D8" s="3739" t="s">
        <v>3455</v>
      </c>
      <c r="E8" s="3739">
        <v>19258.580000000002</v>
      </c>
      <c r="F8" s="3739">
        <v>38517.17</v>
      </c>
      <c r="G8" s="3739">
        <v>2</v>
      </c>
      <c r="H8" s="3739" t="s">
        <v>3456</v>
      </c>
      <c r="I8" s="3739" t="s">
        <v>3466</v>
      </c>
      <c r="J8" s="3739" t="s">
        <v>3458</v>
      </c>
      <c r="K8" s="3740">
        <v>44580.0004976852</v>
      </c>
      <c r="L8" s="3740">
        <v>44580.0004976852</v>
      </c>
      <c r="M8" s="3739" t="s">
        <v>3459</v>
      </c>
      <c r="N8" s="3739" t="s">
        <v>3467</v>
      </c>
      <c r="O8" s="3739">
        <v>28400</v>
      </c>
      <c r="P8" s="3739">
        <v>5700</v>
      </c>
      <c r="Q8" s="3739" t="s">
        <v>3468</v>
      </c>
      <c r="R8" s="3739">
        <v>28400</v>
      </c>
      <c r="S8" s="3739">
        <v>7373</v>
      </c>
      <c r="T8" s="3739">
        <v>0</v>
      </c>
      <c r="U8" s="3739">
        <v>23712</v>
      </c>
      <c r="V8" s="3741">
        <f t="shared" si="0"/>
        <v>0.19770580296896087</v>
      </c>
      <c r="W8" s="3739"/>
      <c r="X8" s="3739">
        <f>ROUND(U8/F8*10000,0)</f>
        <v>6156</v>
      </c>
      <c r="Y8" s="3739">
        <f t="shared" ref="Y8:Y17" si="1">ROUND(U8/E8*10000,0)</f>
        <v>12312</v>
      </c>
    </row>
    <row r="9" spans="1:25" ht="78">
      <c r="A9" s="3739" t="s">
        <v>3469</v>
      </c>
      <c r="B9" s="3739" t="s">
        <v>1465</v>
      </c>
      <c r="C9" s="3739" t="s">
        <v>3470</v>
      </c>
      <c r="D9" s="3739" t="s">
        <v>3455</v>
      </c>
      <c r="E9" s="3739">
        <v>28547.88</v>
      </c>
      <c r="F9" s="3739">
        <v>51828.53</v>
      </c>
      <c r="G9" s="3739">
        <v>1.82</v>
      </c>
      <c r="H9" s="3739" t="s">
        <v>3456</v>
      </c>
      <c r="I9" s="3739" t="s">
        <v>3471</v>
      </c>
      <c r="J9" s="3739" t="s">
        <v>3458</v>
      </c>
      <c r="K9" s="3740">
        <v>44580.0004976852</v>
      </c>
      <c r="L9" s="3740">
        <v>44580.0004976852</v>
      </c>
      <c r="M9" s="3739" t="s">
        <v>3459</v>
      </c>
      <c r="N9" s="3739" t="s">
        <v>3472</v>
      </c>
      <c r="O9" s="3739">
        <v>37700</v>
      </c>
      <c r="P9" s="3739">
        <v>7600</v>
      </c>
      <c r="Q9" s="3739" t="s">
        <v>3468</v>
      </c>
      <c r="R9" s="3739">
        <v>37700</v>
      </c>
      <c r="S9" s="3739">
        <v>7274</v>
      </c>
      <c r="T9" s="3739">
        <v>0</v>
      </c>
      <c r="U9" s="3739">
        <v>31821</v>
      </c>
      <c r="V9" s="3741">
        <f t="shared" si="0"/>
        <v>0.1847522076616071</v>
      </c>
      <c r="W9" s="3739"/>
      <c r="X9" s="3739">
        <f t="shared" ref="X9:X17" si="2">ROUND(U9/F9*10000,0)</f>
        <v>6140</v>
      </c>
      <c r="Y9" s="3739">
        <f t="shared" si="1"/>
        <v>11147</v>
      </c>
    </row>
    <row r="10" spans="1:25" ht="62.4">
      <c r="A10" s="3742" t="s">
        <v>3473</v>
      </c>
      <c r="B10" s="3742"/>
      <c r="C10" s="3742"/>
      <c r="D10" s="3742"/>
      <c r="E10" s="3742">
        <v>81740.061000000002</v>
      </c>
      <c r="F10" s="3742">
        <v>112700</v>
      </c>
      <c r="G10" s="3742">
        <f>ROUND(F10/E10,2)</f>
        <v>1.38</v>
      </c>
      <c r="H10" s="3742"/>
      <c r="I10" s="3742" t="s">
        <v>3474</v>
      </c>
      <c r="J10" s="3742"/>
      <c r="K10" s="3743"/>
      <c r="L10" s="3743">
        <v>44608</v>
      </c>
      <c r="M10" s="3742"/>
      <c r="N10" s="3742"/>
      <c r="O10" s="3742"/>
      <c r="P10" s="3742"/>
      <c r="Q10" s="3742"/>
      <c r="R10" s="3742">
        <v>121000</v>
      </c>
      <c r="S10" s="3742">
        <f>ROUND(R10/F10*10000,0)</f>
        <v>10736</v>
      </c>
      <c r="T10" s="3742"/>
      <c r="U10" s="3742">
        <v>104825.23</v>
      </c>
      <c r="V10" s="3741">
        <f t="shared" si="0"/>
        <v>0.1543022610110181</v>
      </c>
      <c r="W10" s="3742"/>
      <c r="X10" s="3742">
        <f>ROUND(U10/F10*10000,0)</f>
        <v>9301</v>
      </c>
      <c r="Y10" s="3742">
        <f>ROUND(U10/E10*10000,0)</f>
        <v>12824</v>
      </c>
    </row>
    <row r="11" spans="1:25" ht="31.2" hidden="1">
      <c r="A11" s="3732" t="s">
        <v>3475</v>
      </c>
      <c r="B11" s="3732"/>
      <c r="C11" s="3732"/>
      <c r="D11" s="3732"/>
      <c r="E11" s="3732">
        <v>103325.51</v>
      </c>
      <c r="F11" s="3732">
        <v>200222.033</v>
      </c>
      <c r="G11" s="3732">
        <f>ROUND(F11/E11,2)</f>
        <v>1.94</v>
      </c>
      <c r="H11" s="3732"/>
      <c r="I11" s="3732" t="s">
        <v>3451</v>
      </c>
      <c r="J11" s="3732"/>
      <c r="K11" s="3734"/>
      <c r="L11" s="3734">
        <v>44554</v>
      </c>
      <c r="M11" s="3732"/>
      <c r="N11" s="3732"/>
      <c r="O11" s="3732"/>
      <c r="P11" s="3732"/>
      <c r="Q11" s="3732"/>
      <c r="R11" s="3732">
        <v>207000</v>
      </c>
      <c r="S11" s="3732">
        <f>ROUND(R11/F11*10000,0)</f>
        <v>10339</v>
      </c>
      <c r="T11" s="3732"/>
      <c r="U11" s="3732">
        <v>163739.17000000001</v>
      </c>
      <c r="V11" s="3735">
        <f t="shared" si="0"/>
        <v>0.26420574869165381</v>
      </c>
      <c r="W11" s="3732"/>
      <c r="X11" s="3732">
        <f t="shared" si="2"/>
        <v>8178</v>
      </c>
      <c r="Y11" s="3732">
        <f t="shared" si="1"/>
        <v>15847</v>
      </c>
    </row>
    <row r="12" spans="1:25" ht="31.2" hidden="1">
      <c r="A12" s="3732" t="s">
        <v>3476</v>
      </c>
      <c r="B12" s="3732"/>
      <c r="C12" s="3732"/>
      <c r="D12" s="3732"/>
      <c r="E12" s="3732">
        <v>58351.58</v>
      </c>
      <c r="F12" s="3732">
        <v>116703</v>
      </c>
      <c r="G12" s="3732">
        <f>ROUND(F12/E12,2)</f>
        <v>2</v>
      </c>
      <c r="H12" s="3732"/>
      <c r="I12" s="3732" t="s">
        <v>3451</v>
      </c>
      <c r="J12" s="3732"/>
      <c r="K12" s="3734"/>
      <c r="L12" s="3734">
        <v>44341</v>
      </c>
      <c r="M12" s="3732"/>
      <c r="N12" s="3732"/>
      <c r="O12" s="3732"/>
      <c r="P12" s="3732"/>
      <c r="Q12" s="3732"/>
      <c r="R12" s="3732">
        <v>173800</v>
      </c>
      <c r="S12" s="3732">
        <f>ROUND(R12/F12*10000,0)</f>
        <v>14893</v>
      </c>
      <c r="T12" s="3732"/>
      <c r="U12" s="3732">
        <v>127133.54</v>
      </c>
      <c r="V12" s="3735">
        <f t="shared" si="0"/>
        <v>0.36706647199472309</v>
      </c>
      <c r="W12" s="3732"/>
      <c r="X12" s="3732">
        <f t="shared" si="2"/>
        <v>10894</v>
      </c>
      <c r="Y12" s="3732">
        <f t="shared" si="1"/>
        <v>21788</v>
      </c>
    </row>
    <row r="13" spans="1:25" ht="31.2">
      <c r="A13" s="3732" t="s">
        <v>3477</v>
      </c>
      <c r="B13" s="3732" t="s">
        <v>1465</v>
      </c>
      <c r="C13" s="3732" t="s">
        <v>3478</v>
      </c>
      <c r="D13" s="3732" t="s">
        <v>3455</v>
      </c>
      <c r="E13" s="3732">
        <v>1676.22</v>
      </c>
      <c r="F13" s="3732">
        <v>753.4</v>
      </c>
      <c r="G13" s="3732" t="s">
        <v>3479</v>
      </c>
      <c r="H13" s="3732" t="s">
        <v>3456</v>
      </c>
      <c r="I13" s="3732" t="s">
        <v>3457</v>
      </c>
      <c r="J13" s="3732" t="s">
        <v>3458</v>
      </c>
      <c r="K13" s="3734">
        <v>44224.0004976852</v>
      </c>
      <c r="L13" s="3734">
        <v>44224.0004976852</v>
      </c>
      <c r="M13" s="3732" t="s">
        <v>3459</v>
      </c>
      <c r="N13" s="3732" t="s">
        <v>3480</v>
      </c>
      <c r="O13" s="3732">
        <v>550</v>
      </c>
      <c r="P13" s="3732">
        <v>150</v>
      </c>
      <c r="Q13" s="3732" t="s">
        <v>3481</v>
      </c>
      <c r="R13" s="3732">
        <v>550</v>
      </c>
      <c r="S13" s="3732">
        <v>7300</v>
      </c>
      <c r="T13" s="3732">
        <v>0</v>
      </c>
      <c r="U13" s="3732">
        <v>323.06</v>
      </c>
      <c r="V13" s="3735">
        <f t="shared" si="0"/>
        <v>0.70247012938772979</v>
      </c>
      <c r="W13" s="3732"/>
      <c r="X13" s="3732">
        <f t="shared" si="2"/>
        <v>4288</v>
      </c>
      <c r="Y13" s="3732">
        <f t="shared" si="1"/>
        <v>1927</v>
      </c>
    </row>
    <row r="14" spans="1:25" ht="46.8">
      <c r="A14" s="3732" t="s">
        <v>3482</v>
      </c>
      <c r="B14" s="3732" t="s">
        <v>1465</v>
      </c>
      <c r="C14" s="3732" t="s">
        <v>3483</v>
      </c>
      <c r="D14" s="3732" t="s">
        <v>3455</v>
      </c>
      <c r="E14" s="3732">
        <v>26197.17</v>
      </c>
      <c r="F14" s="3732">
        <v>26500</v>
      </c>
      <c r="G14" s="3732" t="s">
        <v>3484</v>
      </c>
      <c r="H14" s="3732" t="s">
        <v>3485</v>
      </c>
      <c r="I14" s="3732" t="s">
        <v>3466</v>
      </c>
      <c r="J14" s="3732" t="s">
        <v>3458</v>
      </c>
      <c r="K14" s="3734">
        <v>44169.0004976852</v>
      </c>
      <c r="L14" s="3734">
        <v>44172.0004976852</v>
      </c>
      <c r="M14" s="3732" t="s">
        <v>3459</v>
      </c>
      <c r="N14" s="3732" t="s">
        <v>3486</v>
      </c>
      <c r="O14" s="3732" t="s">
        <v>3487</v>
      </c>
      <c r="P14" s="3732">
        <v>4200</v>
      </c>
      <c r="Q14" s="3732" t="s">
        <v>3488</v>
      </c>
      <c r="R14" s="3732">
        <v>20986.799999999999</v>
      </c>
      <c r="S14" s="3732">
        <v>7920</v>
      </c>
      <c r="T14" s="3732">
        <v>0</v>
      </c>
      <c r="U14" s="3732">
        <v>18955.349999999999</v>
      </c>
      <c r="V14" s="3735">
        <f t="shared" si="0"/>
        <v>0.10717027118992796</v>
      </c>
      <c r="W14" s="3732"/>
      <c r="X14" s="3732">
        <f t="shared" si="2"/>
        <v>7153</v>
      </c>
      <c r="Y14" s="3732">
        <f t="shared" si="1"/>
        <v>7236</v>
      </c>
    </row>
    <row r="15" spans="1:25" ht="62.4">
      <c r="A15" s="3744" t="s">
        <v>3489</v>
      </c>
      <c r="B15" s="3744" t="s">
        <v>1465</v>
      </c>
      <c r="C15" s="3744" t="s">
        <v>3490</v>
      </c>
      <c r="D15" s="3744" t="s">
        <v>3455</v>
      </c>
      <c r="E15" s="3744">
        <v>63225.37</v>
      </c>
      <c r="F15" s="3744">
        <v>120200</v>
      </c>
      <c r="G15" s="3744" t="s">
        <v>3491</v>
      </c>
      <c r="H15" s="3744" t="s">
        <v>3456</v>
      </c>
      <c r="I15" s="3744" t="s">
        <v>3466</v>
      </c>
      <c r="J15" s="3744" t="s">
        <v>3458</v>
      </c>
      <c r="K15" s="3745">
        <v>44138.0004976852</v>
      </c>
      <c r="L15" s="3745">
        <v>44138.0004976852</v>
      </c>
      <c r="M15" s="3744" t="s">
        <v>3459</v>
      </c>
      <c r="N15" s="3744" t="s">
        <v>3492</v>
      </c>
      <c r="O15" s="3744">
        <v>88100</v>
      </c>
      <c r="P15" s="3744">
        <v>17700</v>
      </c>
      <c r="Q15" s="3744" t="s">
        <v>3493</v>
      </c>
      <c r="R15" s="3744">
        <v>88100</v>
      </c>
      <c r="S15" s="3744">
        <v>7329</v>
      </c>
      <c r="T15" s="3744">
        <v>0</v>
      </c>
      <c r="U15" s="3744">
        <v>73839</v>
      </c>
      <c r="V15" s="3735">
        <f t="shared" si="0"/>
        <v>0.19313641842386814</v>
      </c>
      <c r="W15" s="3744"/>
      <c r="X15" s="3744">
        <f t="shared" si="2"/>
        <v>6143</v>
      </c>
      <c r="Y15" s="3744">
        <f t="shared" si="1"/>
        <v>11679</v>
      </c>
    </row>
    <row r="16" spans="1:25" ht="31.2">
      <c r="A16" s="3732" t="s">
        <v>3494</v>
      </c>
      <c r="B16" s="3732" t="s">
        <v>1465</v>
      </c>
      <c r="C16" s="3732" t="s">
        <v>3495</v>
      </c>
      <c r="D16" s="3732" t="s">
        <v>3455</v>
      </c>
      <c r="E16" s="3732">
        <v>5352.65</v>
      </c>
      <c r="F16" s="3732">
        <v>843</v>
      </c>
      <c r="G16" s="3732" t="s">
        <v>3496</v>
      </c>
      <c r="H16" s="3732" t="s">
        <v>3456</v>
      </c>
      <c r="I16" s="3732" t="s">
        <v>3457</v>
      </c>
      <c r="J16" s="3732" t="s">
        <v>3458</v>
      </c>
      <c r="K16" s="3734">
        <v>44116.0004976852</v>
      </c>
      <c r="L16" s="3734">
        <v>44116.0004976852</v>
      </c>
      <c r="M16" s="3732" t="s">
        <v>3459</v>
      </c>
      <c r="N16" s="3732" t="s">
        <v>3480</v>
      </c>
      <c r="O16" s="3732">
        <v>1310</v>
      </c>
      <c r="P16" s="3732">
        <v>300</v>
      </c>
      <c r="Q16" s="3732" t="s">
        <v>3497</v>
      </c>
      <c r="R16" s="3732">
        <v>1310</v>
      </c>
      <c r="S16" s="3732">
        <v>15540</v>
      </c>
      <c r="T16" s="3732">
        <v>0</v>
      </c>
      <c r="U16" s="3732">
        <v>1031.6099999999999</v>
      </c>
      <c r="V16" s="3735">
        <f t="shared" si="0"/>
        <v>0.26985973381413531</v>
      </c>
      <c r="W16" s="3732"/>
      <c r="X16" s="3732">
        <f t="shared" si="2"/>
        <v>12237</v>
      </c>
      <c r="Y16" s="3732">
        <f t="shared" si="1"/>
        <v>1927</v>
      </c>
    </row>
    <row r="17" spans="1:25" ht="31.2">
      <c r="A17" s="3732" t="s">
        <v>3498</v>
      </c>
      <c r="B17" s="3732" t="s">
        <v>1465</v>
      </c>
      <c r="C17" s="3732" t="s">
        <v>3499</v>
      </c>
      <c r="D17" s="3732" t="s">
        <v>3455</v>
      </c>
      <c r="E17" s="3732">
        <v>36823.82</v>
      </c>
      <c r="F17" s="3732">
        <v>25187</v>
      </c>
      <c r="G17" s="3732" t="s">
        <v>3500</v>
      </c>
      <c r="H17" s="3732" t="s">
        <v>3456</v>
      </c>
      <c r="I17" s="3732" t="s">
        <v>3466</v>
      </c>
      <c r="J17" s="3732" t="s">
        <v>3458</v>
      </c>
      <c r="K17" s="3734">
        <v>44116.0004976852</v>
      </c>
      <c r="L17" s="3734">
        <v>44116.0004976852</v>
      </c>
      <c r="M17" s="3732" t="s">
        <v>3459</v>
      </c>
      <c r="N17" s="3732" t="s">
        <v>3501</v>
      </c>
      <c r="O17" s="3732">
        <v>29500</v>
      </c>
      <c r="P17" s="3732">
        <v>6000</v>
      </c>
      <c r="Q17" s="3732" t="s">
        <v>3497</v>
      </c>
      <c r="R17" s="3732">
        <v>29500</v>
      </c>
      <c r="S17" s="3732">
        <v>11712</v>
      </c>
      <c r="T17" s="3732">
        <v>0</v>
      </c>
      <c r="U17" s="3732">
        <v>25653.97</v>
      </c>
      <c r="V17" s="3735">
        <f t="shared" si="0"/>
        <v>0.14991948614580897</v>
      </c>
      <c r="W17" s="3732"/>
      <c r="X17" s="3732">
        <f t="shared" si="2"/>
        <v>10185</v>
      </c>
      <c r="Y17" s="3732">
        <f t="shared" si="1"/>
        <v>6967</v>
      </c>
    </row>
    <row r="18" spans="1:25">
      <c r="K18" s="3746"/>
      <c r="L18" s="3746"/>
      <c r="V18" s="3747">
        <f>ROUND((V5+V8+V9+V10+V13+V14+V15+V16+V17)/9,4)</f>
        <v>0.33150000000000002</v>
      </c>
    </row>
    <row r="19" spans="1:25">
      <c r="K19" s="3746"/>
      <c r="L19" s="3746"/>
    </row>
    <row r="20" spans="1:25" ht="31.2">
      <c r="K20" s="3746"/>
      <c r="L20" s="3746"/>
      <c r="R20" s="3748" t="s">
        <v>3502</v>
      </c>
      <c r="S20" s="3748" t="s">
        <v>3503</v>
      </c>
      <c r="U20" s="3749" t="s">
        <v>3504</v>
      </c>
      <c r="V20" s="3733" t="s">
        <v>3505</v>
      </c>
      <c r="W20" s="3733" t="s">
        <v>3506</v>
      </c>
    </row>
    <row r="21" spans="1:25" ht="31.2">
      <c r="G21" s="3732"/>
      <c r="H21" s="3732"/>
      <c r="I21" s="3732" t="s">
        <v>3507</v>
      </c>
      <c r="J21" s="3732"/>
      <c r="K21" s="3734"/>
      <c r="L21" s="3734" t="s">
        <v>3508</v>
      </c>
      <c r="M21" s="3732"/>
      <c r="N21" s="3732"/>
      <c r="O21" s="3732"/>
      <c r="P21" s="3732"/>
      <c r="Q21" s="3750"/>
      <c r="R21" s="4078" t="s">
        <v>3509</v>
      </c>
      <c r="S21" s="4078"/>
      <c r="T21" s="4078"/>
      <c r="U21" s="4078"/>
      <c r="V21" s="3733">
        <v>0.5</v>
      </c>
      <c r="W21" s="3733">
        <f ca="1">S22/R22-1</f>
        <v>0.48288228334812189</v>
      </c>
    </row>
    <row r="22" spans="1:25">
      <c r="G22" s="3732" t="s">
        <v>3510</v>
      </c>
      <c r="H22" s="3732"/>
      <c r="I22" s="3739">
        <f ca="1">结果表汇总表!B4</f>
        <v>38640</v>
      </c>
      <c r="J22" s="3732"/>
      <c r="K22" s="3734"/>
      <c r="L22" s="3735">
        <v>0.3</v>
      </c>
      <c r="M22" s="3732"/>
      <c r="N22" s="3732"/>
      <c r="O22" s="3732"/>
      <c r="P22" s="3732"/>
      <c r="Q22" s="3750"/>
      <c r="R22" s="3732">
        <f ca="1">ROUND(I22*(1-$L$22),0)</f>
        <v>27048</v>
      </c>
      <c r="S22" s="2368">
        <f ca="1">成本逼近法!B3</f>
        <v>40109</v>
      </c>
      <c r="U22" s="3751">
        <f ca="1">ROUND(R22*V21+S22*V22,0)</f>
        <v>33579</v>
      </c>
      <c r="V22" s="3733">
        <f>1-V21</f>
        <v>0.5</v>
      </c>
    </row>
    <row r="23" spans="1:25">
      <c r="K23" s="3746"/>
    </row>
  </sheetData>
  <mergeCells count="1">
    <mergeCell ref="R21:U21"/>
  </mergeCells>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86"/>
  <sheetViews>
    <sheetView topLeftCell="A148" workbookViewId="0">
      <selection activeCell="A149" sqref="A149"/>
    </sheetView>
  </sheetViews>
  <sheetFormatPr defaultRowHeight="14.4"/>
  <cols>
    <col min="1" max="1" width="17.77734375" customWidth="1"/>
    <col min="2" max="2" width="11.44140625" customWidth="1"/>
    <col min="3" max="3" width="10.5546875" customWidth="1"/>
    <col min="4" max="4" width="16.5546875" customWidth="1"/>
    <col min="5" max="5" width="21.33203125" customWidth="1"/>
    <col min="6" max="6" width="18" customWidth="1"/>
    <col min="7" max="7" width="25.44140625" customWidth="1"/>
    <col min="8" max="8" width="14" customWidth="1"/>
    <col min="9" max="9" width="23.77734375" customWidth="1"/>
    <col min="10" max="10" width="38.33203125" customWidth="1"/>
  </cols>
  <sheetData>
    <row r="1" spans="1:7" ht="15.6">
      <c r="A1" s="4079" t="s">
        <v>3515</v>
      </c>
      <c r="B1" s="4079"/>
      <c r="C1" s="4079"/>
      <c r="D1" s="4079"/>
      <c r="E1" s="4079"/>
      <c r="F1" s="4079"/>
      <c r="G1" s="4079"/>
    </row>
    <row r="2" spans="1:7" ht="15.6">
      <c r="A2" s="4079" t="s">
        <v>3359</v>
      </c>
      <c r="B2" s="4079" t="s">
        <v>3357</v>
      </c>
      <c r="C2" s="4079" t="s">
        <v>3516</v>
      </c>
      <c r="D2" s="4079" t="s">
        <v>3517</v>
      </c>
      <c r="E2" s="4079" t="s">
        <v>3518</v>
      </c>
      <c r="F2" s="4079" t="s">
        <v>3519</v>
      </c>
      <c r="G2" s="4079" t="s">
        <v>3520</v>
      </c>
    </row>
    <row r="3" spans="1:7" ht="15.6">
      <c r="A3" s="3761" t="s">
        <v>3521</v>
      </c>
      <c r="B3" s="3761" t="s">
        <v>3522</v>
      </c>
      <c r="C3" s="3761" t="s">
        <v>3522</v>
      </c>
      <c r="D3" s="3761">
        <v>3</v>
      </c>
      <c r="E3" s="3761">
        <v>964</v>
      </c>
      <c r="F3" s="3761">
        <v>87963</v>
      </c>
      <c r="G3" s="3761">
        <v>8483.7900000000009</v>
      </c>
    </row>
    <row r="4" spans="1:7" ht="15.6">
      <c r="A4" s="3761" t="s">
        <v>3523</v>
      </c>
      <c r="B4" s="3761" t="s">
        <v>3370</v>
      </c>
      <c r="C4" s="3761" t="s">
        <v>3524</v>
      </c>
      <c r="D4" s="3761">
        <v>2</v>
      </c>
      <c r="E4" s="3761">
        <v>540</v>
      </c>
      <c r="F4" s="3761">
        <v>114496</v>
      </c>
      <c r="G4" s="3761">
        <v>6183.59</v>
      </c>
    </row>
    <row r="5" spans="1:7" ht="15.6">
      <c r="A5" s="3761" t="s">
        <v>3525</v>
      </c>
      <c r="B5" s="3761" t="s">
        <v>3370</v>
      </c>
      <c r="C5" s="3761" t="s">
        <v>3526</v>
      </c>
      <c r="D5" s="3761">
        <v>1</v>
      </c>
      <c r="E5" s="3761">
        <v>424</v>
      </c>
      <c r="F5" s="3761">
        <v>54199</v>
      </c>
      <c r="G5" s="3761">
        <v>2300.21</v>
      </c>
    </row>
    <row r="13" spans="1:7">
      <c r="A13" s="3762" t="s">
        <v>3527</v>
      </c>
    </row>
    <row r="18" spans="7:7">
      <c r="G18" s="2990" t="s">
        <v>3532</v>
      </c>
    </row>
    <row r="19" spans="7:7">
      <c r="G19" s="2990" t="s">
        <v>3531</v>
      </c>
    </row>
    <row r="44" spans="1:1">
      <c r="A44" s="3762" t="s">
        <v>3528</v>
      </c>
    </row>
    <row r="49" spans="7:7">
      <c r="G49" s="2990" t="s">
        <v>3530</v>
      </c>
    </row>
    <row r="50" spans="7:7">
      <c r="G50" s="2990" t="s">
        <v>3529</v>
      </c>
    </row>
    <row r="51" spans="7:7">
      <c r="G51">
        <v>72114.98</v>
      </c>
    </row>
    <row r="83" spans="1:7">
      <c r="A83" s="3762" t="s">
        <v>3533</v>
      </c>
    </row>
    <row r="84" spans="1:7">
      <c r="G84" s="2990" t="s">
        <v>3535</v>
      </c>
    </row>
    <row r="85" spans="1:7">
      <c r="G85" s="2990" t="s">
        <v>3534</v>
      </c>
    </row>
    <row r="86" spans="1:7" ht="13.8" customHeight="1"/>
  </sheetData>
  <mergeCells count="8">
    <mergeCell ref="A1:G1"/>
    <mergeCell ref="A2"/>
    <mergeCell ref="B2"/>
    <mergeCell ref="C2"/>
    <mergeCell ref="D2"/>
    <mergeCell ref="E2"/>
    <mergeCell ref="F2"/>
    <mergeCell ref="G2"/>
  </mergeCells>
  <phoneticPr fontId="224" type="noConversion"/>
  <hyperlinks>
    <hyperlink ref="A13" r:id="rId1"/>
    <hyperlink ref="A44" r:id="rId2"/>
    <hyperlink ref="A83"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12896.08平方米。根据《建设工程规划许可证》[]、《出让合同》[]，估价对象规划建筑面积为32240.2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2025年6月25日（评估专业人员勘察现场之日）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根据《国有土地使用证》[]，估价对象（分摊）出让国有建设用地使用权面积为12896.08平方米。根据《建设工程规划许可证》[]、《出让合同》[]，估价对象规划建筑面积为32240.2平方米。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6月25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7" sqref="C17"/>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t="s">
        <v>851</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132189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41001</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102503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6834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225681.4</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v>70000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32240.2</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C8*C9/10000</f>
        <v>225681.4</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14508</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725</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1451</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645</v>
      </c>
      <c r="D16" s="2324">
        <f ca="1">IF(B1="",'数据-汇总表'!E3,INDIRECT("'数据-取费表'!K"&amp;$K$1)+INDIRECT("'数据-取费表'!S"&amp;$K$1))</f>
        <v>32240.2</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218</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17547</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32240.2</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516</v>
      </c>
      <c r="D20" s="2334"/>
      <c r="E20" s="2288"/>
      <c r="F20" s="2335"/>
      <c r="G20" s="2533" t="s">
        <v>3514</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516</v>
      </c>
      <c r="D21" s="2324">
        <f ca="1">IF(B1="",'数据-汇总表'!E5,IF(INDIRECT("'数据-取费表'!c"&amp;$K$1)="住宅",INDIRECT("'数据-取费表'!k"&amp;$K$1),0))</f>
        <v>32240.2</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542</v>
      </c>
      <c r="D23" s="454"/>
      <c r="E23" s="454"/>
      <c r="F23" s="2336">
        <f>'数据-取费表'!B37</f>
        <v>0.03</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6770</v>
      </c>
      <c r="D24" s="461"/>
      <c r="E24" s="459"/>
      <c r="F24" s="2336">
        <f>'数据-取费表'!B38</f>
        <v>0.03</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761</v>
      </c>
      <c r="D26" s="453">
        <f ca="1">C27</f>
        <v>6.0900000000000003E-2</v>
      </c>
      <c r="E26" s="455" t="s">
        <v>455</v>
      </c>
      <c r="F26" s="457">
        <f ca="1">'数据-取费表'!B40</f>
        <v>0.03</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6.0900000000000003E-2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761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12036</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38172</v>
      </c>
      <c r="D30" s="463">
        <f ca="1">C32</f>
        <v>6.0900000000000003E-2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38172</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6.0900000000000003E-2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7613</v>
      </c>
      <c r="D33" s="453">
        <f ca="1">C34</f>
        <v>0.3</v>
      </c>
      <c r="E33" s="455" t="s">
        <v>455</v>
      </c>
      <c r="F33" s="465">
        <f ca="1">IF(B1="",'数据-取费表'!Q16,INDIRECT("'数据-取费表'!q"&amp;$K$1))</f>
        <v>0.3</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0.3</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7613</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132189</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4.4"/>
  <sheetData/>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70" t="s">
        <v>471</v>
      </c>
      <c r="D4" s="3971"/>
      <c r="E4" s="3972" t="s">
        <v>472</v>
      </c>
      <c r="F4" s="3973"/>
      <c r="G4" s="3970" t="s">
        <v>473</v>
      </c>
      <c r="H4" s="3971"/>
      <c r="I4" s="3970" t="s">
        <v>474</v>
      </c>
      <c r="J4" s="3971"/>
      <c r="K4" s="818" t="s">
        <v>475</v>
      </c>
      <c r="L4" s="1856"/>
      <c r="M4" s="1857"/>
      <c r="N4" s="1857"/>
      <c r="O4" s="1857"/>
      <c r="P4" s="3974" t="s">
        <v>476</v>
      </c>
      <c r="Q4" s="3975"/>
      <c r="R4" s="3980" t="s">
        <v>472</v>
      </c>
      <c r="S4" s="3981"/>
      <c r="T4" s="3980" t="s">
        <v>473</v>
      </c>
      <c r="U4" s="3981"/>
      <c r="V4" s="3960" t="s">
        <v>474</v>
      </c>
      <c r="W4" s="3960"/>
      <c r="X4" s="1380"/>
      <c r="Y4" s="3980" t="s">
        <v>476</v>
      </c>
      <c r="Z4" s="3981"/>
      <c r="AA4" s="3967" t="s">
        <v>472</v>
      </c>
      <c r="AB4" s="3967" t="s">
        <v>473</v>
      </c>
      <c r="AC4" s="3967" t="s">
        <v>474</v>
      </c>
    </row>
    <row r="5" spans="1:29">
      <c r="A5" s="485"/>
      <c r="B5" s="486"/>
      <c r="C5" s="3988" t="s">
        <v>2192</v>
      </c>
      <c r="D5" s="3989"/>
      <c r="E5" s="3986" t="s">
        <v>2193</v>
      </c>
      <c r="F5" s="3987"/>
      <c r="G5" s="3988" t="s">
        <v>2194</v>
      </c>
      <c r="H5" s="3989"/>
      <c r="I5" s="3988" t="s">
        <v>2195</v>
      </c>
      <c r="J5" s="3989"/>
      <c r="K5" s="819"/>
      <c r="L5" s="1856"/>
      <c r="M5" s="1857"/>
      <c r="N5" s="1857"/>
      <c r="O5" s="1857"/>
      <c r="P5" s="3976"/>
      <c r="Q5" s="3977"/>
      <c r="R5" s="3982"/>
      <c r="S5" s="3983"/>
      <c r="T5" s="3982"/>
      <c r="U5" s="3983"/>
      <c r="V5" s="3960"/>
      <c r="W5" s="3960"/>
      <c r="X5" s="1380"/>
      <c r="Y5" s="3982"/>
      <c r="Z5" s="3983"/>
      <c r="AA5" s="3968"/>
      <c r="AB5" s="3968"/>
      <c r="AC5" s="3968"/>
    </row>
    <row r="6" spans="1:29" ht="15" thickBot="1">
      <c r="A6" s="487"/>
      <c r="B6" s="488"/>
      <c r="C6" s="3990" t="s">
        <v>2196</v>
      </c>
      <c r="D6" s="3991"/>
      <c r="E6" s="3993" t="s">
        <v>2196</v>
      </c>
      <c r="F6" s="3994"/>
      <c r="G6" s="3990" t="s">
        <v>2196</v>
      </c>
      <c r="H6" s="3991"/>
      <c r="I6" s="3990" t="s">
        <v>2196</v>
      </c>
      <c r="J6" s="3991"/>
      <c r="K6" s="819" t="s">
        <v>477</v>
      </c>
      <c r="L6" s="1856"/>
      <c r="M6" s="1857"/>
      <c r="N6" s="1857"/>
      <c r="O6" s="1857"/>
      <c r="P6" s="3978"/>
      <c r="Q6" s="3979"/>
      <c r="R6" s="3982"/>
      <c r="S6" s="3983"/>
      <c r="T6" s="3984"/>
      <c r="U6" s="3985"/>
      <c r="V6" s="3960"/>
      <c r="W6" s="3960"/>
      <c r="X6" s="1380"/>
      <c r="Y6" s="3984"/>
      <c r="Z6" s="3985"/>
      <c r="AA6" s="3969"/>
      <c r="AB6" s="3969"/>
      <c r="AC6" s="3969"/>
    </row>
    <row r="7" spans="1:29" s="1118" customFormat="1" ht="15" thickBot="1">
      <c r="A7" s="2392"/>
      <c r="B7" s="2399" t="s">
        <v>478</v>
      </c>
      <c r="C7" s="489">
        <f>'数据-取费表'!B2</f>
        <v>45833</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65" t="s">
        <v>479</v>
      </c>
      <c r="Q7" s="3992"/>
      <c r="R7" s="1381" t="s">
        <v>10</v>
      </c>
      <c r="S7" s="1382">
        <f t="shared" ref="S7:S15" si="0">F7</f>
        <v>0</v>
      </c>
      <c r="T7" s="1381" t="s">
        <v>10</v>
      </c>
      <c r="U7" s="1382">
        <f t="shared" ref="U7:U15" si="1">H7</f>
        <v>0</v>
      </c>
      <c r="V7" s="1381" t="s">
        <v>10</v>
      </c>
      <c r="W7" s="1382">
        <f t="shared" ref="W7:W15" si="2">J7</f>
        <v>0</v>
      </c>
      <c r="X7" s="1383"/>
      <c r="Y7" s="3965" t="s">
        <v>479</v>
      </c>
      <c r="Z7" s="3966"/>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65" t="s">
        <v>482</v>
      </c>
      <c r="Q8" s="3966"/>
      <c r="R8" s="1381" t="s">
        <v>10</v>
      </c>
      <c r="S8" s="1382">
        <f t="shared" si="0"/>
        <v>0</v>
      </c>
      <c r="T8" s="1381" t="s">
        <v>10</v>
      </c>
      <c r="U8" s="1382">
        <f t="shared" si="1"/>
        <v>0</v>
      </c>
      <c r="V8" s="1381" t="s">
        <v>10</v>
      </c>
      <c r="W8" s="1382">
        <f t="shared" si="2"/>
        <v>0</v>
      </c>
      <c r="X8" s="1383"/>
      <c r="Y8" s="3965" t="s">
        <v>482</v>
      </c>
      <c r="Z8" s="3966"/>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58" t="s">
        <v>484</v>
      </c>
      <c r="Q9" s="1050" t="str">
        <f t="shared" ref="Q9:Q15" si="6">B9</f>
        <v>用途</v>
      </c>
      <c r="R9" s="1381" t="s">
        <v>5</v>
      </c>
      <c r="S9" s="1382">
        <f t="shared" si="0"/>
        <v>100</v>
      </c>
      <c r="T9" s="1381" t="s">
        <v>5</v>
      </c>
      <c r="U9" s="1382">
        <f t="shared" si="1"/>
        <v>100</v>
      </c>
      <c r="V9" s="1381" t="s">
        <v>5</v>
      </c>
      <c r="W9" s="1382">
        <f t="shared" si="2"/>
        <v>100</v>
      </c>
      <c r="X9" s="1383"/>
      <c r="Y9" s="3903"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958"/>
      <c r="Q10" s="1050" t="str">
        <f t="shared" si="6"/>
        <v>土地使用年限（年）</v>
      </c>
      <c r="R10" s="1381" t="s">
        <v>5</v>
      </c>
      <c r="S10" s="1382">
        <f t="shared" si="0"/>
        <v>100</v>
      </c>
      <c r="T10" s="1381" t="s">
        <v>5</v>
      </c>
      <c r="U10" s="1382">
        <f t="shared" si="1"/>
        <v>100</v>
      </c>
      <c r="V10" s="1381" t="s">
        <v>5</v>
      </c>
      <c r="W10" s="1382">
        <f t="shared" si="2"/>
        <v>100</v>
      </c>
      <c r="X10" s="1383"/>
      <c r="Y10" s="390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58"/>
      <c r="Q11" s="1050" t="str">
        <f t="shared" si="6"/>
        <v>容积率</v>
      </c>
      <c r="R11" s="1381" t="s">
        <v>8</v>
      </c>
      <c r="S11" s="1382" t="e">
        <f t="shared" si="0"/>
        <v>#N/A</v>
      </c>
      <c r="T11" s="1381" t="s">
        <v>8</v>
      </c>
      <c r="U11" s="1382" t="e">
        <f t="shared" si="1"/>
        <v>#N/A</v>
      </c>
      <c r="V11" s="1381" t="s">
        <v>8</v>
      </c>
      <c r="W11" s="1382" t="e">
        <f t="shared" si="2"/>
        <v>#N/A</v>
      </c>
      <c r="X11" s="1383"/>
      <c r="Y11" s="390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58"/>
      <c r="Q12" s="1050">
        <f t="shared" si="6"/>
        <v>111</v>
      </c>
      <c r="R12" s="1381" t="s">
        <v>8</v>
      </c>
      <c r="S12" s="1382">
        <f t="shared" si="0"/>
        <v>100</v>
      </c>
      <c r="T12" s="1381" t="s">
        <v>8</v>
      </c>
      <c r="U12" s="1382">
        <f t="shared" si="1"/>
        <v>100</v>
      </c>
      <c r="V12" s="1381" t="s">
        <v>8</v>
      </c>
      <c r="W12" s="1382">
        <f t="shared" si="2"/>
        <v>100</v>
      </c>
      <c r="X12" s="1383"/>
      <c r="Y12" s="390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58"/>
      <c r="Q13" s="1050">
        <f t="shared" si="6"/>
        <v>111</v>
      </c>
      <c r="R13" s="1381" t="s">
        <v>8</v>
      </c>
      <c r="S13" s="1382">
        <f t="shared" si="0"/>
        <v>100</v>
      </c>
      <c r="T13" s="1381" t="s">
        <v>8</v>
      </c>
      <c r="U13" s="1382">
        <f t="shared" si="1"/>
        <v>100</v>
      </c>
      <c r="V13" s="1381" t="s">
        <v>8</v>
      </c>
      <c r="W13" s="1382">
        <f t="shared" si="2"/>
        <v>100</v>
      </c>
      <c r="X13" s="1383"/>
      <c r="Y13" s="3903"/>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58"/>
      <c r="Q14" s="1050">
        <f t="shared" si="6"/>
        <v>111</v>
      </c>
      <c r="R14" s="1381" t="s">
        <v>8</v>
      </c>
      <c r="S14" s="1382">
        <f t="shared" si="0"/>
        <v>100</v>
      </c>
      <c r="T14" s="1381" t="s">
        <v>8</v>
      </c>
      <c r="U14" s="1382">
        <f t="shared" si="1"/>
        <v>100</v>
      </c>
      <c r="V14" s="1381" t="s">
        <v>8</v>
      </c>
      <c r="W14" s="1382">
        <f t="shared" si="2"/>
        <v>100</v>
      </c>
      <c r="X14" s="1383"/>
      <c r="Y14" s="3903"/>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61" t="s">
        <v>489</v>
      </c>
      <c r="Q15" s="1385" t="str">
        <f t="shared" si="6"/>
        <v>居住社区成熟度</v>
      </c>
      <c r="R15" s="1386" t="s">
        <v>8</v>
      </c>
      <c r="S15" s="1387">
        <f t="shared" si="0"/>
        <v>100</v>
      </c>
      <c r="T15" s="1386" t="s">
        <v>8</v>
      </c>
      <c r="U15" s="1387">
        <f t="shared" si="1"/>
        <v>100</v>
      </c>
      <c r="V15" s="1386" t="s">
        <v>8</v>
      </c>
      <c r="W15" s="1387">
        <f t="shared" si="2"/>
        <v>100</v>
      </c>
      <c r="X15" s="1380"/>
      <c r="Y15" s="396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62"/>
      <c r="Q16" s="1385"/>
      <c r="R16" s="1386"/>
      <c r="S16" s="1387"/>
      <c r="T16" s="1386"/>
      <c r="U16" s="1387"/>
      <c r="V16" s="1386"/>
      <c r="W16" s="1387"/>
      <c r="X16" s="1380"/>
      <c r="Y16" s="3962"/>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62"/>
      <c r="Q17" s="1385" t="str">
        <f>B17</f>
        <v>交通便捷度</v>
      </c>
      <c r="R17" s="1386" t="s">
        <v>8</v>
      </c>
      <c r="S17" s="1387">
        <f>F17</f>
        <v>100</v>
      </c>
      <c r="T17" s="1386" t="s">
        <v>8</v>
      </c>
      <c r="U17" s="1387">
        <f>H17</f>
        <v>100</v>
      </c>
      <c r="V17" s="1386" t="s">
        <v>8</v>
      </c>
      <c r="W17" s="1387">
        <f>J17</f>
        <v>100</v>
      </c>
      <c r="X17" s="1380"/>
      <c r="Y17" s="396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62"/>
      <c r="Q18" s="1385"/>
      <c r="R18" s="1386"/>
      <c r="S18" s="1387"/>
      <c r="T18" s="1386"/>
      <c r="U18" s="1387"/>
      <c r="V18" s="1386"/>
      <c r="W18" s="1387"/>
      <c r="X18" s="1380"/>
      <c r="Y18" s="3962"/>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62"/>
      <c r="Q19" s="1385" t="str">
        <f>B19</f>
        <v>公共配套设施</v>
      </c>
      <c r="R19" s="1386" t="s">
        <v>8</v>
      </c>
      <c r="S19" s="1387">
        <f>F19</f>
        <v>100</v>
      </c>
      <c r="T19" s="1386" t="s">
        <v>8</v>
      </c>
      <c r="U19" s="1387">
        <f>H19</f>
        <v>100</v>
      </c>
      <c r="V19" s="1386" t="s">
        <v>8</v>
      </c>
      <c r="W19" s="1387">
        <f>J19</f>
        <v>100</v>
      </c>
      <c r="X19" s="1380"/>
      <c r="Y19" s="396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62"/>
      <c r="Q20" s="1385"/>
      <c r="R20" s="1386"/>
      <c r="S20" s="1387"/>
      <c r="T20" s="1386"/>
      <c r="U20" s="1387"/>
      <c r="V20" s="1386"/>
      <c r="W20" s="1387"/>
      <c r="X20" s="1380"/>
      <c r="Y20" s="3962"/>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62"/>
      <c r="Q21" s="2193" t="str">
        <f>B21</f>
        <v>基础设施水平</v>
      </c>
      <c r="R21" s="1386" t="s">
        <v>8</v>
      </c>
      <c r="S21" s="1387">
        <f>F21</f>
        <v>100</v>
      </c>
      <c r="T21" s="1386" t="s">
        <v>8</v>
      </c>
      <c r="U21" s="1387">
        <f>H21</f>
        <v>100</v>
      </c>
      <c r="V21" s="1386" t="s">
        <v>8</v>
      </c>
      <c r="W21" s="1387">
        <f>J21</f>
        <v>100</v>
      </c>
      <c r="X21" s="2195"/>
      <c r="Y21" s="396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62"/>
      <c r="Q22" s="2193"/>
      <c r="R22" s="1386"/>
      <c r="S22" s="1387"/>
      <c r="T22" s="1386"/>
      <c r="U22" s="1387"/>
      <c r="V22" s="1386"/>
      <c r="W22" s="1387"/>
      <c r="X22" s="2195"/>
      <c r="Y22" s="3962"/>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62"/>
      <c r="Q23" s="1385" t="str">
        <f>B23</f>
        <v>自然及人文环境</v>
      </c>
      <c r="R23" s="1386" t="s">
        <v>8</v>
      </c>
      <c r="S23" s="1387">
        <f>F23</f>
        <v>100</v>
      </c>
      <c r="T23" s="1386" t="s">
        <v>8</v>
      </c>
      <c r="U23" s="1387">
        <f>H23</f>
        <v>100</v>
      </c>
      <c r="V23" s="1386" t="s">
        <v>8</v>
      </c>
      <c r="W23" s="1387">
        <f>J23</f>
        <v>100</v>
      </c>
      <c r="X23" s="1380"/>
      <c r="Y23" s="396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62"/>
      <c r="Q24" s="1385"/>
      <c r="R24" s="1386"/>
      <c r="S24" s="1387"/>
      <c r="T24" s="1386"/>
      <c r="U24" s="1387"/>
      <c r="V24" s="1386"/>
      <c r="W24" s="1387"/>
      <c r="X24" s="1380"/>
      <c r="Y24" s="396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62"/>
      <c r="Q25" s="1385" t="str">
        <f t="shared" ref="Q25:Q46" si="8">B25</f>
        <v>楼层-1</v>
      </c>
      <c r="R25" s="1386" t="s">
        <v>8</v>
      </c>
      <c r="S25" s="1387">
        <f>F25</f>
        <v>100</v>
      </c>
      <c r="T25" s="1386" t="s">
        <v>8</v>
      </c>
      <c r="U25" s="1387">
        <f>H25</f>
        <v>100</v>
      </c>
      <c r="V25" s="1386" t="s">
        <v>8</v>
      </c>
      <c r="W25" s="1387">
        <f>J25</f>
        <v>100</v>
      </c>
      <c r="X25" s="1380"/>
      <c r="Y25" s="396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62"/>
      <c r="Q26" s="1385" t="str">
        <f t="shared" si="8"/>
        <v>朝向</v>
      </c>
      <c r="R26" s="1386" t="s">
        <v>8</v>
      </c>
      <c r="S26" s="1387">
        <f>F26</f>
        <v>100</v>
      </c>
      <c r="T26" s="1386" t="s">
        <v>8</v>
      </c>
      <c r="U26" s="1387">
        <f>H26</f>
        <v>100</v>
      </c>
      <c r="V26" s="1386" t="s">
        <v>8</v>
      </c>
      <c r="W26" s="1387">
        <f>J26</f>
        <v>100</v>
      </c>
      <c r="X26" s="1380"/>
      <c r="Y26" s="396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62"/>
      <c r="Q27" s="1050" t="str">
        <f t="shared" si="8"/>
        <v>道路级别</v>
      </c>
      <c r="R27" s="1381" t="s">
        <v>8</v>
      </c>
      <c r="S27" s="1382">
        <f>F27</f>
        <v>100</v>
      </c>
      <c r="T27" s="1381" t="s">
        <v>8</v>
      </c>
      <c r="U27" s="1382">
        <f>H27</f>
        <v>100</v>
      </c>
      <c r="V27" s="1381" t="s">
        <v>8</v>
      </c>
      <c r="W27" s="1382">
        <f>J27</f>
        <v>100</v>
      </c>
      <c r="X27" s="1383"/>
      <c r="Y27" s="396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62"/>
      <c r="Q28" s="1385">
        <f t="shared" si="8"/>
        <v>111</v>
      </c>
      <c r="R28" s="1386" t="s">
        <v>8</v>
      </c>
      <c r="S28" s="1387">
        <f t="shared" ref="S28:S46" si="9">F28</f>
        <v>100</v>
      </c>
      <c r="T28" s="1386" t="s">
        <v>8</v>
      </c>
      <c r="U28" s="1387">
        <f t="shared" ref="U28:U46" si="10">H28</f>
        <v>100</v>
      </c>
      <c r="V28" s="1386" t="s">
        <v>8</v>
      </c>
      <c r="W28" s="1387">
        <f t="shared" ref="W28:W46" si="11">J28</f>
        <v>100</v>
      </c>
      <c r="X28" s="1380"/>
      <c r="Y28" s="396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62"/>
      <c r="Q29" s="1385">
        <f t="shared" si="8"/>
        <v>111</v>
      </c>
      <c r="R29" s="1386" t="s">
        <v>8</v>
      </c>
      <c r="S29" s="1387">
        <f t="shared" si="9"/>
        <v>100</v>
      </c>
      <c r="T29" s="1386" t="s">
        <v>8</v>
      </c>
      <c r="U29" s="1387">
        <f t="shared" si="10"/>
        <v>100</v>
      </c>
      <c r="V29" s="1386" t="s">
        <v>8</v>
      </c>
      <c r="W29" s="1387">
        <f t="shared" si="11"/>
        <v>100</v>
      </c>
      <c r="X29" s="1380"/>
      <c r="Y29" s="396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62"/>
      <c r="Q30" s="1385">
        <f t="shared" si="8"/>
        <v>111</v>
      </c>
      <c r="R30" s="1386" t="s">
        <v>8</v>
      </c>
      <c r="S30" s="1387">
        <f t="shared" si="9"/>
        <v>100</v>
      </c>
      <c r="T30" s="1386" t="s">
        <v>8</v>
      </c>
      <c r="U30" s="1387">
        <f t="shared" si="10"/>
        <v>100</v>
      </c>
      <c r="V30" s="1386" t="s">
        <v>8</v>
      </c>
      <c r="W30" s="1387">
        <f t="shared" si="11"/>
        <v>100</v>
      </c>
      <c r="X30" s="1380"/>
      <c r="Y30" s="3962"/>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62"/>
      <c r="Q31" s="1385">
        <f t="shared" si="8"/>
        <v>111</v>
      </c>
      <c r="R31" s="1386" t="s">
        <v>8</v>
      </c>
      <c r="S31" s="1387">
        <f t="shared" si="9"/>
        <v>100</v>
      </c>
      <c r="T31" s="1386" t="s">
        <v>8</v>
      </c>
      <c r="U31" s="1387">
        <f t="shared" si="10"/>
        <v>100</v>
      </c>
      <c r="V31" s="1386" t="s">
        <v>8</v>
      </c>
      <c r="W31" s="1387">
        <f t="shared" si="11"/>
        <v>100</v>
      </c>
      <c r="X31" s="1380"/>
      <c r="Y31" s="3962"/>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63" t="s">
        <v>499</v>
      </c>
      <c r="Q32" s="1385" t="str">
        <f t="shared" si="8"/>
        <v>建筑类型</v>
      </c>
      <c r="R32" s="1386" t="s">
        <v>8</v>
      </c>
      <c r="S32" s="1387">
        <f t="shared" si="9"/>
        <v>100</v>
      </c>
      <c r="T32" s="1386" t="s">
        <v>8</v>
      </c>
      <c r="U32" s="1387">
        <f t="shared" si="10"/>
        <v>100</v>
      </c>
      <c r="V32" s="1386" t="s">
        <v>8</v>
      </c>
      <c r="W32" s="1387">
        <f t="shared" si="11"/>
        <v>100</v>
      </c>
      <c r="X32" s="1380"/>
      <c r="Y32" s="396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64"/>
      <c r="Q33" s="1414" t="str">
        <f t="shared" si="8"/>
        <v>项目建筑规模</v>
      </c>
      <c r="R33" s="1390" t="s">
        <v>8</v>
      </c>
      <c r="S33" s="1391" t="e">
        <f t="shared" si="9"/>
        <v>#N/A</v>
      </c>
      <c r="T33" s="1390" t="s">
        <v>8</v>
      </c>
      <c r="U33" s="1391" t="e">
        <f t="shared" si="10"/>
        <v>#N/A</v>
      </c>
      <c r="V33" s="1390" t="s">
        <v>8</v>
      </c>
      <c r="W33" s="1391" t="e">
        <f t="shared" si="11"/>
        <v>#N/A</v>
      </c>
      <c r="X33" s="1392"/>
      <c r="Y33" s="396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64"/>
      <c r="Q34" s="1385" t="str">
        <f t="shared" si="8"/>
        <v>建筑结构</v>
      </c>
      <c r="R34" s="1386" t="s">
        <v>8</v>
      </c>
      <c r="S34" s="1387">
        <f t="shared" si="9"/>
        <v>100</v>
      </c>
      <c r="T34" s="1386" t="s">
        <v>8</v>
      </c>
      <c r="U34" s="1387">
        <f t="shared" si="10"/>
        <v>100</v>
      </c>
      <c r="V34" s="1386" t="s">
        <v>8</v>
      </c>
      <c r="W34" s="1387">
        <f t="shared" si="11"/>
        <v>100</v>
      </c>
      <c r="X34" s="1380"/>
      <c r="Y34" s="396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64"/>
      <c r="Q35" s="1385" t="str">
        <f t="shared" si="8"/>
        <v>建筑品质</v>
      </c>
      <c r="R35" s="1386" t="s">
        <v>8</v>
      </c>
      <c r="S35" s="1387">
        <f t="shared" si="9"/>
        <v>100</v>
      </c>
      <c r="T35" s="1386" t="s">
        <v>8</v>
      </c>
      <c r="U35" s="1387">
        <f t="shared" si="10"/>
        <v>100</v>
      </c>
      <c r="V35" s="1386" t="s">
        <v>8</v>
      </c>
      <c r="W35" s="1387">
        <f t="shared" si="11"/>
        <v>100</v>
      </c>
      <c r="X35" s="1380"/>
      <c r="Y35" s="396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64"/>
      <c r="Q36" s="1385" t="str">
        <f t="shared" si="8"/>
        <v>公共部分装修</v>
      </c>
      <c r="R36" s="1386" t="s">
        <v>8</v>
      </c>
      <c r="S36" s="1387">
        <f t="shared" si="9"/>
        <v>100</v>
      </c>
      <c r="T36" s="1386" t="s">
        <v>8</v>
      </c>
      <c r="U36" s="1387">
        <f t="shared" si="10"/>
        <v>100</v>
      </c>
      <c r="V36" s="1386" t="s">
        <v>8</v>
      </c>
      <c r="W36" s="1387">
        <f t="shared" si="11"/>
        <v>100</v>
      </c>
      <c r="X36" s="1380"/>
      <c r="Y36" s="396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64"/>
      <c r="Q37" s="1050" t="str">
        <f t="shared" si="8"/>
        <v>成新度</v>
      </c>
      <c r="R37" s="1381" t="s">
        <v>8</v>
      </c>
      <c r="S37" s="1382" t="e">
        <f t="shared" si="9"/>
        <v>#N/A</v>
      </c>
      <c r="T37" s="1381" t="s">
        <v>8</v>
      </c>
      <c r="U37" s="1382" t="e">
        <f t="shared" si="10"/>
        <v>#N/A</v>
      </c>
      <c r="V37" s="1381" t="s">
        <v>8</v>
      </c>
      <c r="W37" s="1382" t="e">
        <f t="shared" si="11"/>
        <v>#N/A</v>
      </c>
      <c r="X37" s="1383"/>
      <c r="Y37" s="396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64" t="s">
        <v>499</v>
      </c>
      <c r="Q38" s="1385" t="str">
        <f t="shared" si="8"/>
        <v>物业管理</v>
      </c>
      <c r="R38" s="1386" t="s">
        <v>8</v>
      </c>
      <c r="S38" s="1387">
        <f t="shared" si="9"/>
        <v>100</v>
      </c>
      <c r="T38" s="1386" t="s">
        <v>8</v>
      </c>
      <c r="U38" s="1387">
        <f t="shared" si="10"/>
        <v>100</v>
      </c>
      <c r="V38" s="1386" t="s">
        <v>8</v>
      </c>
      <c r="W38" s="1387">
        <f t="shared" si="11"/>
        <v>100</v>
      </c>
      <c r="X38" s="1380"/>
      <c r="Y38" s="396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64"/>
      <c r="Q39" s="1385" t="str">
        <f t="shared" si="8"/>
        <v>市政基础设施</v>
      </c>
      <c r="R39" s="1386" t="s">
        <v>8</v>
      </c>
      <c r="S39" s="1387">
        <f t="shared" si="9"/>
        <v>100</v>
      </c>
      <c r="T39" s="1386" t="s">
        <v>8</v>
      </c>
      <c r="U39" s="1387">
        <f t="shared" si="10"/>
        <v>100</v>
      </c>
      <c r="V39" s="1386" t="s">
        <v>8</v>
      </c>
      <c r="W39" s="1387">
        <f t="shared" si="11"/>
        <v>100</v>
      </c>
      <c r="X39" s="1380"/>
      <c r="Y39" s="396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64"/>
      <c r="Q40" s="1385" t="str">
        <f t="shared" si="8"/>
        <v>房型</v>
      </c>
      <c r="R40" s="1386" t="s">
        <v>8</v>
      </c>
      <c r="S40" s="1387">
        <f t="shared" si="9"/>
        <v>100</v>
      </c>
      <c r="T40" s="1386" t="s">
        <v>8</v>
      </c>
      <c r="U40" s="1387">
        <f t="shared" si="10"/>
        <v>100</v>
      </c>
      <c r="V40" s="1386" t="s">
        <v>8</v>
      </c>
      <c r="W40" s="1387">
        <f t="shared" si="11"/>
        <v>100</v>
      </c>
      <c r="X40" s="1380"/>
      <c r="Y40" s="3964"/>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64"/>
      <c r="Q41" s="1414" t="str">
        <f t="shared" si="8"/>
        <v>单套/主力户型建筑面积</v>
      </c>
      <c r="R41" s="1390" t="s">
        <v>8</v>
      </c>
      <c r="S41" s="1391">
        <f t="shared" si="9"/>
        <v>100</v>
      </c>
      <c r="T41" s="1390" t="s">
        <v>8</v>
      </c>
      <c r="U41" s="1391">
        <f t="shared" si="10"/>
        <v>100</v>
      </c>
      <c r="V41" s="1390" t="s">
        <v>8</v>
      </c>
      <c r="W41" s="1391">
        <f t="shared" si="11"/>
        <v>100</v>
      </c>
      <c r="X41" s="1392"/>
      <c r="Y41" s="396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64"/>
      <c r="Q42" s="1385" t="str">
        <f t="shared" si="8"/>
        <v>内部装修</v>
      </c>
      <c r="R42" s="1386" t="s">
        <v>8</v>
      </c>
      <c r="S42" s="1387">
        <f t="shared" si="9"/>
        <v>100</v>
      </c>
      <c r="T42" s="1386" t="s">
        <v>8</v>
      </c>
      <c r="U42" s="1387">
        <f t="shared" si="10"/>
        <v>100</v>
      </c>
      <c r="V42" s="1386" t="s">
        <v>8</v>
      </c>
      <c r="W42" s="1387">
        <f t="shared" si="11"/>
        <v>100</v>
      </c>
      <c r="X42" s="1380"/>
      <c r="Y42" s="3964"/>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64"/>
      <c r="Q43" s="1385" t="str">
        <f t="shared" si="8"/>
        <v>内部装修维护情况</v>
      </c>
      <c r="R43" s="1386" t="s">
        <v>8</v>
      </c>
      <c r="S43" s="1387">
        <f t="shared" si="9"/>
        <v>100</v>
      </c>
      <c r="T43" s="1386" t="s">
        <v>8</v>
      </c>
      <c r="U43" s="1387">
        <f t="shared" si="10"/>
        <v>100</v>
      </c>
      <c r="V43" s="1386" t="s">
        <v>8</v>
      </c>
      <c r="W43" s="1387">
        <f t="shared" si="11"/>
        <v>100</v>
      </c>
      <c r="X43" s="1380"/>
      <c r="Y43" s="396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64"/>
      <c r="Q44" s="1050">
        <f t="shared" si="8"/>
        <v>111</v>
      </c>
      <c r="R44" s="1381" t="s">
        <v>8</v>
      </c>
      <c r="S44" s="1382">
        <f t="shared" si="9"/>
        <v>100</v>
      </c>
      <c r="T44" s="1381" t="s">
        <v>8</v>
      </c>
      <c r="U44" s="1382">
        <f t="shared" si="10"/>
        <v>100</v>
      </c>
      <c r="V44" s="1381" t="s">
        <v>8</v>
      </c>
      <c r="W44" s="1382">
        <f t="shared" si="11"/>
        <v>100</v>
      </c>
      <c r="X44" s="1383"/>
      <c r="Y44" s="396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64"/>
      <c r="Q45" s="1385">
        <f t="shared" si="8"/>
        <v>111</v>
      </c>
      <c r="R45" s="1386" t="s">
        <v>8</v>
      </c>
      <c r="S45" s="1387">
        <f t="shared" si="9"/>
        <v>100</v>
      </c>
      <c r="T45" s="1386" t="s">
        <v>8</v>
      </c>
      <c r="U45" s="1387">
        <f t="shared" si="10"/>
        <v>100</v>
      </c>
      <c r="V45" s="1386" t="s">
        <v>8</v>
      </c>
      <c r="W45" s="1387">
        <f t="shared" si="11"/>
        <v>100</v>
      </c>
      <c r="X45" s="1380"/>
      <c r="Y45" s="3964"/>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82"/>
      <c r="Q46" s="1385">
        <f t="shared" si="8"/>
        <v>111</v>
      </c>
      <c r="R46" s="1386" t="s">
        <v>7</v>
      </c>
      <c r="S46" s="1387">
        <f t="shared" si="9"/>
        <v>100</v>
      </c>
      <c r="T46" s="1386" t="s">
        <v>7</v>
      </c>
      <c r="U46" s="1387">
        <f t="shared" si="10"/>
        <v>100</v>
      </c>
      <c r="V46" s="1386" t="s">
        <v>7</v>
      </c>
      <c r="W46" s="1387">
        <f t="shared" si="11"/>
        <v>100</v>
      </c>
      <c r="X46" s="1380"/>
      <c r="Y46" s="4082"/>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958" t="str">
        <f>A47</f>
        <v>成交单价（元/平方米）</v>
      </c>
      <c r="Q47" s="3958"/>
      <c r="R47" s="4081">
        <f>E47</f>
        <v>0</v>
      </c>
      <c r="S47" s="4081"/>
      <c r="T47" s="4081">
        <f>G47</f>
        <v>0</v>
      </c>
      <c r="U47" s="4081"/>
      <c r="V47" s="4081">
        <f>I47</f>
        <v>0</v>
      </c>
      <c r="W47" s="4081"/>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58" t="str">
        <f>A48</f>
        <v>比较价格（元/平方米）</v>
      </c>
      <c r="Q48" s="3958"/>
      <c r="R48" s="4081" t="e">
        <f>IF(F1="售价",ROUND(PRODUCT(R47,AA7:AA46),0),ROUND(PRODUCT(R47,AA7:AA46),1))</f>
        <v>#DIV/0!</v>
      </c>
      <c r="S48" s="4081"/>
      <c r="T48" s="4081" t="e">
        <f>IF(F1="售价",ROUND(PRODUCT(T47,AB7:AB46),0),ROUND(PRODUCT(T47,AB7:AB46),1))</f>
        <v>#DIV/0!</v>
      </c>
      <c r="U48" s="4081"/>
      <c r="V48" s="4081" t="e">
        <f>IF(F1="售价",ROUND(PRODUCT(V47,AC7:AC46),0),ROUND(PRODUCT(V47,AC7:AC46),1))</f>
        <v>#DIV/0!</v>
      </c>
      <c r="W48" s="4081"/>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55" t="str">
        <f>A49</f>
        <v>估价对象XX用房的比较价格（楼面单价，元/平方米）</v>
      </c>
      <c r="Q49" s="3956"/>
      <c r="R49" s="4080" t="e">
        <f>IF(F1="售价",ROUND(IF(D48="简单平均",AVERAGE(R48:V48),R48*F48+T48*H48+V48*J48),0),ROUND(IF(D48="简单平均",AVERAGE(R48:V48),R48*F48+T48*H48+V48*J48),1))</f>
        <v>#DIV/0!</v>
      </c>
      <c r="S49" s="4080"/>
      <c r="T49" s="4080"/>
      <c r="U49" s="4080"/>
      <c r="V49" s="4080"/>
      <c r="W49" s="4080"/>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2025-6</v>
      </c>
      <c r="D58" s="2284">
        <f>EDATE(C58,-1)</f>
        <v>45778</v>
      </c>
      <c r="E58" s="2284">
        <f t="shared" ref="E58:O58" si="13">EDATE(D58,-1)</f>
        <v>45748</v>
      </c>
      <c r="F58" s="2284">
        <f t="shared" si="13"/>
        <v>45717</v>
      </c>
      <c r="G58" s="2284">
        <f t="shared" si="13"/>
        <v>45689</v>
      </c>
      <c r="H58" s="2284">
        <f t="shared" si="13"/>
        <v>45658</v>
      </c>
      <c r="I58" s="2284">
        <f t="shared" si="13"/>
        <v>45627</v>
      </c>
      <c r="J58" s="2284">
        <f t="shared" si="13"/>
        <v>45597</v>
      </c>
      <c r="K58" s="2284">
        <f t="shared" si="13"/>
        <v>45566</v>
      </c>
      <c r="L58" s="2284">
        <f t="shared" si="13"/>
        <v>45536</v>
      </c>
      <c r="M58" s="2284">
        <f t="shared" si="13"/>
        <v>45505</v>
      </c>
      <c r="N58" s="2284">
        <f t="shared" si="13"/>
        <v>45474</v>
      </c>
      <c r="O58" s="2284">
        <f t="shared" si="13"/>
        <v>45444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70" t="s">
        <v>471</v>
      </c>
      <c r="D4" s="3971"/>
      <c r="E4" s="3972" t="s">
        <v>472</v>
      </c>
      <c r="F4" s="3973"/>
      <c r="G4" s="3970" t="s">
        <v>473</v>
      </c>
      <c r="H4" s="3971"/>
      <c r="I4" s="3970" t="s">
        <v>474</v>
      </c>
      <c r="J4" s="3971"/>
      <c r="K4" s="484" t="s">
        <v>475</v>
      </c>
      <c r="L4" s="1856"/>
      <c r="M4" s="1857"/>
      <c r="N4" s="1857"/>
      <c r="O4" s="1857"/>
      <c r="P4" s="3974" t="s">
        <v>476</v>
      </c>
      <c r="Q4" s="3975"/>
      <c r="R4" s="3980" t="s">
        <v>472</v>
      </c>
      <c r="S4" s="3981"/>
      <c r="T4" s="3980" t="s">
        <v>473</v>
      </c>
      <c r="U4" s="3981"/>
      <c r="V4" s="3960" t="s">
        <v>474</v>
      </c>
      <c r="W4" s="3960"/>
      <c r="X4" s="1380"/>
      <c r="Y4" s="3980" t="s">
        <v>476</v>
      </c>
      <c r="Z4" s="3981"/>
      <c r="AA4" s="3967" t="s">
        <v>472</v>
      </c>
      <c r="AB4" s="3960" t="s">
        <v>473</v>
      </c>
      <c r="AC4" s="3967" t="s">
        <v>474</v>
      </c>
    </row>
    <row r="5" spans="1:29">
      <c r="A5" s="485"/>
      <c r="B5" s="486"/>
      <c r="C5" s="3988" t="s">
        <v>2192</v>
      </c>
      <c r="D5" s="3989"/>
      <c r="E5" s="3986" t="s">
        <v>2193</v>
      </c>
      <c r="F5" s="3987"/>
      <c r="G5" s="3988" t="s">
        <v>2194</v>
      </c>
      <c r="H5" s="3989"/>
      <c r="I5" s="3988" t="s">
        <v>2195</v>
      </c>
      <c r="J5" s="3989"/>
      <c r="K5" s="484"/>
      <c r="L5" s="1856"/>
      <c r="M5" s="1857"/>
      <c r="N5" s="1857"/>
      <c r="O5" s="1857"/>
      <c r="P5" s="3976"/>
      <c r="Q5" s="3977"/>
      <c r="R5" s="3982"/>
      <c r="S5" s="3983"/>
      <c r="T5" s="3982"/>
      <c r="U5" s="3983"/>
      <c r="V5" s="3960"/>
      <c r="W5" s="3960"/>
      <c r="X5" s="1380"/>
      <c r="Y5" s="3982"/>
      <c r="Z5" s="3983"/>
      <c r="AA5" s="3968"/>
      <c r="AB5" s="3960"/>
      <c r="AC5" s="3968"/>
    </row>
    <row r="6" spans="1:29" ht="15" thickBot="1">
      <c r="A6" s="487"/>
      <c r="B6" s="488"/>
      <c r="C6" s="3990" t="s">
        <v>2196</v>
      </c>
      <c r="D6" s="3991"/>
      <c r="E6" s="3993" t="s">
        <v>2196</v>
      </c>
      <c r="F6" s="3994"/>
      <c r="G6" s="3990" t="s">
        <v>2196</v>
      </c>
      <c r="H6" s="3991"/>
      <c r="I6" s="3990" t="s">
        <v>2196</v>
      </c>
      <c r="J6" s="3991"/>
      <c r="K6" s="484" t="s">
        <v>477</v>
      </c>
      <c r="L6" s="1856"/>
      <c r="M6" s="1857"/>
      <c r="N6" s="1857"/>
      <c r="O6" s="1857"/>
      <c r="P6" s="3978"/>
      <c r="Q6" s="3979"/>
      <c r="R6" s="3982"/>
      <c r="S6" s="3983"/>
      <c r="T6" s="3984"/>
      <c r="U6" s="3985"/>
      <c r="V6" s="3960"/>
      <c r="W6" s="3960"/>
      <c r="X6" s="1380"/>
      <c r="Y6" s="3984"/>
      <c r="Z6" s="3985"/>
      <c r="AA6" s="3969"/>
      <c r="AB6" s="3960"/>
      <c r="AC6" s="3969"/>
    </row>
    <row r="7" spans="1:29" s="1118" customFormat="1" ht="15" thickBot="1">
      <c r="A7" s="2392"/>
      <c r="B7" s="2399" t="s">
        <v>478</v>
      </c>
      <c r="C7" s="489">
        <f>'数据-取费表'!B2</f>
        <v>45833</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65" t="s">
        <v>479</v>
      </c>
      <c r="Q7" s="3992"/>
      <c r="R7" s="1381" t="s">
        <v>5</v>
      </c>
      <c r="S7" s="1382">
        <f t="shared" ref="S7:S15" si="0">F7</f>
        <v>0</v>
      </c>
      <c r="T7" s="1381" t="s">
        <v>5</v>
      </c>
      <c r="U7" s="1382">
        <f t="shared" ref="U7:U15" si="1">H7</f>
        <v>0</v>
      </c>
      <c r="V7" s="1381" t="s">
        <v>5</v>
      </c>
      <c r="W7" s="1382">
        <f t="shared" ref="W7:W15" si="2">J7</f>
        <v>0</v>
      </c>
      <c r="X7" s="1383"/>
      <c r="Y7" s="3965" t="s">
        <v>479</v>
      </c>
      <c r="Z7" s="3966"/>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65" t="s">
        <v>482</v>
      </c>
      <c r="Q8" s="3966"/>
      <c r="R8" s="1381" t="s">
        <v>5</v>
      </c>
      <c r="S8" s="1382">
        <f t="shared" si="0"/>
        <v>0</v>
      </c>
      <c r="T8" s="1381" t="s">
        <v>5</v>
      </c>
      <c r="U8" s="1382">
        <f t="shared" si="1"/>
        <v>0</v>
      </c>
      <c r="V8" s="1381" t="s">
        <v>5</v>
      </c>
      <c r="W8" s="1382">
        <f t="shared" si="2"/>
        <v>0</v>
      </c>
      <c r="X8" s="1383"/>
      <c r="Y8" s="3965" t="s">
        <v>482</v>
      </c>
      <c r="Z8" s="3966"/>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58" t="s">
        <v>484</v>
      </c>
      <c r="Q9" s="1050" t="str">
        <f t="shared" ref="Q9:Q15" si="6">B9</f>
        <v>用途</v>
      </c>
      <c r="R9" s="1381" t="s">
        <v>5</v>
      </c>
      <c r="S9" s="1382">
        <f t="shared" si="0"/>
        <v>100</v>
      </c>
      <c r="T9" s="1381" t="s">
        <v>5</v>
      </c>
      <c r="U9" s="1382">
        <f t="shared" si="1"/>
        <v>100</v>
      </c>
      <c r="V9" s="1381" t="s">
        <v>5</v>
      </c>
      <c r="W9" s="1382">
        <f t="shared" si="2"/>
        <v>100</v>
      </c>
      <c r="X9" s="1383"/>
      <c r="Y9" s="3903"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958"/>
      <c r="Q10" s="1050" t="str">
        <f t="shared" si="6"/>
        <v>土地使用年限（年）</v>
      </c>
      <c r="R10" s="1381" t="s">
        <v>5</v>
      </c>
      <c r="S10" s="1382">
        <f t="shared" si="0"/>
        <v>100</v>
      </c>
      <c r="T10" s="1381" t="s">
        <v>5</v>
      </c>
      <c r="U10" s="1382">
        <f t="shared" si="1"/>
        <v>100</v>
      </c>
      <c r="V10" s="1381" t="s">
        <v>5</v>
      </c>
      <c r="W10" s="1382">
        <f t="shared" si="2"/>
        <v>100</v>
      </c>
      <c r="X10" s="1383"/>
      <c r="Y10" s="390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58"/>
      <c r="Q11" s="1050" t="str">
        <f t="shared" si="6"/>
        <v>容积率</v>
      </c>
      <c r="R11" s="1381" t="s">
        <v>5</v>
      </c>
      <c r="S11" s="1382" t="e">
        <f t="shared" si="0"/>
        <v>#N/A</v>
      </c>
      <c r="T11" s="1381" t="s">
        <v>5</v>
      </c>
      <c r="U11" s="1382" t="e">
        <f t="shared" si="1"/>
        <v>#N/A</v>
      </c>
      <c r="V11" s="1381" t="s">
        <v>5</v>
      </c>
      <c r="W11" s="1382" t="e">
        <f t="shared" si="2"/>
        <v>#N/A</v>
      </c>
      <c r="X11" s="1383"/>
      <c r="Y11" s="390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58"/>
      <c r="Q12" s="1050">
        <f t="shared" si="6"/>
        <v>111</v>
      </c>
      <c r="R12" s="1381" t="s">
        <v>5</v>
      </c>
      <c r="S12" s="1382">
        <f t="shared" si="0"/>
        <v>100</v>
      </c>
      <c r="T12" s="1381" t="s">
        <v>5</v>
      </c>
      <c r="U12" s="1382">
        <f t="shared" si="1"/>
        <v>100</v>
      </c>
      <c r="V12" s="1381" t="s">
        <v>5</v>
      </c>
      <c r="W12" s="1382">
        <f t="shared" si="2"/>
        <v>100</v>
      </c>
      <c r="X12" s="1383"/>
      <c r="Y12" s="390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58"/>
      <c r="Q13" s="1050">
        <f t="shared" si="6"/>
        <v>111</v>
      </c>
      <c r="R13" s="1381" t="s">
        <v>5</v>
      </c>
      <c r="S13" s="1382">
        <f t="shared" si="0"/>
        <v>100</v>
      </c>
      <c r="T13" s="1381" t="s">
        <v>5</v>
      </c>
      <c r="U13" s="1382">
        <f t="shared" si="1"/>
        <v>100</v>
      </c>
      <c r="V13" s="1381" t="s">
        <v>5</v>
      </c>
      <c r="W13" s="1382">
        <f t="shared" si="2"/>
        <v>100</v>
      </c>
      <c r="X13" s="1383"/>
      <c r="Y13" s="3903"/>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58"/>
      <c r="Q14" s="1050">
        <f t="shared" si="6"/>
        <v>111</v>
      </c>
      <c r="R14" s="1381" t="s">
        <v>5</v>
      </c>
      <c r="S14" s="1382">
        <f t="shared" si="0"/>
        <v>100</v>
      </c>
      <c r="T14" s="1381" t="s">
        <v>5</v>
      </c>
      <c r="U14" s="1382">
        <f t="shared" si="1"/>
        <v>100</v>
      </c>
      <c r="V14" s="1381" t="s">
        <v>5</v>
      </c>
      <c r="W14" s="1382">
        <f t="shared" si="2"/>
        <v>100</v>
      </c>
      <c r="X14" s="1383"/>
      <c r="Y14" s="3903"/>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61" t="s">
        <v>489</v>
      </c>
      <c r="Q15" s="1385" t="str">
        <f t="shared" si="6"/>
        <v>商业繁华度</v>
      </c>
      <c r="R15" s="1386" t="s">
        <v>5</v>
      </c>
      <c r="S15" s="1387">
        <f t="shared" si="0"/>
        <v>100</v>
      </c>
      <c r="T15" s="1386" t="s">
        <v>5</v>
      </c>
      <c r="U15" s="1387">
        <f t="shared" si="1"/>
        <v>100</v>
      </c>
      <c r="V15" s="1386" t="s">
        <v>5</v>
      </c>
      <c r="W15" s="1387">
        <f t="shared" si="2"/>
        <v>100</v>
      </c>
      <c r="X15" s="1380"/>
      <c r="Y15" s="396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2"/>
      <c r="Q16" s="1385"/>
      <c r="R16" s="1386"/>
      <c r="S16" s="1387"/>
      <c r="T16" s="1386"/>
      <c r="U16" s="1387"/>
      <c r="V16" s="1386"/>
      <c r="W16" s="1387"/>
      <c r="X16" s="1380"/>
      <c r="Y16" s="3962"/>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62"/>
      <c r="Q17" s="1385" t="str">
        <f>B17</f>
        <v>交通便捷度</v>
      </c>
      <c r="R17" s="1386" t="s">
        <v>5</v>
      </c>
      <c r="S17" s="1387">
        <f>F17</f>
        <v>100</v>
      </c>
      <c r="T17" s="1386" t="s">
        <v>5</v>
      </c>
      <c r="U17" s="1387">
        <f>H17</f>
        <v>100</v>
      </c>
      <c r="V17" s="1386" t="s">
        <v>5</v>
      </c>
      <c r="W17" s="1387">
        <f>J17</f>
        <v>100</v>
      </c>
      <c r="X17" s="1380"/>
      <c r="Y17" s="396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2"/>
      <c r="Q18" s="1385"/>
      <c r="R18" s="1386"/>
      <c r="S18" s="1387"/>
      <c r="T18" s="1386"/>
      <c r="U18" s="1387"/>
      <c r="V18" s="1386"/>
      <c r="W18" s="1387"/>
      <c r="X18" s="1380"/>
      <c r="Y18" s="3962"/>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62"/>
      <c r="Q19" s="1385" t="str">
        <f>B19</f>
        <v>公共配套设施</v>
      </c>
      <c r="R19" s="1386" t="s">
        <v>5</v>
      </c>
      <c r="S19" s="1387">
        <f>F19</f>
        <v>100</v>
      </c>
      <c r="T19" s="1386" t="s">
        <v>5</v>
      </c>
      <c r="U19" s="1387">
        <f>H19</f>
        <v>100</v>
      </c>
      <c r="V19" s="1386" t="s">
        <v>5</v>
      </c>
      <c r="W19" s="1387">
        <f>J19</f>
        <v>100</v>
      </c>
      <c r="X19" s="1380"/>
      <c r="Y19" s="396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62"/>
      <c r="Q20" s="1385"/>
      <c r="R20" s="1386"/>
      <c r="S20" s="1387"/>
      <c r="T20" s="1386"/>
      <c r="U20" s="1387"/>
      <c r="V20" s="1386"/>
      <c r="W20" s="1387"/>
      <c r="X20" s="1380"/>
      <c r="Y20" s="3962"/>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62"/>
      <c r="Q21" s="2193" t="str">
        <f>B21</f>
        <v>基础设施水平</v>
      </c>
      <c r="R21" s="1386" t="s">
        <v>5</v>
      </c>
      <c r="S21" s="1387">
        <f>F21</f>
        <v>100</v>
      </c>
      <c r="T21" s="1386" t="s">
        <v>5</v>
      </c>
      <c r="U21" s="1387">
        <f>H21</f>
        <v>100</v>
      </c>
      <c r="V21" s="1386" t="s">
        <v>5</v>
      </c>
      <c r="W21" s="1387">
        <f>J21</f>
        <v>100</v>
      </c>
      <c r="X21" s="2195"/>
      <c r="Y21" s="396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62"/>
      <c r="Q22" s="2193"/>
      <c r="R22" s="1386"/>
      <c r="S22" s="1387"/>
      <c r="T22" s="1386"/>
      <c r="U22" s="1387"/>
      <c r="V22" s="1386"/>
      <c r="W22" s="1387"/>
      <c r="X22" s="2195"/>
      <c r="Y22" s="3962"/>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62"/>
      <c r="Q23" s="1385" t="str">
        <f>B23</f>
        <v>自然及人文环境</v>
      </c>
      <c r="R23" s="1386" t="s">
        <v>5</v>
      </c>
      <c r="S23" s="1387">
        <f>F23</f>
        <v>100</v>
      </c>
      <c r="T23" s="1386" t="s">
        <v>5</v>
      </c>
      <c r="U23" s="1387">
        <f>H23</f>
        <v>100</v>
      </c>
      <c r="V23" s="1386" t="s">
        <v>5</v>
      </c>
      <c r="W23" s="1387">
        <f>J23</f>
        <v>100</v>
      </c>
      <c r="X23" s="1380"/>
      <c r="Y23" s="396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62"/>
      <c r="Q24" s="1385"/>
      <c r="R24" s="1386"/>
      <c r="S24" s="1387"/>
      <c r="T24" s="1386"/>
      <c r="U24" s="1387"/>
      <c r="V24" s="1386"/>
      <c r="W24" s="1387"/>
      <c r="X24" s="1380"/>
      <c r="Y24" s="396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62"/>
      <c r="Q25" s="1385" t="str">
        <f t="shared" ref="Q25:Q46" si="8">B25</f>
        <v>临街状况</v>
      </c>
      <c r="R25" s="1386" t="s">
        <v>5</v>
      </c>
      <c r="S25" s="1387">
        <f>F25</f>
        <v>100</v>
      </c>
      <c r="T25" s="1386" t="s">
        <v>5</v>
      </c>
      <c r="U25" s="1387">
        <f>H25</f>
        <v>100</v>
      </c>
      <c r="V25" s="1386" t="s">
        <v>5</v>
      </c>
      <c r="W25" s="1387">
        <f>J25</f>
        <v>100</v>
      </c>
      <c r="X25" s="1380"/>
      <c r="Y25" s="396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62"/>
      <c r="Q26" s="1385" t="str">
        <f t="shared" si="8"/>
        <v>平面位置/可视性</v>
      </c>
      <c r="R26" s="1386" t="s">
        <v>5</v>
      </c>
      <c r="S26" s="1387">
        <f>F26</f>
        <v>100</v>
      </c>
      <c r="T26" s="1386" t="s">
        <v>5</v>
      </c>
      <c r="U26" s="1387">
        <f>H26</f>
        <v>100</v>
      </c>
      <c r="V26" s="1386" t="s">
        <v>5</v>
      </c>
      <c r="W26" s="1387">
        <f>J26</f>
        <v>100</v>
      </c>
      <c r="X26" s="1380"/>
      <c r="Y26" s="396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62"/>
      <c r="Q27" s="1050" t="str">
        <f t="shared" si="8"/>
        <v>人流量</v>
      </c>
      <c r="R27" s="1381" t="s">
        <v>5</v>
      </c>
      <c r="S27" s="1382">
        <f>F27</f>
        <v>100</v>
      </c>
      <c r="T27" s="1381" t="s">
        <v>5</v>
      </c>
      <c r="U27" s="1382">
        <f>H27</f>
        <v>100</v>
      </c>
      <c r="V27" s="1381" t="s">
        <v>5</v>
      </c>
      <c r="W27" s="1382">
        <f>J27</f>
        <v>100</v>
      </c>
      <c r="X27" s="1383"/>
      <c r="Y27" s="396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6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6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62"/>
      <c r="Q29" s="1385">
        <f t="shared" si="8"/>
        <v>111</v>
      </c>
      <c r="R29" s="1386" t="s">
        <v>5</v>
      </c>
      <c r="S29" s="1387">
        <f t="shared" si="9"/>
        <v>100</v>
      </c>
      <c r="T29" s="1386" t="s">
        <v>5</v>
      </c>
      <c r="U29" s="1387">
        <f t="shared" si="10"/>
        <v>100</v>
      </c>
      <c r="V29" s="1386" t="s">
        <v>5</v>
      </c>
      <c r="W29" s="1387">
        <f t="shared" si="11"/>
        <v>100</v>
      </c>
      <c r="X29" s="1380"/>
      <c r="Y29" s="396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62"/>
      <c r="Q30" s="1385">
        <f t="shared" si="8"/>
        <v>111</v>
      </c>
      <c r="R30" s="1386" t="s">
        <v>5</v>
      </c>
      <c r="S30" s="1387">
        <f t="shared" si="9"/>
        <v>100</v>
      </c>
      <c r="T30" s="1386" t="s">
        <v>5</v>
      </c>
      <c r="U30" s="1387">
        <f t="shared" si="10"/>
        <v>100</v>
      </c>
      <c r="V30" s="1386" t="s">
        <v>5</v>
      </c>
      <c r="W30" s="1387">
        <f t="shared" si="11"/>
        <v>100</v>
      </c>
      <c r="X30" s="1380"/>
      <c r="Y30" s="3962"/>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62"/>
      <c r="Q31" s="1385">
        <f t="shared" si="8"/>
        <v>111</v>
      </c>
      <c r="R31" s="1386" t="s">
        <v>5</v>
      </c>
      <c r="S31" s="1387">
        <f t="shared" si="9"/>
        <v>100</v>
      </c>
      <c r="T31" s="1386" t="s">
        <v>5</v>
      </c>
      <c r="U31" s="1387">
        <f t="shared" si="10"/>
        <v>100</v>
      </c>
      <c r="V31" s="1386" t="s">
        <v>5</v>
      </c>
      <c r="W31" s="1387">
        <f t="shared" si="11"/>
        <v>100</v>
      </c>
      <c r="X31" s="1380"/>
      <c r="Y31" s="3962"/>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63" t="s">
        <v>499</v>
      </c>
      <c r="Q32" s="1385" t="str">
        <f t="shared" si="8"/>
        <v>商业类型</v>
      </c>
      <c r="R32" s="1386" t="s">
        <v>5</v>
      </c>
      <c r="S32" s="1387">
        <f t="shared" si="9"/>
        <v>100</v>
      </c>
      <c r="T32" s="1386" t="s">
        <v>5</v>
      </c>
      <c r="U32" s="1387">
        <f t="shared" si="10"/>
        <v>100</v>
      </c>
      <c r="V32" s="1386" t="s">
        <v>5</v>
      </c>
      <c r="W32" s="1387">
        <f t="shared" si="11"/>
        <v>100</v>
      </c>
      <c r="X32" s="1380"/>
      <c r="Y32" s="396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64"/>
      <c r="Q33" s="1414" t="str">
        <f t="shared" si="8"/>
        <v>项目建筑规模</v>
      </c>
      <c r="R33" s="1390" t="s">
        <v>5</v>
      </c>
      <c r="S33" s="1391" t="e">
        <f t="shared" si="9"/>
        <v>#N/A</v>
      </c>
      <c r="T33" s="1390" t="s">
        <v>5</v>
      </c>
      <c r="U33" s="1391" t="e">
        <f t="shared" si="10"/>
        <v>#N/A</v>
      </c>
      <c r="V33" s="1390" t="s">
        <v>5</v>
      </c>
      <c r="W33" s="1391" t="e">
        <f t="shared" si="11"/>
        <v>#N/A</v>
      </c>
      <c r="X33" s="1392"/>
      <c r="Y33" s="396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64"/>
      <c r="Q34" s="1385" t="str">
        <f t="shared" si="8"/>
        <v>建筑结构</v>
      </c>
      <c r="R34" s="1386" t="s">
        <v>5</v>
      </c>
      <c r="S34" s="1387">
        <f t="shared" si="9"/>
        <v>100</v>
      </c>
      <c r="T34" s="1386" t="s">
        <v>5</v>
      </c>
      <c r="U34" s="1387">
        <f t="shared" si="10"/>
        <v>100</v>
      </c>
      <c r="V34" s="1386" t="s">
        <v>5</v>
      </c>
      <c r="W34" s="1387">
        <f t="shared" si="11"/>
        <v>100</v>
      </c>
      <c r="X34" s="1380"/>
      <c r="Y34" s="396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64"/>
      <c r="Q35" s="1385" t="str">
        <f t="shared" si="8"/>
        <v>公共部分装修</v>
      </c>
      <c r="R35" s="1386" t="s">
        <v>5</v>
      </c>
      <c r="S35" s="1387">
        <f t="shared" si="9"/>
        <v>100</v>
      </c>
      <c r="T35" s="1386" t="s">
        <v>5</v>
      </c>
      <c r="U35" s="1387">
        <f t="shared" si="10"/>
        <v>100</v>
      </c>
      <c r="V35" s="1386" t="s">
        <v>5</v>
      </c>
      <c r="W35" s="1387">
        <f t="shared" si="11"/>
        <v>100</v>
      </c>
      <c r="X35" s="1380"/>
      <c r="Y35" s="396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64"/>
      <c r="Q36" s="1385" t="str">
        <f t="shared" si="8"/>
        <v>成新度</v>
      </c>
      <c r="R36" s="1386" t="s">
        <v>5</v>
      </c>
      <c r="S36" s="1387" t="e">
        <f t="shared" si="9"/>
        <v>#N/A</v>
      </c>
      <c r="T36" s="1386" t="s">
        <v>5</v>
      </c>
      <c r="U36" s="1387" t="e">
        <f t="shared" si="10"/>
        <v>#N/A</v>
      </c>
      <c r="V36" s="1386" t="s">
        <v>5</v>
      </c>
      <c r="W36" s="1387" t="e">
        <f t="shared" si="11"/>
        <v>#N/A</v>
      </c>
      <c r="X36" s="1380"/>
      <c r="Y36" s="396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64"/>
      <c r="Q37" s="1050" t="str">
        <f t="shared" si="8"/>
        <v>市政基础设施</v>
      </c>
      <c r="R37" s="1381" t="s">
        <v>5</v>
      </c>
      <c r="S37" s="1382">
        <f t="shared" si="9"/>
        <v>100</v>
      </c>
      <c r="T37" s="1381" t="s">
        <v>5</v>
      </c>
      <c r="U37" s="1382">
        <f t="shared" si="10"/>
        <v>100</v>
      </c>
      <c r="V37" s="1381" t="s">
        <v>5</v>
      </c>
      <c r="W37" s="1382">
        <f t="shared" si="11"/>
        <v>100</v>
      </c>
      <c r="X37" s="1383"/>
      <c r="Y37" s="396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64" t="s">
        <v>706</v>
      </c>
      <c r="Q38" s="1385" t="str">
        <f t="shared" si="8"/>
        <v>业态</v>
      </c>
      <c r="R38" s="1386" t="s">
        <v>5</v>
      </c>
      <c r="S38" s="1387">
        <f t="shared" si="9"/>
        <v>100</v>
      </c>
      <c r="T38" s="1386" t="s">
        <v>5</v>
      </c>
      <c r="U38" s="1387">
        <f t="shared" si="10"/>
        <v>100</v>
      </c>
      <c r="V38" s="1386" t="s">
        <v>5</v>
      </c>
      <c r="W38" s="1387">
        <f t="shared" si="11"/>
        <v>100</v>
      </c>
      <c r="X38" s="1380"/>
      <c r="Y38" s="396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64"/>
      <c r="Q39" s="1385" t="str">
        <f t="shared" si="8"/>
        <v>层高</v>
      </c>
      <c r="R39" s="1386" t="s">
        <v>5</v>
      </c>
      <c r="S39" s="1387">
        <f t="shared" si="9"/>
        <v>100</v>
      </c>
      <c r="T39" s="1386" t="s">
        <v>5</v>
      </c>
      <c r="U39" s="1387">
        <f t="shared" si="10"/>
        <v>100</v>
      </c>
      <c r="V39" s="1386" t="s">
        <v>5</v>
      </c>
      <c r="W39" s="1387">
        <f t="shared" si="11"/>
        <v>100</v>
      </c>
      <c r="X39" s="1380"/>
      <c r="Y39" s="396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64"/>
      <c r="Q40" s="1385" t="str">
        <f t="shared" si="8"/>
        <v>单套建筑面积</v>
      </c>
      <c r="R40" s="1386" t="s">
        <v>5</v>
      </c>
      <c r="S40" s="1387">
        <f t="shared" si="9"/>
        <v>100</v>
      </c>
      <c r="T40" s="1386" t="s">
        <v>5</v>
      </c>
      <c r="U40" s="1387">
        <f t="shared" si="10"/>
        <v>100</v>
      </c>
      <c r="V40" s="1386" t="s">
        <v>5</v>
      </c>
      <c r="W40" s="1387">
        <f t="shared" si="11"/>
        <v>100</v>
      </c>
      <c r="X40" s="1380"/>
      <c r="Y40" s="396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64"/>
      <c r="Q41" s="1414" t="str">
        <f t="shared" si="8"/>
        <v>进深比</v>
      </c>
      <c r="R41" s="1390" t="s">
        <v>5</v>
      </c>
      <c r="S41" s="1391">
        <f t="shared" si="9"/>
        <v>100</v>
      </c>
      <c r="T41" s="1390" t="s">
        <v>5</v>
      </c>
      <c r="U41" s="1391">
        <f t="shared" si="10"/>
        <v>100</v>
      </c>
      <c r="V41" s="1390" t="s">
        <v>5</v>
      </c>
      <c r="W41" s="1391">
        <f t="shared" si="11"/>
        <v>100</v>
      </c>
      <c r="X41" s="1392"/>
      <c r="Y41" s="396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64"/>
      <c r="Q42" s="1385" t="str">
        <f t="shared" si="8"/>
        <v>内部装修</v>
      </c>
      <c r="R42" s="1386" t="s">
        <v>5</v>
      </c>
      <c r="S42" s="1387">
        <f t="shared" si="9"/>
        <v>100</v>
      </c>
      <c r="T42" s="1386" t="s">
        <v>5</v>
      </c>
      <c r="U42" s="1387">
        <f t="shared" si="10"/>
        <v>100</v>
      </c>
      <c r="V42" s="1386" t="s">
        <v>5</v>
      </c>
      <c r="W42" s="1387">
        <f t="shared" si="11"/>
        <v>100</v>
      </c>
      <c r="X42" s="1380"/>
      <c r="Y42" s="3964"/>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64"/>
      <c r="Q43" s="1385" t="str">
        <f t="shared" si="8"/>
        <v>内部装修维护情况</v>
      </c>
      <c r="R43" s="1386" t="s">
        <v>5</v>
      </c>
      <c r="S43" s="1387">
        <f t="shared" si="9"/>
        <v>100</v>
      </c>
      <c r="T43" s="1386" t="s">
        <v>5</v>
      </c>
      <c r="U43" s="1387">
        <f t="shared" si="10"/>
        <v>100</v>
      </c>
      <c r="V43" s="1386" t="s">
        <v>5</v>
      </c>
      <c r="W43" s="1387">
        <f t="shared" si="11"/>
        <v>100</v>
      </c>
      <c r="X43" s="1380"/>
      <c r="Y43" s="396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64"/>
      <c r="Q44" s="1050">
        <f t="shared" si="8"/>
        <v>111</v>
      </c>
      <c r="R44" s="1381" t="s">
        <v>5</v>
      </c>
      <c r="S44" s="1382">
        <f t="shared" si="9"/>
        <v>100</v>
      </c>
      <c r="T44" s="1381" t="s">
        <v>5</v>
      </c>
      <c r="U44" s="1382">
        <f t="shared" si="10"/>
        <v>100</v>
      </c>
      <c r="V44" s="1381" t="s">
        <v>5</v>
      </c>
      <c r="W44" s="1382">
        <f t="shared" si="11"/>
        <v>100</v>
      </c>
      <c r="X44" s="1383"/>
      <c r="Y44" s="396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64"/>
      <c r="Q45" s="1385">
        <f t="shared" si="8"/>
        <v>111</v>
      </c>
      <c r="R45" s="1386" t="s">
        <v>5</v>
      </c>
      <c r="S45" s="1387">
        <f t="shared" si="9"/>
        <v>100</v>
      </c>
      <c r="T45" s="1386" t="s">
        <v>5</v>
      </c>
      <c r="U45" s="1387">
        <f t="shared" si="10"/>
        <v>100</v>
      </c>
      <c r="V45" s="1386" t="s">
        <v>5</v>
      </c>
      <c r="W45" s="1387">
        <f t="shared" si="11"/>
        <v>100</v>
      </c>
      <c r="X45" s="1380"/>
      <c r="Y45" s="3964"/>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82"/>
      <c r="Q46" s="1385">
        <f t="shared" si="8"/>
        <v>111</v>
      </c>
      <c r="R46" s="1386" t="s">
        <v>5</v>
      </c>
      <c r="S46" s="1387">
        <f t="shared" si="9"/>
        <v>100</v>
      </c>
      <c r="T46" s="1386" t="s">
        <v>5</v>
      </c>
      <c r="U46" s="1387">
        <f t="shared" si="10"/>
        <v>100</v>
      </c>
      <c r="V46" s="1386" t="s">
        <v>5</v>
      </c>
      <c r="W46" s="1387">
        <f t="shared" si="11"/>
        <v>100</v>
      </c>
      <c r="X46" s="1380"/>
      <c r="Y46" s="4082"/>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958" t="str">
        <f>A47</f>
        <v>成交单价（元/平方米）</v>
      </c>
      <c r="Q47" s="3958"/>
      <c r="R47" s="4081">
        <f>E47</f>
        <v>0</v>
      </c>
      <c r="S47" s="4081"/>
      <c r="T47" s="4081">
        <f>G47</f>
        <v>0</v>
      </c>
      <c r="U47" s="4081"/>
      <c r="V47" s="4081">
        <f>I47</f>
        <v>0</v>
      </c>
      <c r="W47" s="4081"/>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58" t="str">
        <f>A48</f>
        <v>比较价格（元/平方米）</v>
      </c>
      <c r="Q48" s="3958"/>
      <c r="R48" s="4081" t="e">
        <f>IF(F1="售价",ROUND(PRODUCT(R47,AA7:AA46),0),ROUND(PRODUCT(R47,AA7:AA46),1))</f>
        <v>#DIV/0!</v>
      </c>
      <c r="S48" s="4081"/>
      <c r="T48" s="4081" t="e">
        <f>IF(F1="售价",ROUND(PRODUCT(T47,AB7:AB46),0),ROUND(PRODUCT(T47,AB7:AB46),1))</f>
        <v>#DIV/0!</v>
      </c>
      <c r="U48" s="4081"/>
      <c r="V48" s="4081" t="e">
        <f>IF(F1="售价",ROUND(PRODUCT(V47,AC7:AC46),0),ROUND(PRODUCT(V47,AC7:AC46),1))</f>
        <v>#DIV/0!</v>
      </c>
      <c r="W48" s="4081"/>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55" t="str">
        <f>A49</f>
        <v>估价对象XX用房的比较价格（楼面单价，元/平方米）</v>
      </c>
      <c r="Q49" s="3956"/>
      <c r="R49" s="4080" t="e">
        <f>IF(F1="售价",ROUND(IF(D48="简单平均",AVERAGE(R48:V48),R48*F48+T48*H48+V48*J48),0),ROUND(IF(D48="简单平均",AVERAGE(R48:V48),R48*F48+T48*H48+V48*J48),1))</f>
        <v>#DIV/0!</v>
      </c>
      <c r="S49" s="4080"/>
      <c r="T49" s="4080"/>
      <c r="U49" s="4080"/>
      <c r="V49" s="4080"/>
      <c r="W49" s="4080"/>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2025-6</v>
      </c>
      <c r="D58" s="2284">
        <f>EDATE(C58,-1)</f>
        <v>45778</v>
      </c>
      <c r="E58" s="2284">
        <f t="shared" ref="E58:O58" si="13">EDATE(D58,-1)</f>
        <v>45748</v>
      </c>
      <c r="F58" s="2284">
        <f t="shared" si="13"/>
        <v>45717</v>
      </c>
      <c r="G58" s="2284">
        <f t="shared" si="13"/>
        <v>45689</v>
      </c>
      <c r="H58" s="2284">
        <f t="shared" si="13"/>
        <v>45658</v>
      </c>
      <c r="I58" s="2284">
        <f t="shared" si="13"/>
        <v>45627</v>
      </c>
      <c r="J58" s="2284">
        <f t="shared" si="13"/>
        <v>45597</v>
      </c>
      <c r="K58" s="2284">
        <f t="shared" si="13"/>
        <v>45566</v>
      </c>
      <c r="L58" s="2284">
        <f t="shared" si="13"/>
        <v>45536</v>
      </c>
      <c r="M58" s="2284">
        <f t="shared" si="13"/>
        <v>45505</v>
      </c>
      <c r="N58" s="2284">
        <f t="shared" si="13"/>
        <v>45474</v>
      </c>
      <c r="O58" s="2284">
        <f t="shared" si="13"/>
        <v>45444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970" t="s">
        <v>471</v>
      </c>
      <c r="D4" s="3971"/>
      <c r="E4" s="3972" t="s">
        <v>472</v>
      </c>
      <c r="F4" s="3973"/>
      <c r="G4" s="3970" t="s">
        <v>473</v>
      </c>
      <c r="H4" s="3971"/>
      <c r="I4" s="3970" t="s">
        <v>474</v>
      </c>
      <c r="J4" s="3971"/>
      <c r="K4" s="484" t="s">
        <v>475</v>
      </c>
      <c r="L4" s="1856"/>
      <c r="M4" s="1857"/>
      <c r="N4" s="1857"/>
      <c r="O4" s="1857"/>
      <c r="P4" s="4083" t="s">
        <v>476</v>
      </c>
      <c r="Q4" s="3975"/>
      <c r="R4" s="3980" t="s">
        <v>472</v>
      </c>
      <c r="S4" s="3981"/>
      <c r="T4" s="3980" t="s">
        <v>473</v>
      </c>
      <c r="U4" s="3981"/>
      <c r="V4" s="3960" t="s">
        <v>474</v>
      </c>
      <c r="W4" s="3960"/>
      <c r="X4" s="1380"/>
      <c r="Y4" s="3980" t="s">
        <v>476</v>
      </c>
      <c r="Z4" s="3981"/>
      <c r="AA4" s="3967" t="s">
        <v>472</v>
      </c>
      <c r="AB4" s="3967" t="s">
        <v>473</v>
      </c>
      <c r="AC4" s="3967" t="s">
        <v>474</v>
      </c>
    </row>
    <row r="5" spans="1:29">
      <c r="A5" s="485"/>
      <c r="B5" s="486"/>
      <c r="C5" s="3988" t="s">
        <v>2192</v>
      </c>
      <c r="D5" s="3989"/>
      <c r="E5" s="3986" t="s">
        <v>2193</v>
      </c>
      <c r="F5" s="3987"/>
      <c r="G5" s="3988" t="s">
        <v>2194</v>
      </c>
      <c r="H5" s="3989"/>
      <c r="I5" s="3988" t="s">
        <v>2195</v>
      </c>
      <c r="J5" s="3989"/>
      <c r="K5" s="484"/>
      <c r="L5" s="1856"/>
      <c r="M5" s="1857"/>
      <c r="N5" s="1857"/>
      <c r="O5" s="1857"/>
      <c r="P5" s="4084"/>
      <c r="Q5" s="3977"/>
      <c r="R5" s="3982"/>
      <c r="S5" s="3983"/>
      <c r="T5" s="3982"/>
      <c r="U5" s="3983"/>
      <c r="V5" s="3960"/>
      <c r="W5" s="3960"/>
      <c r="X5" s="1380"/>
      <c r="Y5" s="3982"/>
      <c r="Z5" s="3983"/>
      <c r="AA5" s="3968"/>
      <c r="AB5" s="3968"/>
      <c r="AC5" s="3968"/>
    </row>
    <row r="6" spans="1:29" ht="15" thickBot="1">
      <c r="A6" s="487"/>
      <c r="B6" s="488"/>
      <c r="C6" s="3990" t="s">
        <v>2196</v>
      </c>
      <c r="D6" s="3991"/>
      <c r="E6" s="3993" t="s">
        <v>2196</v>
      </c>
      <c r="F6" s="3994"/>
      <c r="G6" s="3990" t="s">
        <v>2196</v>
      </c>
      <c r="H6" s="3991"/>
      <c r="I6" s="3990" t="s">
        <v>2196</v>
      </c>
      <c r="J6" s="3991"/>
      <c r="K6" s="484" t="s">
        <v>477</v>
      </c>
      <c r="L6" s="1856"/>
      <c r="M6" s="1857"/>
      <c r="N6" s="1857"/>
      <c r="O6" s="1857"/>
      <c r="P6" s="4085"/>
      <c r="Q6" s="3979"/>
      <c r="R6" s="3982"/>
      <c r="S6" s="3983"/>
      <c r="T6" s="3984"/>
      <c r="U6" s="3985"/>
      <c r="V6" s="3960"/>
      <c r="W6" s="3960"/>
      <c r="X6" s="1380"/>
      <c r="Y6" s="3984"/>
      <c r="Z6" s="3985"/>
      <c r="AA6" s="3969"/>
      <c r="AB6" s="3969"/>
      <c r="AC6" s="3969"/>
    </row>
    <row r="7" spans="1:29" s="1118" customFormat="1" ht="15" thickBot="1">
      <c r="A7" s="2392"/>
      <c r="B7" s="2399" t="s">
        <v>478</v>
      </c>
      <c r="C7" s="489">
        <f>'数据-取费表'!B2</f>
        <v>45833</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92" t="s">
        <v>479</v>
      </c>
      <c r="Q7" s="3992"/>
      <c r="R7" s="1381" t="s">
        <v>5</v>
      </c>
      <c r="S7" s="1382">
        <f t="shared" ref="S7:S15" si="0">F7</f>
        <v>0</v>
      </c>
      <c r="T7" s="1381" t="s">
        <v>5</v>
      </c>
      <c r="U7" s="1382">
        <f t="shared" ref="U7:U15" si="1">H7</f>
        <v>0</v>
      </c>
      <c r="V7" s="1381" t="s">
        <v>5</v>
      </c>
      <c r="W7" s="1382">
        <f t="shared" ref="W7:W15" si="2">J7</f>
        <v>0</v>
      </c>
      <c r="X7" s="1383"/>
      <c r="Y7" s="3965" t="s">
        <v>479</v>
      </c>
      <c r="Z7" s="3966"/>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92" t="s">
        <v>482</v>
      </c>
      <c r="Q8" s="3966"/>
      <c r="R8" s="1381" t="s">
        <v>5</v>
      </c>
      <c r="S8" s="1382">
        <f t="shared" si="0"/>
        <v>0</v>
      </c>
      <c r="T8" s="1381" t="s">
        <v>5</v>
      </c>
      <c r="U8" s="1382">
        <f t="shared" si="1"/>
        <v>0</v>
      </c>
      <c r="V8" s="1381" t="s">
        <v>5</v>
      </c>
      <c r="W8" s="1382">
        <f t="shared" si="2"/>
        <v>0</v>
      </c>
      <c r="X8" s="1383"/>
      <c r="Y8" s="3965" t="s">
        <v>482</v>
      </c>
      <c r="Z8" s="3966"/>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58" t="s">
        <v>484</v>
      </c>
      <c r="Q9" s="1050" t="str">
        <f t="shared" ref="Q9:Q15" si="6">B9</f>
        <v>用途</v>
      </c>
      <c r="R9" s="1381" t="s">
        <v>5</v>
      </c>
      <c r="S9" s="1382">
        <f t="shared" si="0"/>
        <v>100</v>
      </c>
      <c r="T9" s="1381" t="s">
        <v>5</v>
      </c>
      <c r="U9" s="1382">
        <f t="shared" si="1"/>
        <v>100</v>
      </c>
      <c r="V9" s="1381" t="s">
        <v>5</v>
      </c>
      <c r="W9" s="1382">
        <f t="shared" si="2"/>
        <v>100</v>
      </c>
      <c r="X9" s="1383"/>
      <c r="Y9" s="3903"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958"/>
      <c r="Q10" s="1050" t="str">
        <f t="shared" si="6"/>
        <v>土地使用年限（年）</v>
      </c>
      <c r="R10" s="1381" t="s">
        <v>5</v>
      </c>
      <c r="S10" s="1382">
        <f t="shared" si="0"/>
        <v>100</v>
      </c>
      <c r="T10" s="1381" t="s">
        <v>5</v>
      </c>
      <c r="U10" s="1382">
        <f t="shared" si="1"/>
        <v>100</v>
      </c>
      <c r="V10" s="1381" t="s">
        <v>5</v>
      </c>
      <c r="W10" s="1382">
        <f t="shared" si="2"/>
        <v>100</v>
      </c>
      <c r="X10" s="1383"/>
      <c r="Y10" s="390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58"/>
      <c r="Q11" s="1050" t="str">
        <f t="shared" si="6"/>
        <v>容积率</v>
      </c>
      <c r="R11" s="1381" t="s">
        <v>5</v>
      </c>
      <c r="S11" s="1382" t="e">
        <f t="shared" si="0"/>
        <v>#N/A</v>
      </c>
      <c r="T11" s="1381" t="s">
        <v>5</v>
      </c>
      <c r="U11" s="1382" t="e">
        <f t="shared" si="1"/>
        <v>#N/A</v>
      </c>
      <c r="V11" s="1381" t="s">
        <v>5</v>
      </c>
      <c r="W11" s="1382" t="e">
        <f t="shared" si="2"/>
        <v>#N/A</v>
      </c>
      <c r="X11" s="1383"/>
      <c r="Y11" s="390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58"/>
      <c r="Q12" s="1050">
        <f t="shared" si="6"/>
        <v>111</v>
      </c>
      <c r="R12" s="1381" t="s">
        <v>5</v>
      </c>
      <c r="S12" s="1382">
        <f t="shared" si="0"/>
        <v>100</v>
      </c>
      <c r="T12" s="1381" t="s">
        <v>5</v>
      </c>
      <c r="U12" s="1382">
        <f t="shared" si="1"/>
        <v>100</v>
      </c>
      <c r="V12" s="1381" t="s">
        <v>5</v>
      </c>
      <c r="W12" s="1382">
        <f t="shared" si="2"/>
        <v>100</v>
      </c>
      <c r="X12" s="1383"/>
      <c r="Y12" s="390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58"/>
      <c r="Q13" s="1050">
        <f t="shared" si="6"/>
        <v>111</v>
      </c>
      <c r="R13" s="1381" t="s">
        <v>5</v>
      </c>
      <c r="S13" s="1382">
        <f t="shared" si="0"/>
        <v>100</v>
      </c>
      <c r="T13" s="1381" t="s">
        <v>5</v>
      </c>
      <c r="U13" s="1382">
        <f t="shared" si="1"/>
        <v>100</v>
      </c>
      <c r="V13" s="1381" t="s">
        <v>5</v>
      </c>
      <c r="W13" s="1382">
        <f t="shared" si="2"/>
        <v>100</v>
      </c>
      <c r="X13" s="1383"/>
      <c r="Y13" s="3903"/>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58"/>
      <c r="Q14" s="1050">
        <f t="shared" si="6"/>
        <v>111</v>
      </c>
      <c r="R14" s="1381" t="s">
        <v>5</v>
      </c>
      <c r="S14" s="1382">
        <f t="shared" si="0"/>
        <v>100</v>
      </c>
      <c r="T14" s="1381" t="s">
        <v>5</v>
      </c>
      <c r="U14" s="1382">
        <f t="shared" si="1"/>
        <v>100</v>
      </c>
      <c r="V14" s="1381" t="s">
        <v>5</v>
      </c>
      <c r="W14" s="1382">
        <f t="shared" si="2"/>
        <v>100</v>
      </c>
      <c r="X14" s="1383"/>
      <c r="Y14" s="3903"/>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61" t="s">
        <v>489</v>
      </c>
      <c r="Q15" s="1385" t="str">
        <f t="shared" si="6"/>
        <v>办公集聚程度</v>
      </c>
      <c r="R15" s="1386" t="s">
        <v>5</v>
      </c>
      <c r="S15" s="1387">
        <f t="shared" si="0"/>
        <v>100</v>
      </c>
      <c r="T15" s="1386" t="s">
        <v>5</v>
      </c>
      <c r="U15" s="1387">
        <f t="shared" si="1"/>
        <v>100</v>
      </c>
      <c r="V15" s="1386" t="s">
        <v>5</v>
      </c>
      <c r="W15" s="1387">
        <f t="shared" si="2"/>
        <v>100</v>
      </c>
      <c r="X15" s="1380"/>
      <c r="Y15" s="396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62"/>
      <c r="Q16" s="1385"/>
      <c r="R16" s="1386"/>
      <c r="S16" s="1387"/>
      <c r="T16" s="1386"/>
      <c r="U16" s="1387"/>
      <c r="V16" s="1386"/>
      <c r="W16" s="1387"/>
      <c r="X16" s="1380"/>
      <c r="Y16" s="3962"/>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62"/>
      <c r="Q17" s="1385" t="str">
        <f>B17</f>
        <v>交通便捷度</v>
      </c>
      <c r="R17" s="1386" t="s">
        <v>5</v>
      </c>
      <c r="S17" s="1387">
        <f>F17</f>
        <v>100</v>
      </c>
      <c r="T17" s="1386" t="s">
        <v>5</v>
      </c>
      <c r="U17" s="1387">
        <f>H17</f>
        <v>100</v>
      </c>
      <c r="V17" s="1386" t="s">
        <v>5</v>
      </c>
      <c r="W17" s="1387">
        <f>J17</f>
        <v>100</v>
      </c>
      <c r="X17" s="1380"/>
      <c r="Y17" s="396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62"/>
      <c r="Q18" s="1385"/>
      <c r="R18" s="1386"/>
      <c r="S18" s="1387"/>
      <c r="T18" s="1386"/>
      <c r="U18" s="1387"/>
      <c r="V18" s="1386"/>
      <c r="W18" s="1387"/>
      <c r="X18" s="1380"/>
      <c r="Y18" s="3962"/>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62"/>
      <c r="Q19" s="1385" t="str">
        <f>B19</f>
        <v>公共配套设施</v>
      </c>
      <c r="R19" s="1386" t="s">
        <v>5</v>
      </c>
      <c r="S19" s="1387">
        <f>F19</f>
        <v>100</v>
      </c>
      <c r="T19" s="1386" t="s">
        <v>5</v>
      </c>
      <c r="U19" s="1387">
        <f>H19</f>
        <v>100</v>
      </c>
      <c r="V19" s="1386" t="s">
        <v>5</v>
      </c>
      <c r="W19" s="1387">
        <f>J19</f>
        <v>100</v>
      </c>
      <c r="X19" s="1380"/>
      <c r="Y19" s="396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62"/>
      <c r="Q20" s="1385"/>
      <c r="R20" s="1386"/>
      <c r="S20" s="1387"/>
      <c r="T20" s="1386"/>
      <c r="U20" s="1387"/>
      <c r="V20" s="1386"/>
      <c r="W20" s="1387"/>
      <c r="X20" s="1380"/>
      <c r="Y20" s="3962"/>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62"/>
      <c r="Q21" s="2193" t="str">
        <f>B21</f>
        <v>基础设施水平</v>
      </c>
      <c r="R21" s="1386" t="s">
        <v>5</v>
      </c>
      <c r="S21" s="1387">
        <f>F21</f>
        <v>100</v>
      </c>
      <c r="T21" s="1386" t="s">
        <v>5</v>
      </c>
      <c r="U21" s="1387">
        <f>H21</f>
        <v>100</v>
      </c>
      <c r="V21" s="1386" t="s">
        <v>5</v>
      </c>
      <c r="W21" s="1387">
        <f>J21</f>
        <v>100</v>
      </c>
      <c r="X21" s="2195"/>
      <c r="Y21" s="396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62"/>
      <c r="Q22" s="2193"/>
      <c r="R22" s="1386"/>
      <c r="S22" s="1387"/>
      <c r="T22" s="1386"/>
      <c r="U22" s="1387"/>
      <c r="V22" s="1386"/>
      <c r="W22" s="1387"/>
      <c r="X22" s="2195"/>
      <c r="Y22" s="3962"/>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62"/>
      <c r="Q23" s="1385" t="str">
        <f>B23</f>
        <v>环境质量</v>
      </c>
      <c r="R23" s="1386" t="s">
        <v>5</v>
      </c>
      <c r="S23" s="1387">
        <f>F23</f>
        <v>100</v>
      </c>
      <c r="T23" s="1386" t="s">
        <v>5</v>
      </c>
      <c r="U23" s="1387">
        <f>H23</f>
        <v>100</v>
      </c>
      <c r="V23" s="1386" t="s">
        <v>5</v>
      </c>
      <c r="W23" s="1387">
        <f>J23</f>
        <v>100</v>
      </c>
      <c r="X23" s="1380"/>
      <c r="Y23" s="396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62"/>
      <c r="Q24" s="1385"/>
      <c r="R24" s="1386"/>
      <c r="S24" s="1387"/>
      <c r="T24" s="1386"/>
      <c r="U24" s="1387"/>
      <c r="V24" s="1386"/>
      <c r="W24" s="1387"/>
      <c r="X24" s="1380"/>
      <c r="Y24" s="3962"/>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62"/>
      <c r="Q25" s="1385" t="str">
        <f>B25</f>
        <v>毗邻道路的类型与等级</v>
      </c>
      <c r="R25" s="1386" t="s">
        <v>5</v>
      </c>
      <c r="S25" s="1387">
        <f>F25</f>
        <v>100</v>
      </c>
      <c r="T25" s="1386" t="s">
        <v>5</v>
      </c>
      <c r="U25" s="1387">
        <f>H25</f>
        <v>100</v>
      </c>
      <c r="V25" s="1386" t="s">
        <v>5</v>
      </c>
      <c r="W25" s="1387">
        <f>J25</f>
        <v>100</v>
      </c>
      <c r="X25" s="1380"/>
      <c r="Y25" s="396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62"/>
      <c r="Q26" s="1385"/>
      <c r="R26" s="1386"/>
      <c r="S26" s="1387"/>
      <c r="T26" s="1386"/>
      <c r="U26" s="1387"/>
      <c r="V26" s="1386"/>
      <c r="W26" s="1387"/>
      <c r="X26" s="1380"/>
      <c r="Y26" s="396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62"/>
      <c r="Q27" s="1385" t="str">
        <f t="shared" ref="Q27:Q47" si="8">B27</f>
        <v>楼层</v>
      </c>
      <c r="R27" s="1386" t="s">
        <v>5</v>
      </c>
      <c r="S27" s="1387">
        <f>F27</f>
        <v>100</v>
      </c>
      <c r="T27" s="1386" t="s">
        <v>5</v>
      </c>
      <c r="U27" s="1387">
        <f>H27</f>
        <v>100</v>
      </c>
      <c r="V27" s="1386" t="s">
        <v>5</v>
      </c>
      <c r="W27" s="1387">
        <f>J27</f>
        <v>100</v>
      </c>
      <c r="X27" s="1380"/>
      <c r="Y27" s="396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62"/>
      <c r="Q28" s="1050" t="str">
        <f t="shared" si="8"/>
        <v>朝向</v>
      </c>
      <c r="R28" s="1381" t="s">
        <v>5</v>
      </c>
      <c r="S28" s="1382">
        <f>F28</f>
        <v>100</v>
      </c>
      <c r="T28" s="1381" t="s">
        <v>5</v>
      </c>
      <c r="U28" s="1382">
        <f>H28</f>
        <v>100</v>
      </c>
      <c r="V28" s="1381" t="s">
        <v>5</v>
      </c>
      <c r="W28" s="1382">
        <f>J28</f>
        <v>100</v>
      </c>
      <c r="X28" s="1383"/>
      <c r="Y28" s="396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62"/>
      <c r="Q29" s="1385">
        <f t="shared" si="8"/>
        <v>111</v>
      </c>
      <c r="R29" s="1386" t="s">
        <v>5</v>
      </c>
      <c r="S29" s="1387">
        <f t="shared" ref="S29:S47" si="9">F29</f>
        <v>100</v>
      </c>
      <c r="T29" s="1386" t="s">
        <v>5</v>
      </c>
      <c r="U29" s="1387">
        <f t="shared" ref="U29:U47" si="10">H29</f>
        <v>100</v>
      </c>
      <c r="V29" s="1386" t="s">
        <v>5</v>
      </c>
      <c r="W29" s="1387">
        <f t="shared" ref="W29:W47" si="11">J29</f>
        <v>100</v>
      </c>
      <c r="X29" s="1380"/>
      <c r="Y29" s="396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62"/>
      <c r="Q30" s="1385">
        <f t="shared" si="8"/>
        <v>111</v>
      </c>
      <c r="R30" s="1386" t="s">
        <v>5</v>
      </c>
      <c r="S30" s="1387">
        <f t="shared" si="9"/>
        <v>100</v>
      </c>
      <c r="T30" s="1386" t="s">
        <v>5</v>
      </c>
      <c r="U30" s="1387">
        <f t="shared" si="10"/>
        <v>100</v>
      </c>
      <c r="V30" s="1386" t="s">
        <v>5</v>
      </c>
      <c r="W30" s="1387">
        <f t="shared" si="11"/>
        <v>100</v>
      </c>
      <c r="X30" s="1380"/>
      <c r="Y30" s="396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62"/>
      <c r="Q31" s="1385">
        <f t="shared" si="8"/>
        <v>111</v>
      </c>
      <c r="R31" s="1386" t="s">
        <v>5</v>
      </c>
      <c r="S31" s="1387">
        <f t="shared" si="9"/>
        <v>100</v>
      </c>
      <c r="T31" s="1386" t="s">
        <v>5</v>
      </c>
      <c r="U31" s="1387">
        <f t="shared" si="10"/>
        <v>100</v>
      </c>
      <c r="V31" s="1386" t="s">
        <v>5</v>
      </c>
      <c r="W31" s="1387">
        <f t="shared" si="11"/>
        <v>100</v>
      </c>
      <c r="X31" s="1380"/>
      <c r="Y31" s="3962"/>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62"/>
      <c r="Q32" s="1385">
        <f t="shared" si="8"/>
        <v>111</v>
      </c>
      <c r="R32" s="1386" t="s">
        <v>5</v>
      </c>
      <c r="S32" s="1387">
        <f t="shared" si="9"/>
        <v>100</v>
      </c>
      <c r="T32" s="1386" t="s">
        <v>5</v>
      </c>
      <c r="U32" s="1387">
        <f t="shared" si="10"/>
        <v>100</v>
      </c>
      <c r="V32" s="1386" t="s">
        <v>5</v>
      </c>
      <c r="W32" s="1387">
        <f t="shared" si="11"/>
        <v>100</v>
      </c>
      <c r="X32" s="1380"/>
      <c r="Y32" s="3962"/>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63" t="s">
        <v>499</v>
      </c>
      <c r="Q33" s="1385" t="str">
        <f t="shared" si="8"/>
        <v>建筑类型</v>
      </c>
      <c r="R33" s="1386" t="s">
        <v>5</v>
      </c>
      <c r="S33" s="1387">
        <f t="shared" si="9"/>
        <v>100</v>
      </c>
      <c r="T33" s="1386" t="s">
        <v>5</v>
      </c>
      <c r="U33" s="1387">
        <f t="shared" si="10"/>
        <v>100</v>
      </c>
      <c r="V33" s="1386" t="s">
        <v>5</v>
      </c>
      <c r="W33" s="1387">
        <f t="shared" si="11"/>
        <v>100</v>
      </c>
      <c r="X33" s="1380"/>
      <c r="Y33" s="396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64"/>
      <c r="Q34" s="1414" t="str">
        <f t="shared" si="8"/>
        <v>项目建筑规模</v>
      </c>
      <c r="R34" s="1390" t="s">
        <v>5</v>
      </c>
      <c r="S34" s="1391" t="e">
        <f t="shared" si="9"/>
        <v>#N/A</v>
      </c>
      <c r="T34" s="1390" t="s">
        <v>5</v>
      </c>
      <c r="U34" s="1391" t="e">
        <f t="shared" si="10"/>
        <v>#N/A</v>
      </c>
      <c r="V34" s="1390" t="s">
        <v>5</v>
      </c>
      <c r="W34" s="1391" t="e">
        <f t="shared" si="11"/>
        <v>#N/A</v>
      </c>
      <c r="X34" s="1392"/>
      <c r="Y34" s="396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64"/>
      <c r="Q35" s="1385" t="str">
        <f t="shared" si="8"/>
        <v>建筑结构</v>
      </c>
      <c r="R35" s="1386" t="s">
        <v>5</v>
      </c>
      <c r="S35" s="1387">
        <f t="shared" si="9"/>
        <v>100</v>
      </c>
      <c r="T35" s="1386" t="s">
        <v>5</v>
      </c>
      <c r="U35" s="1387">
        <f t="shared" si="10"/>
        <v>100</v>
      </c>
      <c r="V35" s="1386" t="s">
        <v>5</v>
      </c>
      <c r="W35" s="1387">
        <f t="shared" si="11"/>
        <v>100</v>
      </c>
      <c r="X35" s="1380"/>
      <c r="Y35" s="396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64"/>
      <c r="Q36" s="1385" t="str">
        <f t="shared" si="8"/>
        <v>公共部分装修</v>
      </c>
      <c r="R36" s="1386" t="s">
        <v>5</v>
      </c>
      <c r="S36" s="1387">
        <f t="shared" si="9"/>
        <v>100</v>
      </c>
      <c r="T36" s="1386" t="s">
        <v>5</v>
      </c>
      <c r="U36" s="1387">
        <f t="shared" si="10"/>
        <v>100</v>
      </c>
      <c r="V36" s="1386" t="s">
        <v>5</v>
      </c>
      <c r="W36" s="1387">
        <f t="shared" si="11"/>
        <v>100</v>
      </c>
      <c r="X36" s="1380"/>
      <c r="Y36" s="396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64"/>
      <c r="Q37" s="1385" t="str">
        <f t="shared" si="8"/>
        <v>成新度</v>
      </c>
      <c r="R37" s="1386" t="s">
        <v>5</v>
      </c>
      <c r="S37" s="1387" t="e">
        <f t="shared" si="9"/>
        <v>#N/A</v>
      </c>
      <c r="T37" s="1386" t="s">
        <v>5</v>
      </c>
      <c r="U37" s="1387" t="e">
        <f t="shared" si="10"/>
        <v>#N/A</v>
      </c>
      <c r="V37" s="1386" t="s">
        <v>5</v>
      </c>
      <c r="W37" s="1387" t="e">
        <f t="shared" si="11"/>
        <v>#N/A</v>
      </c>
      <c r="X37" s="1380"/>
      <c r="Y37" s="396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64"/>
      <c r="Q38" s="1050" t="str">
        <f t="shared" si="8"/>
        <v>写字楼等级</v>
      </c>
      <c r="R38" s="1381" t="s">
        <v>5</v>
      </c>
      <c r="S38" s="1382">
        <f t="shared" si="9"/>
        <v>100</v>
      </c>
      <c r="T38" s="1381" t="s">
        <v>5</v>
      </c>
      <c r="U38" s="1382">
        <f t="shared" si="10"/>
        <v>100</v>
      </c>
      <c r="V38" s="1381" t="s">
        <v>5</v>
      </c>
      <c r="W38" s="1382">
        <f t="shared" si="11"/>
        <v>100</v>
      </c>
      <c r="X38" s="1383"/>
      <c r="Y38" s="396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64" t="s">
        <v>499</v>
      </c>
      <c r="Q39" s="1385" t="str">
        <f t="shared" si="8"/>
        <v>物业管理</v>
      </c>
      <c r="R39" s="1386" t="s">
        <v>5</v>
      </c>
      <c r="S39" s="1387">
        <f t="shared" si="9"/>
        <v>100</v>
      </c>
      <c r="T39" s="1386" t="s">
        <v>5</v>
      </c>
      <c r="U39" s="1387">
        <f t="shared" si="10"/>
        <v>100</v>
      </c>
      <c r="V39" s="1386" t="s">
        <v>5</v>
      </c>
      <c r="W39" s="1387">
        <f t="shared" si="11"/>
        <v>100</v>
      </c>
      <c r="X39" s="1380"/>
      <c r="Y39" s="396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64"/>
      <c r="Q40" s="1385" t="str">
        <f t="shared" si="8"/>
        <v>市政基础设施</v>
      </c>
      <c r="R40" s="1386" t="s">
        <v>5</v>
      </c>
      <c r="S40" s="1387">
        <f t="shared" si="9"/>
        <v>100</v>
      </c>
      <c r="T40" s="1386" t="s">
        <v>5</v>
      </c>
      <c r="U40" s="1387">
        <f t="shared" si="10"/>
        <v>100</v>
      </c>
      <c r="V40" s="1386" t="s">
        <v>5</v>
      </c>
      <c r="W40" s="1387">
        <f t="shared" si="11"/>
        <v>100</v>
      </c>
      <c r="X40" s="1380"/>
      <c r="Y40" s="396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64"/>
      <c r="Q41" s="1385" t="str">
        <f t="shared" si="8"/>
        <v>层高</v>
      </c>
      <c r="R41" s="1386" t="s">
        <v>5</v>
      </c>
      <c r="S41" s="1387">
        <f t="shared" si="9"/>
        <v>100</v>
      </c>
      <c r="T41" s="1386" t="s">
        <v>5</v>
      </c>
      <c r="U41" s="1387">
        <f t="shared" si="10"/>
        <v>100</v>
      </c>
      <c r="V41" s="1386" t="s">
        <v>5</v>
      </c>
      <c r="W41" s="1387">
        <f t="shared" si="11"/>
        <v>100</v>
      </c>
      <c r="X41" s="1380"/>
      <c r="Y41" s="396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64"/>
      <c r="Q42" s="1414" t="str">
        <f t="shared" si="8"/>
        <v>单套建筑面积</v>
      </c>
      <c r="R42" s="1390" t="s">
        <v>5</v>
      </c>
      <c r="S42" s="1391">
        <f t="shared" si="9"/>
        <v>100</v>
      </c>
      <c r="T42" s="1390" t="s">
        <v>5</v>
      </c>
      <c r="U42" s="1391">
        <f t="shared" si="10"/>
        <v>100</v>
      </c>
      <c r="V42" s="1390" t="s">
        <v>5</v>
      </c>
      <c r="W42" s="1391">
        <f t="shared" si="11"/>
        <v>100</v>
      </c>
      <c r="X42" s="1392"/>
      <c r="Y42" s="396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64"/>
      <c r="Q43" s="1385" t="str">
        <f t="shared" si="8"/>
        <v>内部装修</v>
      </c>
      <c r="R43" s="1386" t="s">
        <v>5</v>
      </c>
      <c r="S43" s="1387">
        <f t="shared" si="9"/>
        <v>100</v>
      </c>
      <c r="T43" s="1386" t="s">
        <v>5</v>
      </c>
      <c r="U43" s="1387">
        <f t="shared" si="10"/>
        <v>100</v>
      </c>
      <c r="V43" s="1386" t="s">
        <v>5</v>
      </c>
      <c r="W43" s="1387">
        <f t="shared" si="11"/>
        <v>100</v>
      </c>
      <c r="X43" s="1380"/>
      <c r="Y43" s="3964"/>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64"/>
      <c r="Q44" s="1385" t="str">
        <f t="shared" si="8"/>
        <v>内部装修维护情况</v>
      </c>
      <c r="R44" s="1386" t="s">
        <v>5</v>
      </c>
      <c r="S44" s="1387">
        <f t="shared" si="9"/>
        <v>100</v>
      </c>
      <c r="T44" s="1386" t="s">
        <v>5</v>
      </c>
      <c r="U44" s="1387">
        <f t="shared" si="10"/>
        <v>100</v>
      </c>
      <c r="V44" s="1386" t="s">
        <v>5</v>
      </c>
      <c r="W44" s="1387">
        <f t="shared" si="11"/>
        <v>100</v>
      </c>
      <c r="X44" s="1380"/>
      <c r="Y44" s="396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64"/>
      <c r="Q45" s="1050">
        <f t="shared" si="8"/>
        <v>111</v>
      </c>
      <c r="R45" s="1381" t="s">
        <v>5</v>
      </c>
      <c r="S45" s="1382">
        <f t="shared" si="9"/>
        <v>100</v>
      </c>
      <c r="T45" s="1381" t="s">
        <v>5</v>
      </c>
      <c r="U45" s="1382">
        <f t="shared" si="10"/>
        <v>100</v>
      </c>
      <c r="V45" s="1381" t="s">
        <v>5</v>
      </c>
      <c r="W45" s="1382">
        <f t="shared" si="11"/>
        <v>100</v>
      </c>
      <c r="X45" s="1383"/>
      <c r="Y45" s="396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64"/>
      <c r="Q46" s="1385">
        <f t="shared" si="8"/>
        <v>111</v>
      </c>
      <c r="R46" s="1386" t="s">
        <v>5</v>
      </c>
      <c r="S46" s="1387">
        <f t="shared" si="9"/>
        <v>100</v>
      </c>
      <c r="T46" s="1386" t="s">
        <v>5</v>
      </c>
      <c r="U46" s="1387">
        <f t="shared" si="10"/>
        <v>100</v>
      </c>
      <c r="V46" s="1386" t="s">
        <v>5</v>
      </c>
      <c r="W46" s="1387">
        <f t="shared" si="11"/>
        <v>100</v>
      </c>
      <c r="X46" s="1380"/>
      <c r="Y46" s="3964"/>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82"/>
      <c r="Q47" s="1385">
        <f t="shared" si="8"/>
        <v>111</v>
      </c>
      <c r="R47" s="1386" t="s">
        <v>5</v>
      </c>
      <c r="S47" s="1387">
        <f t="shared" si="9"/>
        <v>100</v>
      </c>
      <c r="T47" s="1386" t="s">
        <v>5</v>
      </c>
      <c r="U47" s="1387">
        <f t="shared" si="10"/>
        <v>100</v>
      </c>
      <c r="V47" s="1386" t="s">
        <v>5</v>
      </c>
      <c r="W47" s="1387">
        <f t="shared" si="11"/>
        <v>100</v>
      </c>
      <c r="X47" s="1380"/>
      <c r="Y47" s="4082"/>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56" t="str">
        <f>A48</f>
        <v>成交单价（元/平方米）</v>
      </c>
      <c r="Q48" s="3958"/>
      <c r="R48" s="4081">
        <f>E48</f>
        <v>0</v>
      </c>
      <c r="S48" s="4081"/>
      <c r="T48" s="4081">
        <f>G48</f>
        <v>0</v>
      </c>
      <c r="U48" s="4081"/>
      <c r="V48" s="4081">
        <f>I48</f>
        <v>0</v>
      </c>
      <c r="W48" s="4081"/>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56" t="str">
        <f>A49</f>
        <v>比较价格（元/平方米）</v>
      </c>
      <c r="Q49" s="3958"/>
      <c r="R49" s="4081" t="e">
        <f>IF(F1="售价",ROUND(PRODUCT(R48,AA7:AA47),0),ROUND(PRODUCT(R48,AA7:AA47),1))</f>
        <v>#DIV/0!</v>
      </c>
      <c r="S49" s="4081"/>
      <c r="T49" s="4081" t="e">
        <f>IF(F1="售价",ROUND(PRODUCT(T48,AB7:AB47),0),ROUND(PRODUCT(T48,AB7:AB47),1))</f>
        <v>#DIV/0!</v>
      </c>
      <c r="U49" s="4081"/>
      <c r="V49" s="4081" t="e">
        <f>IF(F1="售价",ROUND(PRODUCT(V48,AC7:AC47),0),ROUND(PRODUCT(V48,AC7:AC47),1))</f>
        <v>#DIV/0!</v>
      </c>
      <c r="W49" s="4081"/>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86" t="str">
        <f>A50</f>
        <v>估价对象XX用房的比较价格（楼面单价，元/平方米）</v>
      </c>
      <c r="Q50" s="3956"/>
      <c r="R50" s="4080" t="e">
        <f>IF(F1="售价",ROUND(IF(D49="简单平均",AVERAGE(R49:V49),R49*F49+T49*H49+V49*J49),0),ROUND(IF(D49="简单平均",AVERAGE(R49:V49),R49*F49+T49*H49+V49*J49),1))</f>
        <v>#DIV/0!</v>
      </c>
      <c r="S50" s="4080"/>
      <c r="T50" s="4080"/>
      <c r="U50" s="4080"/>
      <c r="V50" s="4080"/>
      <c r="W50" s="4080"/>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2025-6</v>
      </c>
      <c r="D59" s="2284">
        <f>EDATE(C59,-1)</f>
        <v>45778</v>
      </c>
      <c r="E59" s="2284">
        <f t="shared" ref="E59:O59" si="13">EDATE(D59,-1)</f>
        <v>45748</v>
      </c>
      <c r="F59" s="2284">
        <f t="shared" si="13"/>
        <v>45717</v>
      </c>
      <c r="G59" s="2284">
        <f t="shared" si="13"/>
        <v>45689</v>
      </c>
      <c r="H59" s="2284">
        <f t="shared" si="13"/>
        <v>45658</v>
      </c>
      <c r="I59" s="2284">
        <f t="shared" si="13"/>
        <v>45627</v>
      </c>
      <c r="J59" s="2284">
        <f t="shared" si="13"/>
        <v>45597</v>
      </c>
      <c r="K59" s="2284">
        <f t="shared" si="13"/>
        <v>45566</v>
      </c>
      <c r="L59" s="2284">
        <f t="shared" si="13"/>
        <v>45536</v>
      </c>
      <c r="M59" s="2284">
        <f t="shared" si="13"/>
        <v>45505</v>
      </c>
      <c r="N59" s="2284">
        <f t="shared" si="13"/>
        <v>45474</v>
      </c>
      <c r="O59" s="2284">
        <f t="shared" si="13"/>
        <v>45444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970" t="s">
        <v>471</v>
      </c>
      <c r="D4" s="3971"/>
      <c r="E4" s="3972" t="s">
        <v>472</v>
      </c>
      <c r="F4" s="3973"/>
      <c r="G4" s="3970" t="s">
        <v>473</v>
      </c>
      <c r="H4" s="3971"/>
      <c r="I4" s="3970" t="s">
        <v>474</v>
      </c>
      <c r="J4" s="3971"/>
      <c r="K4" s="484" t="s">
        <v>475</v>
      </c>
      <c r="L4" s="1856"/>
      <c r="M4" s="1857"/>
      <c r="N4" s="1857"/>
      <c r="O4" s="1857"/>
      <c r="P4" s="3974" t="s">
        <v>476</v>
      </c>
      <c r="Q4" s="3975"/>
      <c r="R4" s="3980" t="s">
        <v>472</v>
      </c>
      <c r="S4" s="3981"/>
      <c r="T4" s="3980" t="s">
        <v>473</v>
      </c>
      <c r="U4" s="3981"/>
      <c r="V4" s="3960" t="s">
        <v>474</v>
      </c>
      <c r="W4" s="3960"/>
      <c r="X4" s="1380"/>
      <c r="Y4" s="3980" t="s">
        <v>476</v>
      </c>
      <c r="Z4" s="3981"/>
      <c r="AA4" s="3967" t="s">
        <v>472</v>
      </c>
      <c r="AB4" s="3968" t="s">
        <v>473</v>
      </c>
      <c r="AC4" s="3967" t="s">
        <v>474</v>
      </c>
    </row>
    <row r="5" spans="1:29">
      <c r="A5" s="485"/>
      <c r="B5" s="486"/>
      <c r="C5" s="3988" t="s">
        <v>2192</v>
      </c>
      <c r="D5" s="3989"/>
      <c r="E5" s="3986" t="s">
        <v>2193</v>
      </c>
      <c r="F5" s="3987"/>
      <c r="G5" s="3988" t="s">
        <v>2194</v>
      </c>
      <c r="H5" s="3989"/>
      <c r="I5" s="3988" t="s">
        <v>2195</v>
      </c>
      <c r="J5" s="3989"/>
      <c r="K5" s="484"/>
      <c r="L5" s="1856"/>
      <c r="M5" s="1857"/>
      <c r="N5" s="1857"/>
      <c r="O5" s="1857"/>
      <c r="P5" s="3976"/>
      <c r="Q5" s="3977"/>
      <c r="R5" s="3982"/>
      <c r="S5" s="3983"/>
      <c r="T5" s="3982"/>
      <c r="U5" s="3983"/>
      <c r="V5" s="3960"/>
      <c r="W5" s="3960"/>
      <c r="X5" s="1380"/>
      <c r="Y5" s="3982"/>
      <c r="Z5" s="3983"/>
      <c r="AA5" s="3968"/>
      <c r="AB5" s="3968"/>
      <c r="AC5" s="3968"/>
    </row>
    <row r="6" spans="1:29" ht="15" thickBot="1">
      <c r="A6" s="487"/>
      <c r="B6" s="488"/>
      <c r="C6" s="3990" t="s">
        <v>2196</v>
      </c>
      <c r="D6" s="3991"/>
      <c r="E6" s="3993" t="s">
        <v>2196</v>
      </c>
      <c r="F6" s="3994"/>
      <c r="G6" s="3990" t="s">
        <v>2196</v>
      </c>
      <c r="H6" s="3991"/>
      <c r="I6" s="3990" t="s">
        <v>2196</v>
      </c>
      <c r="J6" s="3991"/>
      <c r="K6" s="484" t="s">
        <v>477</v>
      </c>
      <c r="L6" s="1856"/>
      <c r="M6" s="1857"/>
      <c r="N6" s="1857"/>
      <c r="O6" s="1857"/>
      <c r="P6" s="3978"/>
      <c r="Q6" s="3979"/>
      <c r="R6" s="3982"/>
      <c r="S6" s="3983"/>
      <c r="T6" s="3984"/>
      <c r="U6" s="3985"/>
      <c r="V6" s="3960"/>
      <c r="W6" s="3960"/>
      <c r="X6" s="1380"/>
      <c r="Y6" s="3984"/>
      <c r="Z6" s="3985"/>
      <c r="AA6" s="3969"/>
      <c r="AB6" s="3969"/>
      <c r="AC6" s="3969"/>
    </row>
    <row r="7" spans="1:29" s="1118" customFormat="1" ht="15" thickBot="1">
      <c r="A7" s="2392"/>
      <c r="B7" s="2399" t="s">
        <v>478</v>
      </c>
      <c r="C7" s="489">
        <f>'数据-取费表'!B2</f>
        <v>45833</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65" t="s">
        <v>479</v>
      </c>
      <c r="Q7" s="3992"/>
      <c r="R7" s="1381" t="s">
        <v>5</v>
      </c>
      <c r="S7" s="1382">
        <f t="shared" ref="S7:S15" si="0">F7</f>
        <v>0</v>
      </c>
      <c r="T7" s="1381" t="s">
        <v>5</v>
      </c>
      <c r="U7" s="1382">
        <f t="shared" ref="U7:U15" si="1">H7</f>
        <v>0</v>
      </c>
      <c r="V7" s="1381" t="s">
        <v>5</v>
      </c>
      <c r="W7" s="1382">
        <f t="shared" ref="W7:W15" si="2">J7</f>
        <v>0</v>
      </c>
      <c r="X7" s="1383"/>
      <c r="Y7" s="3965" t="s">
        <v>479</v>
      </c>
      <c r="Z7" s="3966"/>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65" t="s">
        <v>482</v>
      </c>
      <c r="Q8" s="3966"/>
      <c r="R8" s="1381" t="s">
        <v>5</v>
      </c>
      <c r="S8" s="1382">
        <f t="shared" si="0"/>
        <v>0</v>
      </c>
      <c r="T8" s="1381" t="s">
        <v>5</v>
      </c>
      <c r="U8" s="1382">
        <f t="shared" si="1"/>
        <v>0</v>
      </c>
      <c r="V8" s="1381" t="s">
        <v>5</v>
      </c>
      <c r="W8" s="1382">
        <f t="shared" si="2"/>
        <v>0</v>
      </c>
      <c r="X8" s="1383"/>
      <c r="Y8" s="3965" t="s">
        <v>482</v>
      </c>
      <c r="Z8" s="3966"/>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58" t="s">
        <v>484</v>
      </c>
      <c r="Q9" s="1050" t="str">
        <f t="shared" ref="Q9:Q15" si="6">B9</f>
        <v>用途</v>
      </c>
      <c r="R9" s="1381" t="s">
        <v>5</v>
      </c>
      <c r="S9" s="1382">
        <f t="shared" si="0"/>
        <v>100</v>
      </c>
      <c r="T9" s="1381" t="s">
        <v>5</v>
      </c>
      <c r="U9" s="1382">
        <f t="shared" si="1"/>
        <v>100</v>
      </c>
      <c r="V9" s="1381" t="s">
        <v>5</v>
      </c>
      <c r="W9" s="1382">
        <f t="shared" si="2"/>
        <v>100</v>
      </c>
      <c r="X9" s="1383"/>
      <c r="Y9" s="3903"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958"/>
      <c r="Q10" s="1050" t="str">
        <f t="shared" si="6"/>
        <v>土地使用年限（年）</v>
      </c>
      <c r="R10" s="1381" t="s">
        <v>5</v>
      </c>
      <c r="S10" s="1382">
        <f t="shared" si="0"/>
        <v>100</v>
      </c>
      <c r="T10" s="1381" t="s">
        <v>5</v>
      </c>
      <c r="U10" s="1382">
        <f t="shared" si="1"/>
        <v>100</v>
      </c>
      <c r="V10" s="1381" t="s">
        <v>5</v>
      </c>
      <c r="W10" s="1382">
        <f t="shared" si="2"/>
        <v>100</v>
      </c>
      <c r="X10" s="1383"/>
      <c r="Y10" s="390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58"/>
      <c r="Q11" s="1050" t="str">
        <f t="shared" si="6"/>
        <v>容积率</v>
      </c>
      <c r="R11" s="1381" t="s">
        <v>5</v>
      </c>
      <c r="S11" s="1382" t="e">
        <f t="shared" si="0"/>
        <v>#N/A</v>
      </c>
      <c r="T11" s="1381" t="s">
        <v>5</v>
      </c>
      <c r="U11" s="1382" t="e">
        <f t="shared" si="1"/>
        <v>#N/A</v>
      </c>
      <c r="V11" s="1381" t="s">
        <v>5</v>
      </c>
      <c r="W11" s="1382" t="e">
        <f t="shared" si="2"/>
        <v>#N/A</v>
      </c>
      <c r="X11" s="1383"/>
      <c r="Y11" s="390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58"/>
      <c r="Q12" s="1050">
        <f t="shared" si="6"/>
        <v>111</v>
      </c>
      <c r="R12" s="1381" t="s">
        <v>5</v>
      </c>
      <c r="S12" s="1382">
        <f t="shared" si="0"/>
        <v>100</v>
      </c>
      <c r="T12" s="1381" t="s">
        <v>5</v>
      </c>
      <c r="U12" s="1382">
        <f t="shared" si="1"/>
        <v>100</v>
      </c>
      <c r="V12" s="1381" t="s">
        <v>5</v>
      </c>
      <c r="W12" s="1382">
        <f t="shared" si="2"/>
        <v>100</v>
      </c>
      <c r="X12" s="1383"/>
      <c r="Y12" s="390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58"/>
      <c r="Q13" s="1050">
        <f t="shared" si="6"/>
        <v>111</v>
      </c>
      <c r="R13" s="1381" t="s">
        <v>5</v>
      </c>
      <c r="S13" s="1382">
        <f t="shared" si="0"/>
        <v>100</v>
      </c>
      <c r="T13" s="1381" t="s">
        <v>5</v>
      </c>
      <c r="U13" s="1382">
        <f t="shared" si="1"/>
        <v>100</v>
      </c>
      <c r="V13" s="1381" t="s">
        <v>5</v>
      </c>
      <c r="W13" s="1382">
        <f t="shared" si="2"/>
        <v>100</v>
      </c>
      <c r="X13" s="1383"/>
      <c r="Y13" s="3903"/>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58"/>
      <c r="Q14" s="1050">
        <f t="shared" si="6"/>
        <v>111</v>
      </c>
      <c r="R14" s="1381" t="s">
        <v>5</v>
      </c>
      <c r="S14" s="1382">
        <f t="shared" si="0"/>
        <v>100</v>
      </c>
      <c r="T14" s="1381" t="s">
        <v>5</v>
      </c>
      <c r="U14" s="1382">
        <f t="shared" si="1"/>
        <v>100</v>
      </c>
      <c r="V14" s="1381" t="s">
        <v>5</v>
      </c>
      <c r="W14" s="1382">
        <f t="shared" si="2"/>
        <v>100</v>
      </c>
      <c r="X14" s="1383"/>
      <c r="Y14" s="3903"/>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61" t="s">
        <v>489</v>
      </c>
      <c r="Q15" s="1385" t="str">
        <f t="shared" si="6"/>
        <v>产业集聚程度</v>
      </c>
      <c r="R15" s="1386" t="s">
        <v>5</v>
      </c>
      <c r="S15" s="1387">
        <f t="shared" si="0"/>
        <v>100</v>
      </c>
      <c r="T15" s="1386" t="s">
        <v>5</v>
      </c>
      <c r="U15" s="1387">
        <f t="shared" si="1"/>
        <v>100</v>
      </c>
      <c r="V15" s="1386" t="s">
        <v>5</v>
      </c>
      <c r="W15" s="1387">
        <f t="shared" si="2"/>
        <v>100</v>
      </c>
      <c r="X15" s="1380"/>
      <c r="Y15" s="396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2"/>
      <c r="Q16" s="1385"/>
      <c r="R16" s="1386"/>
      <c r="S16" s="1387"/>
      <c r="T16" s="1386"/>
      <c r="U16" s="1387"/>
      <c r="V16" s="1386"/>
      <c r="W16" s="1387"/>
      <c r="X16" s="1380"/>
      <c r="Y16" s="3962"/>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62"/>
      <c r="Q17" s="1385" t="str">
        <f>B17</f>
        <v>交通便捷度</v>
      </c>
      <c r="R17" s="1386" t="s">
        <v>5</v>
      </c>
      <c r="S17" s="1387">
        <f>F17</f>
        <v>100</v>
      </c>
      <c r="T17" s="1386" t="s">
        <v>5</v>
      </c>
      <c r="U17" s="1387">
        <f>H17</f>
        <v>100</v>
      </c>
      <c r="V17" s="1386" t="s">
        <v>5</v>
      </c>
      <c r="W17" s="1387">
        <f>J17</f>
        <v>100</v>
      </c>
      <c r="X17" s="1380"/>
      <c r="Y17" s="396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2"/>
      <c r="Q18" s="1385"/>
      <c r="R18" s="1386"/>
      <c r="S18" s="1387"/>
      <c r="T18" s="1386"/>
      <c r="U18" s="1387"/>
      <c r="V18" s="1386"/>
      <c r="W18" s="1387"/>
      <c r="X18" s="1380"/>
      <c r="Y18" s="3962"/>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62"/>
      <c r="Q19" s="1385" t="str">
        <f>B19</f>
        <v>公共配套设施</v>
      </c>
      <c r="R19" s="1386" t="s">
        <v>5</v>
      </c>
      <c r="S19" s="1387">
        <f>F19</f>
        <v>100</v>
      </c>
      <c r="T19" s="1386" t="s">
        <v>5</v>
      </c>
      <c r="U19" s="1387">
        <f>H19</f>
        <v>100</v>
      </c>
      <c r="V19" s="1386" t="s">
        <v>5</v>
      </c>
      <c r="W19" s="1387">
        <f>J19</f>
        <v>100</v>
      </c>
      <c r="X19" s="1380"/>
      <c r="Y19" s="396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62"/>
      <c r="Q20" s="1385"/>
      <c r="R20" s="1386"/>
      <c r="S20" s="1387"/>
      <c r="T20" s="1386"/>
      <c r="U20" s="1387"/>
      <c r="V20" s="1386"/>
      <c r="W20" s="1387"/>
      <c r="X20" s="1380"/>
      <c r="Y20" s="3962"/>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62"/>
      <c r="Q21" s="2193" t="str">
        <f>B21</f>
        <v>基础设施水平</v>
      </c>
      <c r="R21" s="1386" t="s">
        <v>5</v>
      </c>
      <c r="S21" s="1387">
        <f>F21</f>
        <v>100</v>
      </c>
      <c r="T21" s="1386" t="s">
        <v>5</v>
      </c>
      <c r="U21" s="1387">
        <f>H21</f>
        <v>100</v>
      </c>
      <c r="V21" s="1386" t="s">
        <v>5</v>
      </c>
      <c r="W21" s="1387">
        <f>J21</f>
        <v>100</v>
      </c>
      <c r="X21" s="2195"/>
      <c r="Y21" s="396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62"/>
      <c r="Q22" s="2193"/>
      <c r="R22" s="1386"/>
      <c r="S22" s="1387"/>
      <c r="T22" s="1386"/>
      <c r="U22" s="1387"/>
      <c r="V22" s="1386"/>
      <c r="W22" s="1387"/>
      <c r="X22" s="2195"/>
      <c r="Y22" s="3962"/>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62"/>
      <c r="Q23" s="1385" t="str">
        <f>B23</f>
        <v>环境质量</v>
      </c>
      <c r="R23" s="1386" t="s">
        <v>5</v>
      </c>
      <c r="S23" s="1387">
        <f>F23</f>
        <v>100</v>
      </c>
      <c r="T23" s="1386" t="s">
        <v>5</v>
      </c>
      <c r="U23" s="1387">
        <f>H23</f>
        <v>100</v>
      </c>
      <c r="V23" s="1386" t="s">
        <v>5</v>
      </c>
      <c r="W23" s="1387">
        <f>J23</f>
        <v>100</v>
      </c>
      <c r="X23" s="1380"/>
      <c r="Y23" s="396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62"/>
      <c r="Q24" s="1385"/>
      <c r="R24" s="1386"/>
      <c r="S24" s="1387"/>
      <c r="T24" s="1386"/>
      <c r="U24" s="1387"/>
      <c r="V24" s="1386"/>
      <c r="W24" s="1387"/>
      <c r="X24" s="1380"/>
      <c r="Y24" s="396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62"/>
      <c r="Q25" s="1385">
        <f>B25</f>
        <v>111</v>
      </c>
      <c r="R25" s="1386" t="s">
        <v>5</v>
      </c>
      <c r="S25" s="1387">
        <f>F25</f>
        <v>100</v>
      </c>
      <c r="T25" s="1386" t="s">
        <v>5</v>
      </c>
      <c r="U25" s="1387">
        <f>H25</f>
        <v>100</v>
      </c>
      <c r="V25" s="1386" t="s">
        <v>5</v>
      </c>
      <c r="W25" s="1387">
        <f>J25</f>
        <v>100</v>
      </c>
      <c r="X25" s="1380"/>
      <c r="Y25" s="396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62"/>
      <c r="Q26" s="1385">
        <f t="shared" ref="Q26:Q40" si="8">B26</f>
        <v>111</v>
      </c>
      <c r="R26" s="1386" t="s">
        <v>5</v>
      </c>
      <c r="S26" s="1387">
        <f>F26</f>
        <v>100</v>
      </c>
      <c r="T26" s="1386" t="s">
        <v>5</v>
      </c>
      <c r="U26" s="1387">
        <f>H26</f>
        <v>100</v>
      </c>
      <c r="V26" s="1386" t="s">
        <v>5</v>
      </c>
      <c r="W26" s="1387">
        <f>J26</f>
        <v>100</v>
      </c>
      <c r="X26" s="1380"/>
      <c r="Y26" s="396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62"/>
      <c r="Q27" s="1050">
        <f t="shared" si="8"/>
        <v>111</v>
      </c>
      <c r="R27" s="1381" t="s">
        <v>5</v>
      </c>
      <c r="S27" s="1382">
        <f>F27</f>
        <v>100</v>
      </c>
      <c r="T27" s="1381" t="s">
        <v>5</v>
      </c>
      <c r="U27" s="1382">
        <f>H27</f>
        <v>100</v>
      </c>
      <c r="V27" s="1381" t="s">
        <v>5</v>
      </c>
      <c r="W27" s="1382">
        <f>J27</f>
        <v>100</v>
      </c>
      <c r="X27" s="1383"/>
      <c r="Y27" s="3962"/>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62"/>
      <c r="Q28" s="1385">
        <f t="shared" si="8"/>
        <v>111</v>
      </c>
      <c r="R28" s="1386" t="s">
        <v>5</v>
      </c>
      <c r="S28" s="1387">
        <f t="shared" ref="S28:S40" si="9">F28</f>
        <v>100</v>
      </c>
      <c r="T28" s="1386" t="s">
        <v>5</v>
      </c>
      <c r="U28" s="1387">
        <f t="shared" ref="U28:U40" si="10">H28</f>
        <v>100</v>
      </c>
      <c r="V28" s="1386" t="s">
        <v>5</v>
      </c>
      <c r="W28" s="1387">
        <f t="shared" ref="W28:W40" si="11">J28</f>
        <v>100</v>
      </c>
      <c r="X28" s="1380"/>
      <c r="Y28" s="3962"/>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63" t="s">
        <v>499</v>
      </c>
      <c r="Q29" s="1385" t="str">
        <f t="shared" si="8"/>
        <v>建筑类型</v>
      </c>
      <c r="R29" s="1386" t="s">
        <v>5</v>
      </c>
      <c r="S29" s="1387">
        <f t="shared" si="9"/>
        <v>100</v>
      </c>
      <c r="T29" s="1386" t="s">
        <v>5</v>
      </c>
      <c r="U29" s="1387">
        <f t="shared" si="10"/>
        <v>100</v>
      </c>
      <c r="V29" s="1386" t="s">
        <v>5</v>
      </c>
      <c r="W29" s="1387">
        <f t="shared" si="11"/>
        <v>100</v>
      </c>
      <c r="X29" s="1380"/>
      <c r="Y29" s="396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64"/>
      <c r="Q30" s="1414" t="str">
        <f t="shared" si="8"/>
        <v>项目建筑规模</v>
      </c>
      <c r="R30" s="1390" t="s">
        <v>5</v>
      </c>
      <c r="S30" s="1391" t="e">
        <f t="shared" si="9"/>
        <v>#N/A</v>
      </c>
      <c r="T30" s="1390" t="s">
        <v>5</v>
      </c>
      <c r="U30" s="1391" t="e">
        <f t="shared" si="10"/>
        <v>#N/A</v>
      </c>
      <c r="V30" s="1390" t="s">
        <v>5</v>
      </c>
      <c r="W30" s="1391" t="e">
        <f t="shared" si="11"/>
        <v>#N/A</v>
      </c>
      <c r="X30" s="1392"/>
      <c r="Y30" s="396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64"/>
      <c r="Q31" s="1385" t="str">
        <f t="shared" si="8"/>
        <v>建筑结构</v>
      </c>
      <c r="R31" s="1386" t="s">
        <v>5</v>
      </c>
      <c r="S31" s="1387">
        <f t="shared" si="9"/>
        <v>100</v>
      </c>
      <c r="T31" s="1386" t="s">
        <v>5</v>
      </c>
      <c r="U31" s="1387">
        <f t="shared" si="10"/>
        <v>100</v>
      </c>
      <c r="V31" s="1386" t="s">
        <v>5</v>
      </c>
      <c r="W31" s="1387">
        <f t="shared" si="11"/>
        <v>100</v>
      </c>
      <c r="X31" s="1380"/>
      <c r="Y31" s="396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64"/>
      <c r="Q32" s="1385" t="str">
        <f t="shared" si="8"/>
        <v>公共部分装修</v>
      </c>
      <c r="R32" s="1386" t="s">
        <v>5</v>
      </c>
      <c r="S32" s="1387">
        <f t="shared" si="9"/>
        <v>100</v>
      </c>
      <c r="T32" s="1386" t="s">
        <v>5</v>
      </c>
      <c r="U32" s="1387">
        <f t="shared" si="10"/>
        <v>100</v>
      </c>
      <c r="V32" s="1386" t="s">
        <v>5</v>
      </c>
      <c r="W32" s="1387">
        <f t="shared" si="11"/>
        <v>100</v>
      </c>
      <c r="X32" s="1380"/>
      <c r="Y32" s="396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64"/>
      <c r="Q33" s="1385" t="str">
        <f t="shared" si="8"/>
        <v>成新度</v>
      </c>
      <c r="R33" s="1386" t="s">
        <v>5</v>
      </c>
      <c r="S33" s="1387" t="e">
        <f t="shared" si="9"/>
        <v>#N/A</v>
      </c>
      <c r="T33" s="1386" t="s">
        <v>5</v>
      </c>
      <c r="U33" s="1387" t="e">
        <f t="shared" si="10"/>
        <v>#N/A</v>
      </c>
      <c r="V33" s="1386" t="s">
        <v>5</v>
      </c>
      <c r="W33" s="1387" t="e">
        <f t="shared" si="11"/>
        <v>#N/A</v>
      </c>
      <c r="X33" s="1380"/>
      <c r="Y33" s="396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64"/>
      <c r="Q34" s="1050" t="str">
        <f t="shared" si="8"/>
        <v>物业管理</v>
      </c>
      <c r="R34" s="1381" t="s">
        <v>5</v>
      </c>
      <c r="S34" s="1382">
        <f t="shared" si="9"/>
        <v>100</v>
      </c>
      <c r="T34" s="1381" t="s">
        <v>5</v>
      </c>
      <c r="U34" s="1382">
        <f t="shared" si="10"/>
        <v>100</v>
      </c>
      <c r="V34" s="1381" t="s">
        <v>5</v>
      </c>
      <c r="W34" s="1382">
        <f t="shared" si="11"/>
        <v>100</v>
      </c>
      <c r="X34" s="1383"/>
      <c r="Y34" s="396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64" t="s">
        <v>499</v>
      </c>
      <c r="Q35" s="1385" t="str">
        <f t="shared" si="8"/>
        <v>市政基础设施</v>
      </c>
      <c r="R35" s="1386" t="s">
        <v>5</v>
      </c>
      <c r="S35" s="1387">
        <f t="shared" si="9"/>
        <v>100</v>
      </c>
      <c r="T35" s="1386" t="s">
        <v>5</v>
      </c>
      <c r="U35" s="1387">
        <f t="shared" si="10"/>
        <v>100</v>
      </c>
      <c r="V35" s="1386" t="s">
        <v>5</v>
      </c>
      <c r="W35" s="1387">
        <f t="shared" si="11"/>
        <v>100</v>
      </c>
      <c r="X35" s="1380"/>
      <c r="Y35" s="396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64"/>
      <c r="Q36" s="1385" t="str">
        <f t="shared" si="8"/>
        <v>内部装修</v>
      </c>
      <c r="R36" s="1386" t="s">
        <v>5</v>
      </c>
      <c r="S36" s="1387">
        <f t="shared" si="9"/>
        <v>100</v>
      </c>
      <c r="T36" s="1386" t="s">
        <v>5</v>
      </c>
      <c r="U36" s="1387">
        <f t="shared" si="10"/>
        <v>100</v>
      </c>
      <c r="V36" s="1386" t="s">
        <v>5</v>
      </c>
      <c r="W36" s="1387">
        <f t="shared" si="11"/>
        <v>100</v>
      </c>
      <c r="X36" s="1380"/>
      <c r="Y36" s="396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64"/>
      <c r="Q37" s="1385" t="str">
        <f t="shared" si="8"/>
        <v>内部装修状况</v>
      </c>
      <c r="R37" s="1386" t="s">
        <v>5</v>
      </c>
      <c r="S37" s="1387">
        <f t="shared" si="9"/>
        <v>100</v>
      </c>
      <c r="T37" s="1386" t="s">
        <v>5</v>
      </c>
      <c r="U37" s="1387">
        <f t="shared" si="10"/>
        <v>100</v>
      </c>
      <c r="V37" s="1386" t="s">
        <v>5</v>
      </c>
      <c r="W37" s="1387">
        <f t="shared" si="11"/>
        <v>100</v>
      </c>
      <c r="X37" s="1380"/>
      <c r="Y37" s="396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64"/>
      <c r="Q38" s="1414">
        <f t="shared" si="8"/>
        <v>111</v>
      </c>
      <c r="R38" s="1390" t="s">
        <v>5</v>
      </c>
      <c r="S38" s="1391">
        <f t="shared" si="9"/>
        <v>100</v>
      </c>
      <c r="T38" s="1390" t="s">
        <v>5</v>
      </c>
      <c r="U38" s="1391">
        <f t="shared" si="10"/>
        <v>100</v>
      </c>
      <c r="V38" s="1390" t="s">
        <v>5</v>
      </c>
      <c r="W38" s="1391">
        <f t="shared" si="11"/>
        <v>100</v>
      </c>
      <c r="X38" s="1392"/>
      <c r="Y38" s="396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64"/>
      <c r="Q39" s="1385">
        <f t="shared" si="8"/>
        <v>111</v>
      </c>
      <c r="R39" s="1386" t="s">
        <v>5</v>
      </c>
      <c r="S39" s="1387">
        <f t="shared" si="9"/>
        <v>100</v>
      </c>
      <c r="T39" s="1386" t="s">
        <v>5</v>
      </c>
      <c r="U39" s="1387">
        <f t="shared" si="10"/>
        <v>100</v>
      </c>
      <c r="V39" s="1386" t="s">
        <v>5</v>
      </c>
      <c r="W39" s="1387">
        <f t="shared" si="11"/>
        <v>100</v>
      </c>
      <c r="X39" s="1380"/>
      <c r="Y39" s="3964"/>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82"/>
      <c r="Q40" s="1385">
        <f t="shared" si="8"/>
        <v>111</v>
      </c>
      <c r="R40" s="1386" t="s">
        <v>5</v>
      </c>
      <c r="S40" s="1387">
        <f t="shared" si="9"/>
        <v>100</v>
      </c>
      <c r="T40" s="1386" t="s">
        <v>5</v>
      </c>
      <c r="U40" s="1387">
        <f t="shared" si="10"/>
        <v>100</v>
      </c>
      <c r="V40" s="1386" t="s">
        <v>5</v>
      </c>
      <c r="W40" s="1387">
        <f t="shared" si="11"/>
        <v>100</v>
      </c>
      <c r="X40" s="1380"/>
      <c r="Y40" s="4082"/>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958" t="str">
        <f>A41</f>
        <v>成交单价（元/平方米）</v>
      </c>
      <c r="Q41" s="3958"/>
      <c r="R41" s="4081">
        <f>E41</f>
        <v>0</v>
      </c>
      <c r="S41" s="4081"/>
      <c r="T41" s="4081">
        <f>G41</f>
        <v>0</v>
      </c>
      <c r="U41" s="4081"/>
      <c r="V41" s="4081">
        <f>I41</f>
        <v>0</v>
      </c>
      <c r="W41" s="4081"/>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58" t="str">
        <f>A42</f>
        <v>比较价格（元/平方米）</v>
      </c>
      <c r="Q42" s="3958"/>
      <c r="R42" s="4081" t="e">
        <f>IF(F1="售价",ROUND(PRODUCT(R41,AA7:AA40),0),ROUND(PRODUCT(R41,AA7:AA40),1))</f>
        <v>#DIV/0!</v>
      </c>
      <c r="S42" s="4081"/>
      <c r="T42" s="4081" t="e">
        <f>IF(F1="售价",ROUND(PRODUCT(T41,AB7:AB40),0),ROUND(PRODUCT(T41,AB7:AB40),1))</f>
        <v>#DIV/0!</v>
      </c>
      <c r="U42" s="4081"/>
      <c r="V42" s="4081" t="e">
        <f>IF(F1="售价",ROUND(PRODUCT(V41,AC7:AC40),0),ROUND(PRODUCT(V41,AC7:AC40),1))</f>
        <v>#DIV/0!</v>
      </c>
      <c r="W42" s="4081"/>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55" t="str">
        <f>A43</f>
        <v>估价对象XX用房的比较价格（楼面单价，元/平方米）</v>
      </c>
      <c r="Q43" s="3956"/>
      <c r="R43" s="4080" t="e">
        <f>IF(F1="售价",ROUND(IF(D42="简单平均",AVERAGE(R42:V42),R42*F42+T42*H42+V42*J42),0),ROUND(IF(D42="简单平均",AVERAGE(R42:V42),R42*F42+T42*H42+V42*J42),1))</f>
        <v>#DIV/0!</v>
      </c>
      <c r="S43" s="4080"/>
      <c r="T43" s="4080"/>
      <c r="U43" s="4080"/>
      <c r="V43" s="4080"/>
      <c r="W43" s="4080"/>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2025-6</v>
      </c>
      <c r="D52" s="2284">
        <f>EDATE(C52,-1)</f>
        <v>45778</v>
      </c>
      <c r="E52" s="2284">
        <f t="shared" ref="E52:O52" si="13">EDATE(D52,-1)</f>
        <v>45748</v>
      </c>
      <c r="F52" s="2284">
        <f t="shared" si="13"/>
        <v>45717</v>
      </c>
      <c r="G52" s="2284">
        <f t="shared" si="13"/>
        <v>45689</v>
      </c>
      <c r="H52" s="2284">
        <f t="shared" si="13"/>
        <v>45658</v>
      </c>
      <c r="I52" s="2284">
        <f t="shared" si="13"/>
        <v>45627</v>
      </c>
      <c r="J52" s="2284">
        <f t="shared" si="13"/>
        <v>45597</v>
      </c>
      <c r="K52" s="2284">
        <f t="shared" si="13"/>
        <v>45566</v>
      </c>
      <c r="L52" s="2284">
        <f t="shared" si="13"/>
        <v>45536</v>
      </c>
      <c r="M52" s="2284">
        <f t="shared" si="13"/>
        <v>45505</v>
      </c>
      <c r="N52" s="2284">
        <f t="shared" si="13"/>
        <v>45474</v>
      </c>
      <c r="O52" s="2284">
        <f t="shared" si="13"/>
        <v>45444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70" t="s">
        <v>738</v>
      </c>
      <c r="D4" s="3971"/>
      <c r="E4" s="3970" t="s">
        <v>739</v>
      </c>
      <c r="F4" s="3971"/>
      <c r="G4" s="3970" t="s">
        <v>740</v>
      </c>
      <c r="H4" s="3971"/>
      <c r="I4" s="3970" t="s">
        <v>741</v>
      </c>
      <c r="J4" s="3971"/>
      <c r="K4" s="484" t="s">
        <v>742</v>
      </c>
      <c r="L4" s="1856"/>
      <c r="M4" s="1857"/>
      <c r="N4" s="1857"/>
      <c r="O4" s="1857"/>
      <c r="P4" s="3974" t="s">
        <v>743</v>
      </c>
      <c r="Q4" s="3975"/>
      <c r="R4" s="3980" t="s">
        <v>739</v>
      </c>
      <c r="S4" s="3981"/>
      <c r="T4" s="3980" t="s">
        <v>740</v>
      </c>
      <c r="U4" s="3981"/>
      <c r="V4" s="3960" t="s">
        <v>741</v>
      </c>
      <c r="W4" s="3960"/>
      <c r="X4" s="1380"/>
      <c r="Y4" s="3980" t="s">
        <v>743</v>
      </c>
      <c r="Z4" s="3981"/>
      <c r="AA4" s="3967" t="s">
        <v>739</v>
      </c>
      <c r="AB4" s="3968" t="s">
        <v>740</v>
      </c>
      <c r="AC4" s="3967" t="s">
        <v>741</v>
      </c>
    </row>
    <row r="5" spans="1:29">
      <c r="A5" s="485"/>
      <c r="B5" s="486"/>
      <c r="C5" s="3988" t="s">
        <v>2192</v>
      </c>
      <c r="D5" s="3989"/>
      <c r="E5" s="3988" t="s">
        <v>2193</v>
      </c>
      <c r="F5" s="3989"/>
      <c r="G5" s="3988" t="s">
        <v>2194</v>
      </c>
      <c r="H5" s="3989"/>
      <c r="I5" s="3988" t="s">
        <v>2195</v>
      </c>
      <c r="J5" s="3989"/>
      <c r="K5" s="484"/>
      <c r="L5" s="1856"/>
      <c r="M5" s="1857"/>
      <c r="N5" s="1857"/>
      <c r="O5" s="1857"/>
      <c r="P5" s="3976"/>
      <c r="Q5" s="3977"/>
      <c r="R5" s="3982"/>
      <c r="S5" s="3983"/>
      <c r="T5" s="3982"/>
      <c r="U5" s="3983"/>
      <c r="V5" s="3960"/>
      <c r="W5" s="3960"/>
      <c r="X5" s="1380"/>
      <c r="Y5" s="3982"/>
      <c r="Z5" s="3983"/>
      <c r="AA5" s="3968"/>
      <c r="AB5" s="3968"/>
      <c r="AC5" s="3968"/>
    </row>
    <row r="6" spans="1:29" ht="15" thickBot="1">
      <c r="A6" s="487"/>
      <c r="B6" s="488"/>
      <c r="C6" s="3990" t="s">
        <v>2196</v>
      </c>
      <c r="D6" s="3991"/>
      <c r="E6" s="4069" t="s">
        <v>2196</v>
      </c>
      <c r="F6" s="4070"/>
      <c r="G6" s="3990" t="s">
        <v>2196</v>
      </c>
      <c r="H6" s="3991"/>
      <c r="I6" s="3990" t="s">
        <v>2196</v>
      </c>
      <c r="J6" s="3991"/>
      <c r="K6" s="484" t="s">
        <v>477</v>
      </c>
      <c r="L6" s="1856"/>
      <c r="M6" s="1857"/>
      <c r="N6" s="1857"/>
      <c r="O6" s="1857"/>
      <c r="P6" s="3978"/>
      <c r="Q6" s="3979"/>
      <c r="R6" s="3982"/>
      <c r="S6" s="3983"/>
      <c r="T6" s="3984"/>
      <c r="U6" s="3985"/>
      <c r="V6" s="3960"/>
      <c r="W6" s="3960"/>
      <c r="X6" s="1380"/>
      <c r="Y6" s="3984"/>
      <c r="Z6" s="3985"/>
      <c r="AA6" s="3969"/>
      <c r="AB6" s="3969"/>
      <c r="AC6" s="3969"/>
    </row>
    <row r="7" spans="1:29" s="1118" customFormat="1" ht="15" thickBot="1">
      <c r="A7" s="2392"/>
      <c r="B7" s="2399" t="s">
        <v>478</v>
      </c>
      <c r="C7" s="489">
        <f>'数据-取费表'!B2</f>
        <v>45833</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65" t="s">
        <v>479</v>
      </c>
      <c r="Q7" s="3992"/>
      <c r="R7" s="1381" t="s">
        <v>5</v>
      </c>
      <c r="S7" s="1382">
        <f t="shared" ref="S7:S14" si="0">F7</f>
        <v>0</v>
      </c>
      <c r="T7" s="1381" t="s">
        <v>5</v>
      </c>
      <c r="U7" s="1382">
        <f t="shared" ref="U7:U14" si="1">H7</f>
        <v>0</v>
      </c>
      <c r="V7" s="1381" t="s">
        <v>5</v>
      </c>
      <c r="W7" s="1382">
        <f t="shared" ref="W7:W14" si="2">J7</f>
        <v>0</v>
      </c>
      <c r="X7" s="1383"/>
      <c r="Y7" s="3965" t="s">
        <v>479</v>
      </c>
      <c r="Z7" s="3966"/>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65" t="s">
        <v>482</v>
      </c>
      <c r="Q8" s="3966"/>
      <c r="R8" s="1381" t="s">
        <v>5</v>
      </c>
      <c r="S8" s="1382">
        <f t="shared" si="0"/>
        <v>0</v>
      </c>
      <c r="T8" s="1381" t="s">
        <v>5</v>
      </c>
      <c r="U8" s="1382">
        <f t="shared" si="1"/>
        <v>0</v>
      </c>
      <c r="V8" s="1381" t="s">
        <v>5</v>
      </c>
      <c r="W8" s="1382">
        <f t="shared" si="2"/>
        <v>0</v>
      </c>
      <c r="X8" s="1383"/>
      <c r="Y8" s="3965" t="s">
        <v>482</v>
      </c>
      <c r="Z8" s="3966"/>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58" t="s">
        <v>484</v>
      </c>
      <c r="Q9" s="1050" t="str">
        <f t="shared" ref="Q9:Q14" si="6">B9</f>
        <v>用途</v>
      </c>
      <c r="R9" s="1381" t="s">
        <v>5</v>
      </c>
      <c r="S9" s="1382">
        <f t="shared" si="0"/>
        <v>100</v>
      </c>
      <c r="T9" s="1381" t="s">
        <v>5</v>
      </c>
      <c r="U9" s="1382">
        <f t="shared" si="1"/>
        <v>100</v>
      </c>
      <c r="V9" s="1381" t="s">
        <v>5</v>
      </c>
      <c r="W9" s="1382">
        <f t="shared" si="2"/>
        <v>100</v>
      </c>
      <c r="X9" s="1383"/>
      <c r="Y9" s="3903"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958"/>
      <c r="Q10" s="1050" t="str">
        <f t="shared" si="6"/>
        <v>土地使用年限（年）</v>
      </c>
      <c r="R10" s="1381" t="s">
        <v>5</v>
      </c>
      <c r="S10" s="1382">
        <f t="shared" si="0"/>
        <v>100</v>
      </c>
      <c r="T10" s="1381" t="s">
        <v>5</v>
      </c>
      <c r="U10" s="1382">
        <f t="shared" si="1"/>
        <v>100</v>
      </c>
      <c r="V10" s="1381" t="s">
        <v>5</v>
      </c>
      <c r="W10" s="1382">
        <f t="shared" si="2"/>
        <v>100</v>
      </c>
      <c r="X10" s="1383"/>
      <c r="Y10" s="390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58"/>
      <c r="Q11" s="1050">
        <f t="shared" si="6"/>
        <v>111</v>
      </c>
      <c r="R11" s="1381" t="s">
        <v>5</v>
      </c>
      <c r="S11" s="1382">
        <f t="shared" si="0"/>
        <v>100</v>
      </c>
      <c r="T11" s="1381" t="s">
        <v>5</v>
      </c>
      <c r="U11" s="1382">
        <f t="shared" si="1"/>
        <v>100</v>
      </c>
      <c r="V11" s="1381" t="s">
        <v>5</v>
      </c>
      <c r="W11" s="1382">
        <f t="shared" si="2"/>
        <v>100</v>
      </c>
      <c r="X11" s="1383"/>
      <c r="Y11" s="390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58"/>
      <c r="Q12" s="1050">
        <f t="shared" si="6"/>
        <v>111</v>
      </c>
      <c r="R12" s="1381" t="s">
        <v>5</v>
      </c>
      <c r="S12" s="1382">
        <f t="shared" si="0"/>
        <v>100</v>
      </c>
      <c r="T12" s="1381" t="s">
        <v>5</v>
      </c>
      <c r="U12" s="1382">
        <f t="shared" si="1"/>
        <v>100</v>
      </c>
      <c r="V12" s="1381" t="s">
        <v>5</v>
      </c>
      <c r="W12" s="1382">
        <f t="shared" si="2"/>
        <v>100</v>
      </c>
      <c r="X12" s="1383"/>
      <c r="Y12" s="3903"/>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58"/>
      <c r="Q13" s="1050">
        <f t="shared" si="6"/>
        <v>111</v>
      </c>
      <c r="R13" s="1381" t="s">
        <v>5</v>
      </c>
      <c r="S13" s="1382">
        <f t="shared" si="0"/>
        <v>100</v>
      </c>
      <c r="T13" s="1381" t="s">
        <v>5</v>
      </c>
      <c r="U13" s="1382">
        <f t="shared" si="1"/>
        <v>100</v>
      </c>
      <c r="V13" s="1381" t="s">
        <v>5</v>
      </c>
      <c r="W13" s="1382">
        <f t="shared" si="2"/>
        <v>100</v>
      </c>
      <c r="X13" s="1383"/>
      <c r="Y13" s="3903"/>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61" t="s">
        <v>489</v>
      </c>
      <c r="Q14" s="1385" t="str">
        <f t="shared" si="6"/>
        <v>交通便捷度</v>
      </c>
      <c r="R14" s="1386" t="s">
        <v>5</v>
      </c>
      <c r="S14" s="1387">
        <f t="shared" si="0"/>
        <v>100</v>
      </c>
      <c r="T14" s="1386" t="s">
        <v>5</v>
      </c>
      <c r="U14" s="1387">
        <f t="shared" si="1"/>
        <v>100</v>
      </c>
      <c r="V14" s="1386" t="s">
        <v>5</v>
      </c>
      <c r="W14" s="1387">
        <f t="shared" si="2"/>
        <v>100</v>
      </c>
      <c r="X14" s="1380"/>
      <c r="Y14" s="396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62"/>
      <c r="Q15" s="1385"/>
      <c r="R15" s="1386"/>
      <c r="S15" s="1387"/>
      <c r="T15" s="1386"/>
      <c r="U15" s="1387"/>
      <c r="V15" s="1386"/>
      <c r="W15" s="1387"/>
      <c r="X15" s="1380"/>
      <c r="Y15" s="3962"/>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62"/>
      <c r="Q16" s="1385" t="str">
        <f>B16</f>
        <v>公共配套设施</v>
      </c>
      <c r="R16" s="1386" t="s">
        <v>5</v>
      </c>
      <c r="S16" s="1387">
        <f>F16</f>
        <v>100</v>
      </c>
      <c r="T16" s="1386" t="s">
        <v>5</v>
      </c>
      <c r="U16" s="1387">
        <f>H16</f>
        <v>100</v>
      </c>
      <c r="V16" s="1386" t="s">
        <v>5</v>
      </c>
      <c r="W16" s="1387">
        <f>J16</f>
        <v>100</v>
      </c>
      <c r="X16" s="1380"/>
      <c r="Y16" s="396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62"/>
      <c r="Q17" s="1385"/>
      <c r="R17" s="1386"/>
      <c r="S17" s="1387"/>
      <c r="T17" s="1386"/>
      <c r="U17" s="1387"/>
      <c r="V17" s="1386"/>
      <c r="W17" s="1387"/>
      <c r="X17" s="1380"/>
      <c r="Y17" s="3962"/>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62"/>
      <c r="Q18" s="2193" t="str">
        <f>B18</f>
        <v>基础设施水平</v>
      </c>
      <c r="R18" s="1386" t="s">
        <v>5</v>
      </c>
      <c r="S18" s="1387">
        <f>F18</f>
        <v>100</v>
      </c>
      <c r="T18" s="1386" t="s">
        <v>5</v>
      </c>
      <c r="U18" s="1387">
        <f>H18</f>
        <v>100</v>
      </c>
      <c r="V18" s="1386" t="s">
        <v>5</v>
      </c>
      <c r="W18" s="1387">
        <f>J18</f>
        <v>100</v>
      </c>
      <c r="X18" s="2195"/>
      <c r="Y18" s="3962"/>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62"/>
      <c r="Q19" s="2193"/>
      <c r="R19" s="1386"/>
      <c r="S19" s="1387"/>
      <c r="T19" s="1386"/>
      <c r="U19" s="1387"/>
      <c r="V19" s="1386"/>
      <c r="W19" s="1387"/>
      <c r="X19" s="2195"/>
      <c r="Y19" s="3962"/>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62"/>
      <c r="Q20" s="1385" t="str">
        <f>B20</f>
        <v>自然及人文环境</v>
      </c>
      <c r="R20" s="1386" t="s">
        <v>5</v>
      </c>
      <c r="S20" s="1387">
        <f>F20</f>
        <v>100</v>
      </c>
      <c r="T20" s="1386" t="s">
        <v>5</v>
      </c>
      <c r="U20" s="1387">
        <f>H20</f>
        <v>100</v>
      </c>
      <c r="V20" s="1386" t="s">
        <v>5</v>
      </c>
      <c r="W20" s="1387">
        <f>J20</f>
        <v>100</v>
      </c>
      <c r="X20" s="1380"/>
      <c r="Y20" s="396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62"/>
      <c r="Q21" s="1385"/>
      <c r="R21" s="1386"/>
      <c r="S21" s="1387"/>
      <c r="T21" s="1386"/>
      <c r="U21" s="1387"/>
      <c r="V21" s="1386"/>
      <c r="W21" s="1387"/>
      <c r="X21" s="1380"/>
      <c r="Y21" s="396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62"/>
      <c r="Q22" s="1385" t="str">
        <f>B22</f>
        <v>楼层</v>
      </c>
      <c r="R22" s="1386" t="s">
        <v>5</v>
      </c>
      <c r="S22" s="1387">
        <f>F22</f>
        <v>100</v>
      </c>
      <c r="T22" s="1386" t="s">
        <v>5</v>
      </c>
      <c r="U22" s="1387">
        <f>H22</f>
        <v>100</v>
      </c>
      <c r="V22" s="1386" t="s">
        <v>5</v>
      </c>
      <c r="W22" s="1387">
        <f>J22</f>
        <v>100</v>
      </c>
      <c r="X22" s="1380"/>
      <c r="Y22" s="396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62"/>
      <c r="Q23" s="1385">
        <f>B23</f>
        <v>111</v>
      </c>
      <c r="R23" s="1386" t="s">
        <v>5</v>
      </c>
      <c r="S23" s="1387">
        <f>F23</f>
        <v>100</v>
      </c>
      <c r="T23" s="1386" t="s">
        <v>5</v>
      </c>
      <c r="U23" s="1387">
        <f>H23</f>
        <v>100</v>
      </c>
      <c r="V23" s="1386" t="s">
        <v>5</v>
      </c>
      <c r="W23" s="1387">
        <f>J23</f>
        <v>100</v>
      </c>
      <c r="X23" s="1380"/>
      <c r="Y23" s="396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62"/>
      <c r="Q24" s="1385">
        <f t="shared" ref="Q24:Q36" si="8">B24</f>
        <v>111</v>
      </c>
      <c r="R24" s="1386" t="s">
        <v>5</v>
      </c>
      <c r="S24" s="1387">
        <f>F24</f>
        <v>100</v>
      </c>
      <c r="T24" s="1386" t="s">
        <v>5</v>
      </c>
      <c r="U24" s="1387">
        <f>H24</f>
        <v>100</v>
      </c>
      <c r="V24" s="1386" t="s">
        <v>5</v>
      </c>
      <c r="W24" s="1387">
        <f>J24</f>
        <v>100</v>
      </c>
      <c r="X24" s="1380"/>
      <c r="Y24" s="3962"/>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62"/>
      <c r="Q25" s="1050">
        <f t="shared" si="8"/>
        <v>111</v>
      </c>
      <c r="R25" s="1381" t="s">
        <v>5</v>
      </c>
      <c r="S25" s="1382">
        <f>F25</f>
        <v>100</v>
      </c>
      <c r="T25" s="1381" t="s">
        <v>5</v>
      </c>
      <c r="U25" s="1382">
        <f>H25</f>
        <v>100</v>
      </c>
      <c r="V25" s="1381" t="s">
        <v>5</v>
      </c>
      <c r="W25" s="1382">
        <f>J25</f>
        <v>100</v>
      </c>
      <c r="X25" s="1383"/>
      <c r="Y25" s="3962"/>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6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6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64"/>
      <c r="Q27" s="1414" t="str">
        <f t="shared" si="8"/>
        <v>项目停车位配比</v>
      </c>
      <c r="R27" s="1390" t="s">
        <v>5</v>
      </c>
      <c r="S27" s="1391">
        <f t="shared" si="9"/>
        <v>100</v>
      </c>
      <c r="T27" s="1390" t="s">
        <v>5</v>
      </c>
      <c r="U27" s="1391">
        <f t="shared" si="10"/>
        <v>100</v>
      </c>
      <c r="V27" s="1390" t="s">
        <v>5</v>
      </c>
      <c r="W27" s="1391">
        <f t="shared" si="11"/>
        <v>100</v>
      </c>
      <c r="X27" s="1392"/>
      <c r="Y27" s="396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64"/>
      <c r="Q28" s="1385" t="str">
        <f t="shared" si="8"/>
        <v>公共部分装修</v>
      </c>
      <c r="R28" s="1386" t="s">
        <v>5</v>
      </c>
      <c r="S28" s="1387">
        <f t="shared" si="9"/>
        <v>100</v>
      </c>
      <c r="T28" s="1386" t="s">
        <v>5</v>
      </c>
      <c r="U28" s="1387">
        <f t="shared" si="10"/>
        <v>100</v>
      </c>
      <c r="V28" s="1386" t="s">
        <v>5</v>
      </c>
      <c r="W28" s="1387">
        <f t="shared" si="11"/>
        <v>100</v>
      </c>
      <c r="X28" s="1380"/>
      <c r="Y28" s="396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64"/>
      <c r="Q29" s="1385" t="str">
        <f t="shared" si="8"/>
        <v>成新率</v>
      </c>
      <c r="R29" s="1386" t="s">
        <v>5</v>
      </c>
      <c r="S29" s="1387" t="e">
        <f t="shared" si="9"/>
        <v>#N/A</v>
      </c>
      <c r="T29" s="1386" t="s">
        <v>5</v>
      </c>
      <c r="U29" s="1387" t="e">
        <f t="shared" si="10"/>
        <v>#N/A</v>
      </c>
      <c r="V29" s="1386" t="s">
        <v>5</v>
      </c>
      <c r="W29" s="1387" t="e">
        <f t="shared" si="11"/>
        <v>#N/A</v>
      </c>
      <c r="X29" s="1380"/>
      <c r="Y29" s="396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64"/>
      <c r="Q30" s="1385" t="str">
        <f t="shared" si="8"/>
        <v>物业等级</v>
      </c>
      <c r="R30" s="1386" t="s">
        <v>5</v>
      </c>
      <c r="S30" s="1387">
        <f t="shared" si="9"/>
        <v>100</v>
      </c>
      <c r="T30" s="1386" t="s">
        <v>5</v>
      </c>
      <c r="U30" s="1387">
        <f t="shared" si="10"/>
        <v>100</v>
      </c>
      <c r="V30" s="1386" t="s">
        <v>5</v>
      </c>
      <c r="W30" s="1387">
        <f t="shared" si="11"/>
        <v>100</v>
      </c>
      <c r="X30" s="1380"/>
      <c r="Y30" s="396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64"/>
      <c r="Q31" s="1050" t="str">
        <f t="shared" si="8"/>
        <v>停车位面积</v>
      </c>
      <c r="R31" s="1381" t="s">
        <v>5</v>
      </c>
      <c r="S31" s="1382" t="e">
        <f t="shared" si="9"/>
        <v>#N/A</v>
      </c>
      <c r="T31" s="1381" t="s">
        <v>5</v>
      </c>
      <c r="U31" s="1382" t="e">
        <f t="shared" si="10"/>
        <v>#N/A</v>
      </c>
      <c r="V31" s="1381" t="s">
        <v>5</v>
      </c>
      <c r="W31" s="1382" t="e">
        <f t="shared" si="11"/>
        <v>#N/A</v>
      </c>
      <c r="X31" s="1383"/>
      <c r="Y31" s="396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64" t="s">
        <v>499</v>
      </c>
      <c r="Q32" s="1385" t="str">
        <f t="shared" si="8"/>
        <v>车位类型</v>
      </c>
      <c r="R32" s="1386" t="s">
        <v>5</v>
      </c>
      <c r="S32" s="1387">
        <f t="shared" si="9"/>
        <v>100</v>
      </c>
      <c r="T32" s="1386" t="s">
        <v>5</v>
      </c>
      <c r="U32" s="1387">
        <f t="shared" si="10"/>
        <v>100</v>
      </c>
      <c r="V32" s="1386" t="s">
        <v>5</v>
      </c>
      <c r="W32" s="1387">
        <f t="shared" si="11"/>
        <v>100</v>
      </c>
      <c r="X32" s="1380"/>
      <c r="Y32" s="396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64"/>
      <c r="Q33" s="1385" t="str">
        <f t="shared" si="8"/>
        <v>是否直接入户</v>
      </c>
      <c r="R33" s="1386" t="s">
        <v>5</v>
      </c>
      <c r="S33" s="1387">
        <f t="shared" si="9"/>
        <v>100</v>
      </c>
      <c r="T33" s="1386" t="s">
        <v>5</v>
      </c>
      <c r="U33" s="1387">
        <f t="shared" si="10"/>
        <v>100</v>
      </c>
      <c r="V33" s="1386" t="s">
        <v>5</v>
      </c>
      <c r="W33" s="1387">
        <f t="shared" si="11"/>
        <v>100</v>
      </c>
      <c r="X33" s="1380"/>
      <c r="Y33" s="396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64"/>
      <c r="Q34" s="1385">
        <f t="shared" si="8"/>
        <v>111</v>
      </c>
      <c r="R34" s="1386" t="s">
        <v>5</v>
      </c>
      <c r="S34" s="1387">
        <f t="shared" si="9"/>
        <v>100</v>
      </c>
      <c r="T34" s="1386" t="s">
        <v>5</v>
      </c>
      <c r="U34" s="1387">
        <f t="shared" si="10"/>
        <v>100</v>
      </c>
      <c r="V34" s="1386" t="s">
        <v>5</v>
      </c>
      <c r="W34" s="1387">
        <f t="shared" si="11"/>
        <v>100</v>
      </c>
      <c r="X34" s="1380"/>
      <c r="Y34" s="396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64"/>
      <c r="Q35" s="1414">
        <f t="shared" si="8"/>
        <v>111</v>
      </c>
      <c r="R35" s="1390" t="s">
        <v>5</v>
      </c>
      <c r="S35" s="1391">
        <f t="shared" si="9"/>
        <v>100</v>
      </c>
      <c r="T35" s="1390" t="s">
        <v>5</v>
      </c>
      <c r="U35" s="1391">
        <f t="shared" si="10"/>
        <v>100</v>
      </c>
      <c r="V35" s="1390" t="s">
        <v>5</v>
      </c>
      <c r="W35" s="1391">
        <f t="shared" si="11"/>
        <v>100</v>
      </c>
      <c r="X35" s="1392"/>
      <c r="Y35" s="3964"/>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64"/>
      <c r="Q36" s="1385">
        <f t="shared" si="8"/>
        <v>111</v>
      </c>
      <c r="R36" s="1386" t="s">
        <v>5</v>
      </c>
      <c r="S36" s="1387">
        <f t="shared" si="9"/>
        <v>100</v>
      </c>
      <c r="T36" s="1386" t="s">
        <v>5</v>
      </c>
      <c r="U36" s="1387">
        <f t="shared" si="10"/>
        <v>100</v>
      </c>
      <c r="V36" s="1386" t="s">
        <v>5</v>
      </c>
      <c r="W36" s="1387">
        <f t="shared" si="11"/>
        <v>100</v>
      </c>
      <c r="X36" s="1380"/>
      <c r="Y36" s="3964"/>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958" t="str">
        <f>A37</f>
        <v>成交单价</v>
      </c>
      <c r="Q37" s="3958"/>
      <c r="R37" s="4081">
        <f>E37</f>
        <v>0</v>
      </c>
      <c r="S37" s="4081"/>
      <c r="T37" s="4081">
        <f>G37</f>
        <v>0</v>
      </c>
      <c r="U37" s="4081"/>
      <c r="V37" s="4081">
        <f>I37</f>
        <v>0</v>
      </c>
      <c r="W37" s="4081"/>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58" t="str">
        <f>A38</f>
        <v>比较价格（元/平方米）</v>
      </c>
      <c r="Q38" s="3958"/>
      <c r="R38" s="4081" t="e">
        <f>IF(F1="售价",ROUND(PRODUCT(R37,AA7:AA36),0),ROUND(PRODUCT(R37,AA7:AA36),1))</f>
        <v>#DIV/0!</v>
      </c>
      <c r="S38" s="4081"/>
      <c r="T38" s="4081" t="e">
        <f>IF(F1="售价",ROUND(PRODUCT(T37,AB7:AB36),0),ROUND(PRODUCT(T37,AB7:AB36),1))</f>
        <v>#DIV/0!</v>
      </c>
      <c r="U38" s="4081"/>
      <c r="V38" s="4081" t="e">
        <f>IF(F1="售价",ROUND(PRODUCT(V37,AC7:AC36),0),ROUND(PRODUCT(V37,AC7:AC36),1))</f>
        <v>#DIV/0!</v>
      </c>
      <c r="W38" s="4081"/>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55" t="str">
        <f>A39</f>
        <v>估价对象XX用房的比较价格（楼面单价，元/平方米）</v>
      </c>
      <c r="Q39" s="3956"/>
      <c r="R39" s="4080" t="e">
        <f>IF(F1="售价",ROUND(IF(D38="简单平均",AVERAGE(R38:W38),R38*F38+T38*H38+V38*J38),0),ROUND(IF(D38="简单平均",AVERAGE(R38:V38),R38*F38+T38*H38+V38*J38),1))</f>
        <v>#DIV/0!</v>
      </c>
      <c r="S39" s="4080"/>
      <c r="T39" s="4080"/>
      <c r="U39" s="4080"/>
      <c r="V39" s="4080"/>
      <c r="W39" s="4080"/>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2025-6</v>
      </c>
      <c r="D48" s="2284">
        <f>EDATE(C48,-1)</f>
        <v>45778</v>
      </c>
      <c r="E48" s="2284">
        <f t="shared" ref="E48:O48" si="13">EDATE(D48,-1)</f>
        <v>45748</v>
      </c>
      <c r="F48" s="2284">
        <f t="shared" si="13"/>
        <v>45717</v>
      </c>
      <c r="G48" s="2284">
        <f t="shared" si="13"/>
        <v>45689</v>
      </c>
      <c r="H48" s="2284">
        <f t="shared" si="13"/>
        <v>45658</v>
      </c>
      <c r="I48" s="2284">
        <f t="shared" si="13"/>
        <v>45627</v>
      </c>
      <c r="J48" s="2284">
        <f t="shared" si="13"/>
        <v>45597</v>
      </c>
      <c r="K48" s="2284">
        <f t="shared" si="13"/>
        <v>45566</v>
      </c>
      <c r="L48" s="2284">
        <f t="shared" si="13"/>
        <v>45536</v>
      </c>
      <c r="M48" s="2284">
        <f t="shared" si="13"/>
        <v>45505</v>
      </c>
      <c r="N48" s="2284">
        <f t="shared" si="13"/>
        <v>45474</v>
      </c>
      <c r="O48" s="2284">
        <f t="shared" si="13"/>
        <v>45444</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70" t="s">
        <v>738</v>
      </c>
      <c r="D4" s="3971"/>
      <c r="E4" s="3972" t="s">
        <v>739</v>
      </c>
      <c r="F4" s="3973"/>
      <c r="G4" s="3970" t="s">
        <v>740</v>
      </c>
      <c r="H4" s="3971"/>
      <c r="I4" s="3970" t="s">
        <v>741</v>
      </c>
      <c r="J4" s="3971"/>
      <c r="K4" s="484" t="s">
        <v>742</v>
      </c>
      <c r="L4" s="1856"/>
      <c r="M4" s="1857"/>
      <c r="N4" s="1857"/>
      <c r="O4" s="1857"/>
      <c r="P4" s="3974" t="s">
        <v>743</v>
      </c>
      <c r="Q4" s="3975"/>
      <c r="R4" s="3980" t="s">
        <v>739</v>
      </c>
      <c r="S4" s="3981"/>
      <c r="T4" s="3980" t="s">
        <v>740</v>
      </c>
      <c r="U4" s="3981"/>
      <c r="V4" s="3960" t="s">
        <v>741</v>
      </c>
      <c r="W4" s="3960"/>
      <c r="X4" s="1380"/>
      <c r="Y4" s="3980" t="s">
        <v>743</v>
      </c>
      <c r="Z4" s="3981"/>
      <c r="AA4" s="3967" t="s">
        <v>739</v>
      </c>
      <c r="AB4" s="3968" t="s">
        <v>740</v>
      </c>
      <c r="AC4" s="3967" t="s">
        <v>741</v>
      </c>
    </row>
    <row r="5" spans="1:29">
      <c r="A5" s="485"/>
      <c r="B5" s="486"/>
      <c r="C5" s="3988" t="s">
        <v>2192</v>
      </c>
      <c r="D5" s="3989"/>
      <c r="E5" s="3986" t="s">
        <v>2193</v>
      </c>
      <c r="F5" s="3987"/>
      <c r="G5" s="3988" t="s">
        <v>2194</v>
      </c>
      <c r="H5" s="3989"/>
      <c r="I5" s="3988" t="s">
        <v>2195</v>
      </c>
      <c r="J5" s="3989"/>
      <c r="K5" s="484"/>
      <c r="L5" s="1856"/>
      <c r="M5" s="1857"/>
      <c r="N5" s="1857"/>
      <c r="O5" s="1857"/>
      <c r="P5" s="3976"/>
      <c r="Q5" s="3977"/>
      <c r="R5" s="3982"/>
      <c r="S5" s="3983"/>
      <c r="T5" s="3982"/>
      <c r="U5" s="3983"/>
      <c r="V5" s="3960"/>
      <c r="W5" s="3960"/>
      <c r="X5" s="1380"/>
      <c r="Y5" s="3982"/>
      <c r="Z5" s="3983"/>
      <c r="AA5" s="3968"/>
      <c r="AB5" s="3968"/>
      <c r="AC5" s="3968"/>
    </row>
    <row r="6" spans="1:29" ht="15" thickBot="1">
      <c r="A6" s="487"/>
      <c r="B6" s="488"/>
      <c r="C6" s="3990" t="s">
        <v>2196</v>
      </c>
      <c r="D6" s="3991"/>
      <c r="E6" s="3993" t="s">
        <v>2196</v>
      </c>
      <c r="F6" s="3994"/>
      <c r="G6" s="3990" t="s">
        <v>2196</v>
      </c>
      <c r="H6" s="3991"/>
      <c r="I6" s="3990" t="s">
        <v>2196</v>
      </c>
      <c r="J6" s="3991"/>
      <c r="K6" s="484" t="s">
        <v>477</v>
      </c>
      <c r="L6" s="1856"/>
      <c r="M6" s="1857"/>
      <c r="N6" s="1857"/>
      <c r="O6" s="1857"/>
      <c r="P6" s="3978"/>
      <c r="Q6" s="3979"/>
      <c r="R6" s="3982"/>
      <c r="S6" s="3983"/>
      <c r="T6" s="3984"/>
      <c r="U6" s="3985"/>
      <c r="V6" s="3960"/>
      <c r="W6" s="3960"/>
      <c r="X6" s="1380"/>
      <c r="Y6" s="3984"/>
      <c r="Z6" s="3985"/>
      <c r="AA6" s="3969"/>
      <c r="AB6" s="3969"/>
      <c r="AC6" s="3969"/>
    </row>
    <row r="7" spans="1:29" s="1118" customFormat="1" ht="15" thickBot="1">
      <c r="A7" s="2392"/>
      <c r="B7" s="2399" t="s">
        <v>478</v>
      </c>
      <c r="C7" s="489">
        <f>'数据-取费表'!B2</f>
        <v>45833</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65" t="s">
        <v>479</v>
      </c>
      <c r="Q7" s="3992"/>
      <c r="R7" s="1381" t="s">
        <v>5</v>
      </c>
      <c r="S7" s="1382">
        <f t="shared" ref="S7:S14" si="0">F7</f>
        <v>0</v>
      </c>
      <c r="T7" s="1381" t="s">
        <v>5</v>
      </c>
      <c r="U7" s="1382">
        <f t="shared" ref="U7:U14" si="1">H7</f>
        <v>0</v>
      </c>
      <c r="V7" s="1381" t="s">
        <v>5</v>
      </c>
      <c r="W7" s="1382">
        <f t="shared" ref="W7:W14" si="2">J7</f>
        <v>0</v>
      </c>
      <c r="X7" s="1383"/>
      <c r="Y7" s="3965" t="s">
        <v>479</v>
      </c>
      <c r="Z7" s="3966"/>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65" t="s">
        <v>482</v>
      </c>
      <c r="Q8" s="3966"/>
      <c r="R8" s="1381" t="s">
        <v>5</v>
      </c>
      <c r="S8" s="1382">
        <f t="shared" si="0"/>
        <v>0</v>
      </c>
      <c r="T8" s="1381" t="s">
        <v>5</v>
      </c>
      <c r="U8" s="1382">
        <f t="shared" si="1"/>
        <v>0</v>
      </c>
      <c r="V8" s="1381" t="s">
        <v>5</v>
      </c>
      <c r="W8" s="1382">
        <f t="shared" si="2"/>
        <v>0</v>
      </c>
      <c r="X8" s="1383"/>
      <c r="Y8" s="3965" t="s">
        <v>482</v>
      </c>
      <c r="Z8" s="3966"/>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58" t="s">
        <v>484</v>
      </c>
      <c r="Q9" s="1050" t="str">
        <f t="shared" ref="Q9:Q14" si="6">B9</f>
        <v>用途</v>
      </c>
      <c r="R9" s="1381" t="s">
        <v>5</v>
      </c>
      <c r="S9" s="1382">
        <f t="shared" si="0"/>
        <v>100</v>
      </c>
      <c r="T9" s="1381" t="s">
        <v>5</v>
      </c>
      <c r="U9" s="1382">
        <f t="shared" si="1"/>
        <v>100</v>
      </c>
      <c r="V9" s="1381" t="s">
        <v>5</v>
      </c>
      <c r="W9" s="1382">
        <f t="shared" si="2"/>
        <v>100</v>
      </c>
      <c r="X9" s="1383"/>
      <c r="Y9" s="3903"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958"/>
      <c r="Q10" s="1050" t="str">
        <f t="shared" si="6"/>
        <v>土地使用年限（年）</v>
      </c>
      <c r="R10" s="1381" t="s">
        <v>5</v>
      </c>
      <c r="S10" s="1382">
        <f t="shared" si="0"/>
        <v>100</v>
      </c>
      <c r="T10" s="1381" t="s">
        <v>5</v>
      </c>
      <c r="U10" s="1382">
        <f t="shared" si="1"/>
        <v>100</v>
      </c>
      <c r="V10" s="1381" t="s">
        <v>5</v>
      </c>
      <c r="W10" s="1382">
        <f t="shared" si="2"/>
        <v>100</v>
      </c>
      <c r="X10" s="1383"/>
      <c r="Y10" s="390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58"/>
      <c r="Q11" s="1050">
        <f t="shared" si="6"/>
        <v>111</v>
      </c>
      <c r="R11" s="1381" t="s">
        <v>5</v>
      </c>
      <c r="S11" s="1382">
        <f t="shared" si="0"/>
        <v>100</v>
      </c>
      <c r="T11" s="1381" t="s">
        <v>5</v>
      </c>
      <c r="U11" s="1382">
        <f t="shared" si="1"/>
        <v>100</v>
      </c>
      <c r="V11" s="1381" t="s">
        <v>5</v>
      </c>
      <c r="W11" s="1382">
        <f t="shared" si="2"/>
        <v>100</v>
      </c>
      <c r="X11" s="1383"/>
      <c r="Y11" s="390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58"/>
      <c r="Q12" s="1050">
        <f t="shared" si="6"/>
        <v>111</v>
      </c>
      <c r="R12" s="1381" t="s">
        <v>5</v>
      </c>
      <c r="S12" s="1382">
        <f t="shared" si="0"/>
        <v>100</v>
      </c>
      <c r="T12" s="1381" t="s">
        <v>5</v>
      </c>
      <c r="U12" s="1382">
        <f t="shared" si="1"/>
        <v>100</v>
      </c>
      <c r="V12" s="1381" t="s">
        <v>5</v>
      </c>
      <c r="W12" s="1382">
        <f t="shared" si="2"/>
        <v>100</v>
      </c>
      <c r="X12" s="1383"/>
      <c r="Y12" s="3903"/>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58"/>
      <c r="Q13" s="1050">
        <f t="shared" si="6"/>
        <v>111</v>
      </c>
      <c r="R13" s="1381" t="s">
        <v>5</v>
      </c>
      <c r="S13" s="1382">
        <f t="shared" si="0"/>
        <v>100</v>
      </c>
      <c r="T13" s="1381" t="s">
        <v>5</v>
      </c>
      <c r="U13" s="1382">
        <f t="shared" si="1"/>
        <v>100</v>
      </c>
      <c r="V13" s="1381" t="s">
        <v>5</v>
      </c>
      <c r="W13" s="1382">
        <f t="shared" si="2"/>
        <v>100</v>
      </c>
      <c r="X13" s="1383"/>
      <c r="Y13" s="3903"/>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61" t="s">
        <v>489</v>
      </c>
      <c r="Q14" s="1385" t="str">
        <f t="shared" si="6"/>
        <v>交通便捷度</v>
      </c>
      <c r="R14" s="1386" t="s">
        <v>5</v>
      </c>
      <c r="S14" s="1387">
        <f t="shared" si="0"/>
        <v>100</v>
      </c>
      <c r="T14" s="1386" t="s">
        <v>5</v>
      </c>
      <c r="U14" s="1387">
        <f t="shared" si="1"/>
        <v>100</v>
      </c>
      <c r="V14" s="1386" t="s">
        <v>5</v>
      </c>
      <c r="W14" s="1387">
        <f t="shared" si="2"/>
        <v>100</v>
      </c>
      <c r="X14" s="1380"/>
      <c r="Y14" s="396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62"/>
      <c r="Q15" s="1385"/>
      <c r="R15" s="1386"/>
      <c r="S15" s="1387"/>
      <c r="T15" s="1386"/>
      <c r="U15" s="1387"/>
      <c r="V15" s="1386"/>
      <c r="W15" s="1387"/>
      <c r="X15" s="1380"/>
      <c r="Y15" s="3962"/>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62"/>
      <c r="Q16" s="1385" t="str">
        <f>B16</f>
        <v>公共配套设施</v>
      </c>
      <c r="R16" s="1386" t="s">
        <v>5</v>
      </c>
      <c r="S16" s="1387">
        <f>F16</f>
        <v>100</v>
      </c>
      <c r="T16" s="1386" t="s">
        <v>5</v>
      </c>
      <c r="U16" s="1387">
        <f>H16</f>
        <v>100</v>
      </c>
      <c r="V16" s="1386" t="s">
        <v>5</v>
      </c>
      <c r="W16" s="1387">
        <f>J16</f>
        <v>100</v>
      </c>
      <c r="X16" s="1380"/>
      <c r="Y16" s="396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62"/>
      <c r="Q17" s="1385"/>
      <c r="R17" s="1386"/>
      <c r="S17" s="1387"/>
      <c r="T17" s="1386"/>
      <c r="U17" s="1387"/>
      <c r="V17" s="1386"/>
      <c r="W17" s="1387"/>
      <c r="X17" s="1380"/>
      <c r="Y17" s="3962"/>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62"/>
      <c r="Q18" s="2193" t="str">
        <f>B18</f>
        <v>基础设施水平</v>
      </c>
      <c r="R18" s="1386" t="s">
        <v>5</v>
      </c>
      <c r="S18" s="1387">
        <f>F18</f>
        <v>100</v>
      </c>
      <c r="T18" s="1386" t="s">
        <v>5</v>
      </c>
      <c r="U18" s="1387">
        <f>H18</f>
        <v>100</v>
      </c>
      <c r="V18" s="1386" t="s">
        <v>5</v>
      </c>
      <c r="W18" s="1387">
        <f>J18</f>
        <v>100</v>
      </c>
      <c r="X18" s="2195"/>
      <c r="Y18" s="396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62"/>
      <c r="Q19" s="2193"/>
      <c r="R19" s="1386"/>
      <c r="S19" s="1387"/>
      <c r="T19" s="1386"/>
      <c r="U19" s="1387"/>
      <c r="V19" s="1386"/>
      <c r="W19" s="1387"/>
      <c r="X19" s="2195"/>
      <c r="Y19" s="3962"/>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62"/>
      <c r="Q20" s="1385" t="str">
        <f>B20</f>
        <v>自然及人文环境</v>
      </c>
      <c r="R20" s="1386" t="s">
        <v>5</v>
      </c>
      <c r="S20" s="1387">
        <f>F20</f>
        <v>100</v>
      </c>
      <c r="T20" s="1386" t="s">
        <v>5</v>
      </c>
      <c r="U20" s="1387">
        <f>H20</f>
        <v>100</v>
      </c>
      <c r="V20" s="1386" t="s">
        <v>5</v>
      </c>
      <c r="W20" s="1387">
        <f>J20</f>
        <v>100</v>
      </c>
      <c r="X20" s="1380"/>
      <c r="Y20" s="396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62"/>
      <c r="Q21" s="1385"/>
      <c r="R21" s="1386"/>
      <c r="S21" s="1387"/>
      <c r="T21" s="1386"/>
      <c r="U21" s="1387"/>
      <c r="V21" s="1386"/>
      <c r="W21" s="1387"/>
      <c r="X21" s="1380"/>
      <c r="Y21" s="396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62"/>
      <c r="Q22" s="1385" t="str">
        <f>B22</f>
        <v>楼层</v>
      </c>
      <c r="R22" s="1386" t="s">
        <v>5</v>
      </c>
      <c r="S22" s="1387">
        <f>F22</f>
        <v>100</v>
      </c>
      <c r="T22" s="1386" t="s">
        <v>5</v>
      </c>
      <c r="U22" s="1387">
        <f>H22</f>
        <v>100</v>
      </c>
      <c r="V22" s="1386" t="s">
        <v>5</v>
      </c>
      <c r="W22" s="1387">
        <f>J22</f>
        <v>100</v>
      </c>
      <c r="X22" s="1380"/>
      <c r="Y22" s="396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62"/>
      <c r="Q23" s="1385">
        <f>B23</f>
        <v>111</v>
      </c>
      <c r="R23" s="1386" t="s">
        <v>5</v>
      </c>
      <c r="S23" s="1387">
        <f>F23</f>
        <v>100</v>
      </c>
      <c r="T23" s="1386" t="s">
        <v>5</v>
      </c>
      <c r="U23" s="1387">
        <f>H23</f>
        <v>100</v>
      </c>
      <c r="V23" s="1386" t="s">
        <v>5</v>
      </c>
      <c r="W23" s="1387">
        <f>J23</f>
        <v>100</v>
      </c>
      <c r="X23" s="1380"/>
      <c r="Y23" s="396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62"/>
      <c r="Q24" s="1385">
        <f t="shared" ref="Q24:Q34" si="8">B24</f>
        <v>111</v>
      </c>
      <c r="R24" s="1386" t="s">
        <v>5</v>
      </c>
      <c r="S24" s="1387">
        <f>F24</f>
        <v>100</v>
      </c>
      <c r="T24" s="1386" t="s">
        <v>5</v>
      </c>
      <c r="U24" s="1387">
        <f>H24</f>
        <v>100</v>
      </c>
      <c r="V24" s="1386" t="s">
        <v>5</v>
      </c>
      <c r="W24" s="1387">
        <f>J24</f>
        <v>100</v>
      </c>
      <c r="X24" s="1380"/>
      <c r="Y24" s="3962"/>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62"/>
      <c r="Q25" s="1050">
        <f t="shared" si="8"/>
        <v>111</v>
      </c>
      <c r="R25" s="1381" t="s">
        <v>5</v>
      </c>
      <c r="S25" s="1382">
        <f>F25</f>
        <v>100</v>
      </c>
      <c r="T25" s="1381" t="s">
        <v>5</v>
      </c>
      <c r="U25" s="1382">
        <f>H25</f>
        <v>100</v>
      </c>
      <c r="V25" s="1381" t="s">
        <v>5</v>
      </c>
      <c r="W25" s="1382">
        <f>J25</f>
        <v>100</v>
      </c>
      <c r="X25" s="1383"/>
      <c r="Y25" s="3962"/>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6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6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64"/>
      <c r="Q27" s="1414" t="str">
        <f t="shared" si="8"/>
        <v>成新率</v>
      </c>
      <c r="R27" s="1390" t="s">
        <v>5</v>
      </c>
      <c r="S27" s="1391" t="e">
        <f t="shared" si="9"/>
        <v>#N/A</v>
      </c>
      <c r="T27" s="1390" t="s">
        <v>5</v>
      </c>
      <c r="U27" s="1391" t="e">
        <f t="shared" si="10"/>
        <v>#N/A</v>
      </c>
      <c r="V27" s="1390" t="s">
        <v>5</v>
      </c>
      <c r="W27" s="1391" t="e">
        <f t="shared" si="11"/>
        <v>#N/A</v>
      </c>
      <c r="X27" s="1392"/>
      <c r="Y27" s="396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64"/>
      <c r="Q28" s="1385" t="str">
        <f t="shared" si="8"/>
        <v>物业等级</v>
      </c>
      <c r="R28" s="1386" t="s">
        <v>5</v>
      </c>
      <c r="S28" s="1387">
        <f t="shared" si="9"/>
        <v>100</v>
      </c>
      <c r="T28" s="1386" t="s">
        <v>5</v>
      </c>
      <c r="U28" s="1387">
        <f t="shared" si="10"/>
        <v>100</v>
      </c>
      <c r="V28" s="1386" t="s">
        <v>5</v>
      </c>
      <c r="W28" s="1387">
        <f t="shared" si="11"/>
        <v>100</v>
      </c>
      <c r="X28" s="1380"/>
      <c r="Y28" s="396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64"/>
      <c r="Q29" s="1385" t="str">
        <f t="shared" si="8"/>
        <v>有无电梯</v>
      </c>
      <c r="R29" s="1386" t="s">
        <v>5</v>
      </c>
      <c r="S29" s="1387">
        <f t="shared" si="9"/>
        <v>100</v>
      </c>
      <c r="T29" s="1386" t="s">
        <v>5</v>
      </c>
      <c r="U29" s="1387">
        <f t="shared" si="10"/>
        <v>100</v>
      </c>
      <c r="V29" s="1386" t="s">
        <v>5</v>
      </c>
      <c r="W29" s="1387">
        <f t="shared" si="11"/>
        <v>100</v>
      </c>
      <c r="X29" s="1380"/>
      <c r="Y29" s="396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64"/>
      <c r="Q30" s="1385" t="str">
        <f t="shared" si="8"/>
        <v>建筑面积</v>
      </c>
      <c r="R30" s="1386" t="s">
        <v>5</v>
      </c>
      <c r="S30" s="1387" t="e">
        <f t="shared" si="9"/>
        <v>#N/A</v>
      </c>
      <c r="T30" s="1386" t="s">
        <v>5</v>
      </c>
      <c r="U30" s="1387" t="e">
        <f t="shared" si="10"/>
        <v>#N/A</v>
      </c>
      <c r="V30" s="1386" t="s">
        <v>5</v>
      </c>
      <c r="W30" s="1387" t="e">
        <f t="shared" si="11"/>
        <v>#N/A</v>
      </c>
      <c r="X30" s="1380"/>
      <c r="Y30" s="396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64"/>
      <c r="Q31" s="1050" t="str">
        <f t="shared" si="8"/>
        <v>是否封闭</v>
      </c>
      <c r="R31" s="1381" t="s">
        <v>5</v>
      </c>
      <c r="S31" s="1382">
        <f t="shared" si="9"/>
        <v>100</v>
      </c>
      <c r="T31" s="1381" t="s">
        <v>5</v>
      </c>
      <c r="U31" s="1382">
        <f t="shared" si="10"/>
        <v>100</v>
      </c>
      <c r="V31" s="1381" t="s">
        <v>5</v>
      </c>
      <c r="W31" s="1382">
        <f t="shared" si="11"/>
        <v>100</v>
      </c>
      <c r="X31" s="1383"/>
      <c r="Y31" s="396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64" t="s">
        <v>499</v>
      </c>
      <c r="Q32" s="1385">
        <f t="shared" si="8"/>
        <v>111</v>
      </c>
      <c r="R32" s="1386" t="s">
        <v>5</v>
      </c>
      <c r="S32" s="1387">
        <f t="shared" si="9"/>
        <v>100</v>
      </c>
      <c r="T32" s="1386" t="s">
        <v>5</v>
      </c>
      <c r="U32" s="1387">
        <f t="shared" si="10"/>
        <v>100</v>
      </c>
      <c r="V32" s="1386" t="s">
        <v>5</v>
      </c>
      <c r="W32" s="1387">
        <f t="shared" si="11"/>
        <v>100</v>
      </c>
      <c r="X32" s="1380"/>
      <c r="Y32" s="396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64"/>
      <c r="Q33" s="1385">
        <f t="shared" si="8"/>
        <v>111</v>
      </c>
      <c r="R33" s="1386" t="s">
        <v>5</v>
      </c>
      <c r="S33" s="1387">
        <f t="shared" si="9"/>
        <v>100</v>
      </c>
      <c r="T33" s="1386" t="s">
        <v>5</v>
      </c>
      <c r="U33" s="1387">
        <f t="shared" si="10"/>
        <v>100</v>
      </c>
      <c r="V33" s="1386" t="s">
        <v>5</v>
      </c>
      <c r="W33" s="1387">
        <f t="shared" si="11"/>
        <v>100</v>
      </c>
      <c r="X33" s="1380"/>
      <c r="Y33" s="3964"/>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64"/>
      <c r="Q34" s="1385">
        <f t="shared" si="8"/>
        <v>111</v>
      </c>
      <c r="R34" s="1386" t="s">
        <v>5</v>
      </c>
      <c r="S34" s="1387">
        <f t="shared" si="9"/>
        <v>100</v>
      </c>
      <c r="T34" s="1386" t="s">
        <v>5</v>
      </c>
      <c r="U34" s="1387">
        <f t="shared" si="10"/>
        <v>100</v>
      </c>
      <c r="V34" s="1386" t="s">
        <v>5</v>
      </c>
      <c r="W34" s="1387">
        <f t="shared" si="11"/>
        <v>100</v>
      </c>
      <c r="X34" s="1380"/>
      <c r="Y34" s="3964"/>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958" t="str">
        <f>A35</f>
        <v>成交单价（元/平方米）</v>
      </c>
      <c r="Q35" s="3958"/>
      <c r="R35" s="4081">
        <f>E35</f>
        <v>0</v>
      </c>
      <c r="S35" s="4081"/>
      <c r="T35" s="4081">
        <f>G35</f>
        <v>0</v>
      </c>
      <c r="U35" s="4081"/>
      <c r="V35" s="4081">
        <f>I35</f>
        <v>0</v>
      </c>
      <c r="W35" s="4081"/>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58" t="str">
        <f>A36</f>
        <v>比较价格（元/平方米）</v>
      </c>
      <c r="Q36" s="3958"/>
      <c r="R36" s="4081" t="e">
        <f>IF(F1="售价",ROUND(PRODUCT(R35,AA7:AA34),0),ROUND(PRODUCT(R35,AA7:AA34),1))</f>
        <v>#DIV/0!</v>
      </c>
      <c r="S36" s="4081"/>
      <c r="T36" s="4081" t="e">
        <f>IF(F1="售价",ROUND(PRODUCT(T35,AB7:AB34),0),ROUND(PRODUCT(T35,AB7:AB34),1))</f>
        <v>#DIV/0!</v>
      </c>
      <c r="U36" s="4081"/>
      <c r="V36" s="4081" t="e">
        <f>IF(F1="售价",ROUND(PRODUCT(V35,AC7:AC34),0),ROUND(PRODUCT(V35,AC7:AC34),1))</f>
        <v>#DIV/0!</v>
      </c>
      <c r="W36" s="4081"/>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55" t="str">
        <f>A37</f>
        <v>估价对象XX用房的比较价格（楼面单价，元/平方米）</v>
      </c>
      <c r="Q37" s="3956"/>
      <c r="R37" s="4080" t="e">
        <f>IF(F1="售价",ROUND(IF(D36="简单平均",AVERAGE(R36:W36),R36*F36+T36*H36+V36*J36),0),ROUND(IF(D36="简单平均",AVERAGE(R36:V36),R36*F36+T36*H36+V36*J36),1))</f>
        <v>#DIV/0!</v>
      </c>
      <c r="S37" s="4080"/>
      <c r="T37" s="4080"/>
      <c r="U37" s="4080"/>
      <c r="V37" s="4080"/>
      <c r="W37" s="4080"/>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2025-6</v>
      </c>
      <c r="D46" s="2284">
        <f>EDATE(C46,-1)</f>
        <v>45778</v>
      </c>
      <c r="E46" s="2284">
        <f t="shared" ref="E46:O46" si="13">EDATE(D46,-1)</f>
        <v>45748</v>
      </c>
      <c r="F46" s="2284">
        <f t="shared" si="13"/>
        <v>45717</v>
      </c>
      <c r="G46" s="2284">
        <f t="shared" si="13"/>
        <v>45689</v>
      </c>
      <c r="H46" s="2284">
        <f t="shared" si="13"/>
        <v>45658</v>
      </c>
      <c r="I46" s="2284">
        <f t="shared" si="13"/>
        <v>45627</v>
      </c>
      <c r="J46" s="2284">
        <f t="shared" si="13"/>
        <v>45597</v>
      </c>
      <c r="K46" s="2284">
        <f t="shared" si="13"/>
        <v>45566</v>
      </c>
      <c r="L46" s="2284">
        <f t="shared" si="13"/>
        <v>45536</v>
      </c>
      <c r="M46" s="2284">
        <f t="shared" si="13"/>
        <v>45505</v>
      </c>
      <c r="N46" s="2284">
        <f t="shared" si="13"/>
        <v>45474</v>
      </c>
      <c r="O46" s="2284">
        <f t="shared" si="13"/>
        <v>45444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90" t="s">
        <v>1661</v>
      </c>
      <c r="D1" s="4091"/>
      <c r="E1" s="4091"/>
      <c r="F1" s="4091"/>
      <c r="G1" s="4091"/>
      <c r="H1" s="4091"/>
      <c r="I1" s="4091"/>
      <c r="J1" s="4091"/>
      <c r="K1" s="4091"/>
      <c r="L1" s="4091"/>
      <c r="M1" s="4091"/>
      <c r="N1" s="4091"/>
      <c r="O1" s="4091"/>
      <c r="P1" s="4091"/>
      <c r="Q1" s="4091"/>
      <c r="R1" s="4091"/>
      <c r="S1" s="4092"/>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87" t="s">
        <v>14</v>
      </c>
      <c r="D22" s="4088"/>
      <c r="E22" s="4088"/>
      <c r="F22" s="4088"/>
      <c r="G22" s="4088"/>
      <c r="H22" s="4088"/>
      <c r="I22" s="4088"/>
      <c r="J22" s="4088"/>
      <c r="K22" s="4088"/>
      <c r="L22" s="4088"/>
      <c r="M22" s="4088"/>
      <c r="N22" s="4088"/>
      <c r="O22" s="4088"/>
      <c r="P22" s="4088"/>
      <c r="Q22" s="4089"/>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45833</v>
      </c>
      <c r="H1" s="2417">
        <f>IF(C1&gt;C13,0,MATCH(C1,C$13:C$115,-1))+IF(SUMIF(C13:C115,C1,D13:D115)=0,13,12)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2</v>
      </c>
      <c r="D2" s="2478" t="s">
        <v>2066</v>
      </c>
      <c r="E2" s="2481">
        <f ca="1">INDIRECT("I"&amp;$I$1)/100</f>
        <v>0.03</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v>
      </c>
      <c r="J3" s="2423">
        <f ca="1">INDIRECT("d"&amp;$H$1)</f>
        <v>3</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v>
      </c>
      <c r="J4" s="2429">
        <f ca="1">INDIRECT("e"&amp;$H$1)</f>
        <v>3</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v>
      </c>
      <c r="J5" s="2429">
        <f ca="1">INDIRECT("f"&amp;$H$1)</f>
        <v>3</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v>
      </c>
      <c r="J6" s="2429">
        <f ca="1">INDIRECT("g"&amp;$H$1)</f>
        <v>3</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3.5</v>
      </c>
      <c r="J7" s="2434">
        <f ca="1">INDIRECT("h"&amp;$H$1)</f>
        <v>3.5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5.6">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69" t="s">
        <v>1556</v>
      </c>
      <c r="B1" s="3769"/>
      <c r="C1" s="3769"/>
      <c r="D1" s="3769"/>
      <c r="E1" s="3769"/>
      <c r="F1" s="3769"/>
      <c r="G1" s="3769"/>
      <c r="H1" s="3769"/>
      <c r="I1" s="3769"/>
      <c r="J1" s="3769"/>
      <c r="K1" s="3769"/>
      <c r="L1" s="3769"/>
      <c r="M1" s="3769"/>
      <c r="N1" s="3769"/>
      <c r="O1" s="3769"/>
      <c r="P1" s="3769"/>
      <c r="Q1" s="3769"/>
      <c r="R1" s="3769"/>
    </row>
    <row r="2" spans="1:18">
      <c r="A2" s="1595" t="s">
        <v>1558</v>
      </c>
      <c r="B2" s="1595"/>
      <c r="C2" s="1595"/>
      <c r="D2" s="1595"/>
      <c r="E2" s="1595"/>
      <c r="F2" s="1595"/>
      <c r="G2" s="1595"/>
      <c r="H2" s="1595"/>
      <c r="I2" s="1596"/>
      <c r="J2" s="1596"/>
      <c r="K2" s="1597" t="str">
        <f>"估价期日："&amp;TEXT(项目基本情况!D3,"yyyy年m月d日;;")</f>
        <v>估价期日：2025年6月25日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70" t="s">
        <v>1547</v>
      </c>
      <c r="B3" s="3770" t="s">
        <v>2013</v>
      </c>
      <c r="C3" s="3771" t="s">
        <v>1548</v>
      </c>
      <c r="D3" s="3770" t="s">
        <v>2017</v>
      </c>
      <c r="E3" s="3765" t="s">
        <v>1549</v>
      </c>
      <c r="F3" s="3765"/>
      <c r="G3" s="3765"/>
      <c r="H3" s="3765" t="s">
        <v>1550</v>
      </c>
      <c r="I3" s="3765"/>
      <c r="J3" s="3765"/>
      <c r="K3" s="3771" t="s">
        <v>1551</v>
      </c>
      <c r="L3" s="3771" t="s">
        <v>1552</v>
      </c>
      <c r="M3" s="3770" t="s">
        <v>2014</v>
      </c>
      <c r="N3" s="3772" t="str">
        <f>"（分摊）"&amp;项目基本情况!A17&amp;"国有建设用地使用权面积/㎡"</f>
        <v>（分摊）划拨国有建设用地使用权面积/㎡</v>
      </c>
      <c r="O3" s="3770" t="s">
        <v>1581</v>
      </c>
      <c r="P3" s="3771" t="s">
        <v>1561</v>
      </c>
      <c r="Q3" s="3771" t="s">
        <v>1582</v>
      </c>
      <c r="R3" s="3771" t="s">
        <v>1553</v>
      </c>
    </row>
    <row r="4" spans="1:18" ht="36.75" customHeight="1">
      <c r="A4" s="3770"/>
      <c r="B4" s="3770"/>
      <c r="C4" s="3771"/>
      <c r="D4" s="3770"/>
      <c r="E4" s="2254" t="s">
        <v>1560</v>
      </c>
      <c r="F4" s="2254" t="s">
        <v>2026</v>
      </c>
      <c r="G4" s="2254" t="s">
        <v>1554</v>
      </c>
      <c r="H4" s="2254" t="s">
        <v>1555</v>
      </c>
      <c r="I4" s="2254" t="s">
        <v>2027</v>
      </c>
      <c r="J4" s="2254" t="s">
        <v>1554</v>
      </c>
      <c r="K4" s="3771"/>
      <c r="L4" s="3771"/>
      <c r="M4" s="3770"/>
      <c r="N4" s="3772"/>
      <c r="O4" s="3770"/>
      <c r="P4" s="3771"/>
      <c r="Q4" s="3771"/>
      <c r="R4" s="3771"/>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12896.08</v>
      </c>
      <c r="O5" s="1598">
        <f>项目基本情况!C21</f>
        <v>32240.2</v>
      </c>
      <c r="P5" s="1598" t="e">
        <f ca="1">结果表!E42</f>
        <v>#REF!</v>
      </c>
      <c r="Q5" s="1598" t="e">
        <f ca="1">结果表!D42</f>
        <v>#REF!</v>
      </c>
      <c r="R5" s="1599" t="e">
        <f ca="1">结果表!C42</f>
        <v>#REF!</v>
      </c>
    </row>
    <row r="6" spans="1:18">
      <c r="A6" s="3766" t="str">
        <f>IF(项目基本情况!B9="市场价格","——","抵押价格")</f>
        <v>——</v>
      </c>
      <c r="B6" s="3767"/>
      <c r="C6" s="3767"/>
      <c r="D6" s="3767"/>
      <c r="E6" s="3767"/>
      <c r="F6" s="3767"/>
      <c r="G6" s="3767"/>
      <c r="H6" s="3767"/>
      <c r="I6" s="3767"/>
      <c r="J6" s="3767"/>
      <c r="K6" s="3767"/>
      <c r="L6" s="3767"/>
      <c r="M6" s="3767"/>
      <c r="N6" s="3767"/>
      <c r="O6" s="3767"/>
      <c r="P6" s="3767"/>
      <c r="Q6" s="3768"/>
      <c r="R6" s="1600" t="str">
        <f>结果表!O39</f>
        <v>——</v>
      </c>
    </row>
    <row r="7" spans="1:18">
      <c r="A7" s="3766" t="str">
        <f>IF(项目基本情况!B9="市场价格","——",IF(项目基本情况!E8="已注销及未注销","抵押担保权已注销时的抵押价格","——"))</f>
        <v>——</v>
      </c>
      <c r="B7" s="3767"/>
      <c r="C7" s="3767"/>
      <c r="D7" s="3767"/>
      <c r="E7" s="3767"/>
      <c r="F7" s="3767"/>
      <c r="G7" s="3767"/>
      <c r="H7" s="3767"/>
      <c r="I7" s="3767"/>
      <c r="J7" s="3767"/>
      <c r="K7" s="3767"/>
      <c r="L7" s="3767"/>
      <c r="M7" s="3767"/>
      <c r="N7" s="3767"/>
      <c r="O7" s="3767"/>
      <c r="P7" s="3767"/>
      <c r="Q7" s="3768"/>
      <c r="R7" s="1600" t="str">
        <f>结果表!O40</f>
        <v>——</v>
      </c>
    </row>
    <row r="8" spans="1:18">
      <c r="A8" s="3766" t="str">
        <f>IF(项目基本情况!B9="市场价格","——",项目基本情况!E9)</f>
        <v>——</v>
      </c>
      <c r="B8" s="3767"/>
      <c r="C8" s="3767"/>
      <c r="D8" s="3767"/>
      <c r="E8" s="3767"/>
      <c r="F8" s="3767"/>
      <c r="G8" s="3767"/>
      <c r="H8" s="3767"/>
      <c r="I8" s="3767"/>
      <c r="J8" s="3767"/>
      <c r="K8" s="3767"/>
      <c r="L8" s="3767"/>
      <c r="M8" s="3767"/>
      <c r="N8" s="3767"/>
      <c r="O8" s="3767"/>
      <c r="P8" s="3767"/>
      <c r="Q8" s="376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2118</v>
      </c>
      <c r="B1" s="2928">
        <f>SUM(B14:B23)</f>
        <v>0</v>
      </c>
      <c r="C1" s="2937"/>
      <c r="D1" s="2937"/>
      <c r="E1" s="2937"/>
      <c r="F1" s="2937"/>
      <c r="G1" s="2938"/>
      <c r="H1" s="2938"/>
      <c r="I1" s="2938"/>
      <c r="J1" s="2938"/>
    </row>
    <row r="2" spans="1:10" ht="15.6">
      <c r="A2" s="2928" t="s">
        <v>2119</v>
      </c>
      <c r="B2" s="2928">
        <f>SUM(C14:C23)</f>
        <v>0</v>
      </c>
      <c r="C2" s="2937"/>
      <c r="D2" s="2937"/>
      <c r="E2" s="2937"/>
      <c r="F2" s="2937"/>
      <c r="G2" s="2938"/>
      <c r="H2" s="2938"/>
      <c r="I2" s="2938"/>
      <c r="J2" s="2938"/>
    </row>
    <row r="3" spans="1:10" ht="15.6">
      <c r="A3" s="2928" t="s">
        <v>2120</v>
      </c>
      <c r="B3" s="2930">
        <f>项目基本情况!D3</f>
        <v>45833</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SUM(D14:D23)</f>
        <v>0</v>
      </c>
      <c r="C5" s="2928" t="e">
        <f>ROUND(B5*10000/$B$1,0)</f>
        <v>#DIV/0!</v>
      </c>
      <c r="D5" s="2928" t="e">
        <f>ROUND(B5*10000/$B$2,0)</f>
        <v>#DIV/0!</v>
      </c>
      <c r="E5" s="2937"/>
      <c r="F5" s="2937"/>
      <c r="G5" s="2938"/>
      <c r="H5" s="2938"/>
      <c r="I5" s="2938"/>
      <c r="J5" s="2938"/>
    </row>
    <row r="6" spans="1:10" ht="15.6">
      <c r="A6" s="2928" t="s">
        <v>2126</v>
      </c>
      <c r="B6" s="2928">
        <f>SUM(G14:G23)</f>
        <v>0</v>
      </c>
      <c r="C6" s="2928" t="e">
        <f>ROUND(B6*10000/$B$1,0)</f>
        <v>#DIV/0!</v>
      </c>
      <c r="D6" s="2928" t="e">
        <f>ROUND(B6*10000/$B$2,0)</f>
        <v>#DIV/0!</v>
      </c>
      <c r="E6" s="2937"/>
      <c r="F6" s="2937"/>
      <c r="G6" s="2938"/>
      <c r="H6" s="2938"/>
      <c r="I6" s="2938"/>
      <c r="J6" s="2938"/>
    </row>
    <row r="7" spans="1:10" ht="15.6">
      <c r="A7" s="2928" t="s">
        <v>2127</v>
      </c>
      <c r="B7" s="2928">
        <f>SUM(H14:H23)</f>
        <v>0</v>
      </c>
      <c r="C7" s="2928" t="e">
        <f>ROUND(B7*10000/$B$1,0)</f>
        <v>#DIV/0!</v>
      </c>
      <c r="D7" s="2928" t="e">
        <f>ROUND(B7*10000/$B$2,0)</f>
        <v>#DIV/0!</v>
      </c>
      <c r="E7" s="2937"/>
      <c r="F7" s="2937"/>
      <c r="G7" s="2938"/>
      <c r="H7" s="2938"/>
      <c r="I7" s="2938"/>
      <c r="J7" s="2938"/>
    </row>
    <row r="8" spans="1:10" ht="15.6">
      <c r="A8" s="2928" t="s">
        <v>2128</v>
      </c>
      <c r="B8" s="2928">
        <f>SUM(I14:I23)</f>
        <v>0</v>
      </c>
      <c r="C8" s="2928" t="e">
        <f>ROUND(B8*10000/$B$1,0)</f>
        <v>#DIV/0!</v>
      </c>
      <c r="D8" s="2928" t="e">
        <f>ROUND(B8*10000/$B$2,0)</f>
        <v>#DIV/0!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c r="C14" s="2934"/>
      <c r="D14" s="2934"/>
      <c r="E14" s="2934" t="e">
        <f>ROUND(D14*10000/B14,0)</f>
        <v>#DIV/0!</v>
      </c>
      <c r="F14" s="2934" t="e">
        <f>ROUND(D14*10000/C14,0)</f>
        <v>#DIV/0!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73" t="s">
        <v>1583</v>
      </c>
      <c r="B1" s="3773"/>
      <c r="C1" s="3773"/>
      <c r="D1" s="3773"/>
    </row>
    <row r="2" spans="1:4" ht="47.25" customHeight="1">
      <c r="A2" s="3777" t="str">
        <f>"1.权利限制："&amp;项目基本情况!L24&amp;"未设定租赁等其他他项权利。"</f>
        <v>1.权利限制：根据估价对象《不动产权证书》原件、《国有土地使用权》复印件，截至估价期日，估价对象抵押权未见登记。未设定租赁等其他他项权利。</v>
      </c>
      <c r="B2" s="3777"/>
      <c r="C2" s="3777"/>
      <c r="D2" s="3777"/>
    </row>
    <row r="3" spans="1:4" ht="48" customHeight="1">
      <c r="A3" s="37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3"/>
      <c r="C3" s="3773"/>
      <c r="D3" s="3773"/>
    </row>
    <row r="4" spans="1:4" ht="36.75" customHeight="1">
      <c r="A4" s="3773" t="str">
        <f>"3.估价规划限制条件：详见"&amp;项目基本情况!E21&amp;"。"</f>
        <v>3.估价规划限制条件：详见《建设工程规划许可证》[]、《出让合同》[]。</v>
      </c>
      <c r="B4" s="3773"/>
      <c r="C4" s="3773"/>
      <c r="D4" s="3773"/>
    </row>
    <row r="5" spans="1:4">
      <c r="A5" s="3776" t="s">
        <v>1584</v>
      </c>
      <c r="B5" s="3776"/>
      <c r="C5" s="3776"/>
      <c r="D5" s="3776"/>
    </row>
    <row r="6" spans="1:4">
      <c r="A6" s="3773" t="s">
        <v>1562</v>
      </c>
      <c r="B6" s="3773"/>
      <c r="C6" s="3773"/>
      <c r="D6" s="3773"/>
    </row>
    <row r="7" spans="1:4" ht="33" customHeight="1">
      <c r="A7" s="3773" t="s">
        <v>1857</v>
      </c>
      <c r="B7" s="3773"/>
      <c r="C7" s="3773"/>
      <c r="D7" s="3773"/>
    </row>
    <row r="8" spans="1:4" ht="32.25" customHeight="1">
      <c r="A8" s="37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73"/>
      <c r="C8" s="3773"/>
      <c r="D8" s="3773"/>
    </row>
    <row r="9" spans="1:4" ht="33.75" customHeight="1">
      <c r="A9" s="3773" t="str">
        <f>IF(项目基本情况!B8="抵押","3.抵押双方在办理抵押登记手续时，应使用本公司出具的正式《土地估价报告》，特提请报告使用者注意。","——")</f>
        <v>——</v>
      </c>
      <c r="B9" s="3773"/>
      <c r="C9" s="3773"/>
      <c r="D9" s="3773"/>
    </row>
    <row r="10" spans="1:4">
      <c r="A10" s="3773" t="str">
        <f>IF(项目基本情况!B8="抵押","4.估价师所知悉的法定优先受偿款情况为：","——")</f>
        <v>——</v>
      </c>
      <c r="B10" s="3773"/>
      <c r="C10" s="3773"/>
      <c r="D10" s="3773"/>
    </row>
    <row r="11" spans="1:4" ht="37.5" customHeight="1">
      <c r="A11" s="3775" t="str">
        <f>IF(项目基本情况!B8="抵押","（1）"&amp;CONCATENATE(项目基本情况!L24,项目基本情况!L25,项目基本情况!L26),"——")</f>
        <v>——</v>
      </c>
      <c r="B11" s="3775"/>
      <c r="C11" s="3775"/>
      <c r="D11" s="3775"/>
    </row>
    <row r="12" spans="1:4" ht="168" customHeight="1">
      <c r="A12" s="3776" t="s">
        <v>1586</v>
      </c>
      <c r="B12" s="3776"/>
      <c r="C12" s="3776"/>
      <c r="D12" s="3776"/>
    </row>
    <row r="13" spans="1:4">
      <c r="A13" s="3774" t="s">
        <v>2028</v>
      </c>
      <c r="B13" s="3774"/>
      <c r="C13" s="3774"/>
      <c r="D13" s="3774"/>
    </row>
    <row r="14" spans="1:4">
      <c r="A14" s="3775" t="str">
        <f>IF(项目基本情况!B8="抵押","综上，"&amp;结果表!K47,"——")</f>
        <v>——</v>
      </c>
      <c r="B14" s="3775"/>
      <c r="C14" s="3775"/>
      <c r="D14" s="3775"/>
    </row>
    <row r="15" spans="1:4" ht="58.5" customHeight="1">
      <c r="A15" s="37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3"/>
      <c r="C15" s="3773"/>
      <c r="D15" s="3773"/>
    </row>
    <row r="16" spans="1:4" ht="70.5" customHeight="1">
      <c r="A16" s="37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3"/>
      <c r="C16" s="3773"/>
      <c r="D16" s="3773"/>
    </row>
    <row r="17" spans="1:4">
      <c r="A17" s="3773" t="s">
        <v>1984</v>
      </c>
      <c r="B17" s="3773"/>
      <c r="C17" s="3773"/>
      <c r="D17" s="3773"/>
    </row>
    <row r="18" spans="1:4">
      <c r="A18" s="3773" t="s">
        <v>1976</v>
      </c>
      <c r="B18" s="3773"/>
      <c r="C18" s="3773"/>
      <c r="D18" s="3773"/>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73" t="s">
        <v>1981</v>
      </c>
      <c r="B23" s="3773"/>
      <c r="C23" s="3773"/>
      <c r="D23" s="3773"/>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85" t="s">
        <v>27</v>
      </c>
      <c r="B15" s="3786" t="s">
        <v>784</v>
      </c>
      <c r="C15" s="3782"/>
    </row>
    <row r="16" spans="1:7" ht="14.4">
      <c r="A16" s="3785"/>
      <c r="B16" s="3783" t="s">
        <v>28</v>
      </c>
      <c r="C16" s="1070" t="s">
        <v>27</v>
      </c>
    </row>
    <row r="17" spans="1:3" ht="14.4">
      <c r="A17" s="3785"/>
      <c r="B17" s="3783"/>
      <c r="C17" s="1070" t="s">
        <v>29</v>
      </c>
    </row>
    <row r="18" spans="1:3" ht="14.4">
      <c r="A18" s="3785"/>
      <c r="B18" s="3783"/>
      <c r="C18" s="1070" t="s">
        <v>30</v>
      </c>
    </row>
    <row r="19" spans="1:3" ht="14.4">
      <c r="A19" s="3785"/>
      <c r="B19" s="3781" t="s">
        <v>31</v>
      </c>
      <c r="C19" s="3782"/>
    </row>
    <row r="20" spans="1:3" ht="14.4">
      <c r="A20" s="1071" t="s">
        <v>32</v>
      </c>
      <c r="B20" s="1072"/>
      <c r="C20" s="1073"/>
    </row>
    <row r="21" spans="1:3" ht="14.4">
      <c r="A21" s="3784" t="s">
        <v>33</v>
      </c>
      <c r="B21" s="3781" t="s">
        <v>34</v>
      </c>
      <c r="C21" s="3782"/>
    </row>
    <row r="22" spans="1:3" ht="14.4">
      <c r="A22" s="3784"/>
      <c r="B22" s="3781" t="s">
        <v>35</v>
      </c>
      <c r="C22" s="3782"/>
    </row>
    <row r="23" spans="1:3" ht="14.4">
      <c r="A23" s="3784"/>
      <c r="B23" s="3781" t="s">
        <v>36</v>
      </c>
      <c r="C23" s="3782"/>
    </row>
    <row r="24" spans="1:3" ht="14.4">
      <c r="A24" s="3784"/>
      <c r="B24" s="3787" t="s">
        <v>37</v>
      </c>
      <c r="C24" s="1074" t="s">
        <v>775</v>
      </c>
    </row>
    <row r="25" spans="1:3" ht="14.4">
      <c r="A25" s="3784"/>
      <c r="B25" s="3788"/>
      <c r="C25" s="1074" t="s">
        <v>776</v>
      </c>
    </row>
    <row r="26" spans="1:3" ht="14.4">
      <c r="A26" s="3784"/>
      <c r="B26" s="3788"/>
      <c r="C26" s="1074" t="s">
        <v>777</v>
      </c>
    </row>
    <row r="27" spans="1:3" ht="14.4">
      <c r="A27" s="3784"/>
      <c r="B27" s="3788"/>
      <c r="C27" s="1074" t="s">
        <v>778</v>
      </c>
    </row>
    <row r="28" spans="1:3" ht="14.4">
      <c r="A28" s="3784"/>
      <c r="B28" s="3788"/>
      <c r="C28" s="1074" t="s">
        <v>779</v>
      </c>
    </row>
    <row r="29" spans="1:3" ht="14.4">
      <c r="A29" s="3784"/>
      <c r="B29" s="3788"/>
      <c r="C29" s="1074" t="s">
        <v>780</v>
      </c>
    </row>
    <row r="30" spans="1:3" ht="14.4">
      <c r="A30" s="3784"/>
      <c r="B30" s="3788"/>
      <c r="C30" s="1074" t="s">
        <v>781</v>
      </c>
    </row>
    <row r="31" spans="1:3" ht="14.4">
      <c r="A31" s="3784"/>
      <c r="B31" s="3788"/>
      <c r="C31" s="1074" t="s">
        <v>782</v>
      </c>
    </row>
    <row r="32" spans="1:3" ht="14.4">
      <c r="A32" s="3784"/>
      <c r="B32" s="3788"/>
      <c r="C32" s="1074" t="s">
        <v>1181</v>
      </c>
    </row>
    <row r="33" spans="1:3" ht="14.4">
      <c r="A33" s="3784"/>
      <c r="B33" s="3778" t="s">
        <v>1187</v>
      </c>
      <c r="C33" s="1074" t="s">
        <v>1182</v>
      </c>
    </row>
    <row r="34" spans="1:3" ht="14.4">
      <c r="A34" s="3784"/>
      <c r="B34" s="3779"/>
      <c r="C34" s="1079" t="s">
        <v>1183</v>
      </c>
    </row>
    <row r="35" spans="1:3" ht="14.4">
      <c r="A35" s="3784"/>
      <c r="B35" s="3779"/>
      <c r="C35" s="1080" t="s">
        <v>1184</v>
      </c>
    </row>
    <row r="36" spans="1:3" ht="14.4">
      <c r="A36" s="3784"/>
      <c r="B36" s="3779"/>
      <c r="C36" s="1080" t="s">
        <v>1185</v>
      </c>
    </row>
    <row r="37" spans="1:3" ht="14.4">
      <c r="A37" s="3784"/>
      <c r="B37" s="3780"/>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45841</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92" t="s">
        <v>1448</v>
      </c>
      <c r="B18" s="3793"/>
      <c r="C18" s="3793"/>
      <c r="D18" s="3793"/>
      <c r="E18" s="3793"/>
      <c r="F18" s="3793"/>
      <c r="G18" s="2777"/>
    </row>
    <row r="19" spans="1:7" ht="20.25" customHeight="1">
      <c r="A19" s="3789" t="s">
        <v>1449</v>
      </c>
      <c r="B19" s="3789"/>
      <c r="C19" s="3790"/>
      <c r="D19" s="3791" t="s">
        <v>1450</v>
      </c>
      <c r="E19" s="3789"/>
      <c r="F19" s="37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2751</v>
      </c>
    </row>
    <row r="8" spans="1:23" ht="14.4">
      <c r="A8" s="6" t="s">
        <v>75</v>
      </c>
      <c r="B8" s="6" t="s">
        <v>76</v>
      </c>
      <c r="C8" s="1368" t="s">
        <v>1244</v>
      </c>
      <c r="F8" s="7" t="s">
        <v>121</v>
      </c>
      <c r="H8" s="3337" t="s">
        <v>2745</v>
      </c>
      <c r="I8" s="7" t="s">
        <v>2752</v>
      </c>
    </row>
    <row r="9" spans="1:23" ht="14.4">
      <c r="A9" s="6" t="s">
        <v>77</v>
      </c>
      <c r="B9" s="6" t="s">
        <v>122</v>
      </c>
      <c r="C9" s="1368" t="s">
        <v>1245</v>
      </c>
      <c r="F9" s="7" t="s">
        <v>78</v>
      </c>
      <c r="H9" s="7"/>
      <c r="I9" s="7" t="s">
        <v>2753</v>
      </c>
    </row>
    <row r="10" spans="1:23" ht="14.4">
      <c r="A10" s="6" t="s">
        <v>79</v>
      </c>
      <c r="B10" s="6" t="s">
        <v>123</v>
      </c>
      <c r="C10" s="1368" t="s">
        <v>1246</v>
      </c>
      <c r="F10" s="3337" t="s">
        <v>2744</v>
      </c>
      <c r="I10" s="7" t="s">
        <v>2754</v>
      </c>
    </row>
    <row r="11" spans="1:23" ht="14.4">
      <c r="A11" s="6" t="s">
        <v>80</v>
      </c>
      <c r="B11" s="6" t="s">
        <v>124</v>
      </c>
      <c r="C11" s="1368" t="s">
        <v>1247</v>
      </c>
      <c r="I11" s="7" t="s">
        <v>2755</v>
      </c>
    </row>
    <row r="12" spans="1:23" ht="14.4">
      <c r="A12" s="6" t="s">
        <v>81</v>
      </c>
      <c r="B12" s="6" t="s">
        <v>125</v>
      </c>
      <c r="C12" s="1368" t="s">
        <v>1248</v>
      </c>
      <c r="I12" s="7" t="s">
        <v>2756</v>
      </c>
    </row>
    <row r="13" spans="1:23" ht="14.4">
      <c r="A13" s="6" t="s">
        <v>82</v>
      </c>
      <c r="B13" s="6" t="s">
        <v>126</v>
      </c>
      <c r="C13" s="1368" t="s">
        <v>1249</v>
      </c>
      <c r="I13" s="7" t="s">
        <v>2757</v>
      </c>
    </row>
    <row r="14" spans="1:23" ht="14.4">
      <c r="A14" s="6" t="s">
        <v>83</v>
      </c>
      <c r="B14" s="6" t="s">
        <v>127</v>
      </c>
      <c r="C14" s="1371" t="s">
        <v>1421</v>
      </c>
      <c r="I14" s="7" t="s">
        <v>2758</v>
      </c>
    </row>
    <row r="15" spans="1:23" ht="14.4">
      <c r="A15" s="6" t="s">
        <v>84</v>
      </c>
      <c r="B15" s="6" t="s">
        <v>1214</v>
      </c>
      <c r="C15" s="1371"/>
      <c r="I15" s="7" t="s">
        <v>2759</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6月25日在规划利用条件下、设定土地开发程度为红线外“七通”、宗地内场地，设定用途为的划拨国有建设用地使用权价格。</v>
      </c>
      <c r="D53" s="1558"/>
      <c r="E53" s="1558"/>
    </row>
    <row r="54" spans="1:5">
      <c r="A54" s="37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结果表</vt:lpstr>
      <vt:lpstr>Sheet2</vt:lpstr>
      <vt:lpstr>基准地价-住宅</vt:lpstr>
      <vt:lpstr>比较法-工业</vt:lpstr>
      <vt:lpstr>基准地价-公服绿地</vt:lpstr>
      <vt:lpstr>剩余法-现房</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朝阳区2020-2023成本案例</vt:lpstr>
      <vt:lpstr>比较法-土地成本</vt:lpstr>
      <vt:lpstr>结果表汇总表</vt:lpstr>
      <vt:lpstr>增值收益扣减</vt:lpstr>
      <vt:lpstr>新房售价</vt:lpstr>
      <vt:lpstr>剩余法-待开发</vt:lpstr>
      <vt:lpstr>Sheet4</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系统读取表</vt:lpstr>
      <vt:lpstr>'比较法-工业'!Print_Area</vt:lpstr>
      <vt:lpstr>'比较法-土地成本'!Print_Area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'基准地价-公服绿地'!Print_Area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'基准地价-公服绿地'!季度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2025-07-03T03:04:03Z</dcterms:modified>
</cp:coreProperties>
</file>